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75" firstSheet="15" activeTab="41"/>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不动产比较法-商业" sheetId="33" r:id="rId32"/>
    <sheet name="酒店收入计算" sheetId="57" state="hidden" r:id="rId33"/>
    <sheet name="成本逼近法" sheetId="11" state="hidden" r:id="rId34"/>
    <sheet name="典型户型修正" sheetId="31" r:id="rId35"/>
    <sheet name="不动产收益法 (2)" sheetId="69" state="hidden" r:id="rId36"/>
    <sheet name="不动产比较法-办公" sheetId="34" r:id="rId37"/>
    <sheet name="不动产比较法-工业" sheetId="37" state="hidden" r:id="rId38"/>
    <sheet name="不动产比较法-车位" sheetId="35" state="hidden" r:id="rId39"/>
    <sheet name="不动产比较法-仓储" sheetId="36" state="hidden" r:id="rId40"/>
    <sheet name="存贷款利率" sheetId="65" state="hidden" r:id="rId41"/>
    <sheet name="Sheet1" sheetId="68" r:id="rId42"/>
  </sheet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1"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E28" i="68"/>
  <c r="E27"/>
  <c r="E26"/>
  <c r="E25"/>
  <c r="E24"/>
  <c r="C28"/>
  <c r="C24"/>
  <c r="G34" i="34"/>
  <c r="E34"/>
  <c r="E47" i="33"/>
  <c r="G47"/>
  <c r="I47"/>
  <c r="C33" i="21"/>
  <c r="C33" i="33" s="1"/>
  <c r="C34" i="34" s="1"/>
  <c r="I7" i="21" l="1"/>
  <c r="G7"/>
  <c r="C40" i="39"/>
  <c r="C12"/>
  <c r="E18" i="68"/>
  <c r="D18"/>
  <c r="Q73" i="69"/>
  <c r="Q60"/>
  <c r="D60"/>
  <c r="Q59"/>
  <c r="K59"/>
  <c r="P75" s="1"/>
  <c r="F58"/>
  <c r="P62" l="1"/>
  <c r="Q52"/>
  <c r="J50"/>
  <c r="M47" l="1"/>
  <c r="F34" l="1"/>
  <c r="F61" s="1"/>
  <c r="F33"/>
  <c r="F60" s="1"/>
  <c r="F32"/>
  <c r="F59" s="1"/>
  <c r="F31"/>
  <c r="F28"/>
  <c r="F23"/>
  <c r="D24" s="1"/>
  <c r="D22"/>
  <c r="F21"/>
  <c r="M20"/>
  <c r="F20"/>
  <c r="M19"/>
  <c r="M18"/>
  <c r="F18"/>
  <c r="M17"/>
  <c r="D23" l="1"/>
  <c r="F17"/>
  <c r="F15"/>
  <c r="F22" i="6" l="1"/>
  <c r="F21"/>
  <c r="F20"/>
  <c r="F19"/>
  <c r="J4" i="59" l="1"/>
  <c r="K4"/>
  <c r="L4"/>
  <c r="I4"/>
  <c r="Q4" l="1"/>
  <c r="F4" s="1"/>
  <c r="P4"/>
  <c r="E4" s="1"/>
  <c r="O4"/>
  <c r="C4" s="1"/>
  <c r="D4" s="1"/>
  <c r="N4"/>
  <c r="B4" s="1"/>
  <c r="I5" l="1"/>
  <c r="L5"/>
  <c r="K5"/>
  <c r="J5"/>
  <c r="N5" l="1"/>
  <c r="Q5"/>
  <c r="P5"/>
  <c r="O5"/>
  <c r="K59" i="15" l="1"/>
  <c r="P62" s="1"/>
  <c r="P75" l="1"/>
  <c r="Q74" i="44" l="1"/>
  <c r="Q61"/>
  <c r="Q60"/>
  <c r="Q53"/>
  <c r="J51"/>
  <c r="J52" s="1"/>
  <c r="M48"/>
  <c r="A16" i="55" l="1"/>
  <c r="A15"/>
  <c r="A14"/>
  <c r="A10"/>
  <c r="A9"/>
  <c r="A8"/>
  <c r="A6" i="54"/>
  <c r="A8"/>
  <c r="A7"/>
  <c r="A28" i="51"/>
  <c r="A27"/>
  <c r="D5" i="46" l="1"/>
  <c r="Q6" i="59" l="1"/>
  <c r="O6"/>
  <c r="N7"/>
  <c r="O7"/>
  <c r="P7"/>
  <c r="Q7"/>
  <c r="N6"/>
  <c r="P6"/>
  <c r="B8"/>
  <c r="C8"/>
  <c r="D8" s="1"/>
  <c r="E8"/>
  <c r="F8"/>
  <c r="E12" i="67"/>
  <c r="B8"/>
  <c r="F10"/>
  <c r="E8"/>
  <c r="F12"/>
  <c r="E11"/>
  <c r="E9"/>
  <c r="B9"/>
  <c r="F14"/>
  <c r="B10"/>
  <c r="F13"/>
  <c r="F11"/>
  <c r="F9"/>
  <c r="F8"/>
  <c r="E14"/>
  <c r="B11"/>
  <c r="B13"/>
  <c r="E10"/>
  <c r="B12"/>
  <c r="B14"/>
  <c r="E13"/>
  <c r="K75" i="9" l="1"/>
  <c r="K6" i="4"/>
  <c r="O76" i="9" s="1"/>
  <c r="L76" l="1"/>
  <c r="K76"/>
  <c r="K77" s="1"/>
  <c r="K79" s="1"/>
  <c r="K81" s="1"/>
  <c r="B22" i="31"/>
  <c r="E15" i="66" l="1"/>
  <c r="F15"/>
  <c r="E16"/>
  <c r="F16"/>
  <c r="E17"/>
  <c r="F17"/>
  <c r="E18"/>
  <c r="F18"/>
  <c r="E19"/>
  <c r="F19"/>
  <c r="E20"/>
  <c r="F20"/>
  <c r="E21"/>
  <c r="F21"/>
  <c r="E22"/>
  <c r="F22"/>
  <c r="E23"/>
  <c r="F23"/>
  <c r="B3"/>
  <c r="M19" i="46" l="1"/>
  <c r="V8" i="59" l="1"/>
  <c r="U8"/>
  <c r="T8"/>
  <c r="S8"/>
  <c r="B7" l="1"/>
  <c r="B6" s="1"/>
  <c r="B5" s="1"/>
  <c r="E7"/>
  <c r="E6" s="1"/>
  <c r="E5" s="1"/>
  <c r="C7"/>
  <c r="F7"/>
  <c r="F6" s="1"/>
  <c r="F5" s="1"/>
  <c r="D7" l="1"/>
  <c r="C6"/>
  <c r="AD3"/>
  <c r="AE3"/>
  <c r="AF3" s="1"/>
  <c r="AG3"/>
  <c r="AH3"/>
  <c r="AD5"/>
  <c r="AE5"/>
  <c r="AF5" s="1"/>
  <c r="AG5"/>
  <c r="AH5"/>
  <c r="AD6"/>
  <c r="AE6"/>
  <c r="AF6" s="1"/>
  <c r="AG6"/>
  <c r="AH6"/>
  <c r="AD7"/>
  <c r="AE7"/>
  <c r="AF7" s="1"/>
  <c r="AG7"/>
  <c r="AH7"/>
  <c r="AD8"/>
  <c r="AE8"/>
  <c r="AF8" s="1"/>
  <c r="AG8"/>
  <c r="AH8"/>
  <c r="AD9"/>
  <c r="AE9"/>
  <c r="AF9" s="1"/>
  <c r="AG9"/>
  <c r="AH9"/>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D18"/>
  <c r="AE18"/>
  <c r="AF18"/>
  <c r="AG18"/>
  <c r="AH18"/>
  <c r="AH19"/>
  <c r="AG19"/>
  <c r="AE19"/>
  <c r="AF19" s="1"/>
  <c r="AD19"/>
  <c r="AD20"/>
  <c r="AE20"/>
  <c r="AF20"/>
  <c r="AG20"/>
  <c r="AH20"/>
  <c r="X9"/>
  <c r="Y9"/>
  <c r="Z9" s="1"/>
  <c r="AA9"/>
  <c r="AB9"/>
  <c r="X10"/>
  <c r="Y10"/>
  <c r="Z10"/>
  <c r="AA10"/>
  <c r="AB10"/>
  <c r="X11"/>
  <c r="Y11"/>
  <c r="Z11" s="1"/>
  <c r="AA11"/>
  <c r="AB11"/>
  <c r="X12"/>
  <c r="Y12"/>
  <c r="Z12"/>
  <c r="AA12"/>
  <c r="AB12"/>
  <c r="X13"/>
  <c r="Y13"/>
  <c r="Z13" s="1"/>
  <c r="AA13"/>
  <c r="AB13"/>
  <c r="X14"/>
  <c r="Y14"/>
  <c r="Z14"/>
  <c r="AA14"/>
  <c r="AB14"/>
  <c r="X15"/>
  <c r="Y15"/>
  <c r="Z15" s="1"/>
  <c r="AA15"/>
  <c r="AB15"/>
  <c r="X16"/>
  <c r="Y16"/>
  <c r="Z16"/>
  <c r="AA16"/>
  <c r="AB16"/>
  <c r="X17"/>
  <c r="Y17"/>
  <c r="Z17" s="1"/>
  <c r="AA17"/>
  <c r="AB17"/>
  <c r="AB18"/>
  <c r="AA18"/>
  <c r="Y18"/>
  <c r="X18"/>
  <c r="D6" l="1"/>
  <c r="C5"/>
  <c r="D5" s="1"/>
  <c r="S2" i="31"/>
  <c r="M2"/>
  <c r="N2"/>
  <c r="O2"/>
  <c r="P2"/>
  <c r="Q2"/>
  <c r="R2"/>
  <c r="C3" i="65" l="1"/>
  <c r="C1"/>
  <c r="N1" s="1"/>
  <c r="N7"/>
  <c r="H1" l="1"/>
  <c r="B76" i="63"/>
  <c r="N4" i="65"/>
  <c r="I5"/>
  <c r="N5"/>
  <c r="J3"/>
  <c r="J4"/>
  <c r="N6"/>
  <c r="N3"/>
  <c r="I6"/>
  <c r="I4"/>
  <c r="J7"/>
  <c r="J5"/>
  <c r="J6"/>
  <c r="I3"/>
  <c r="I7"/>
  <c r="E20" i="46" l="1"/>
  <c r="J1" i="65"/>
  <c r="C4"/>
  <c r="B39" i="1" s="1"/>
  <c r="E3" i="65"/>
  <c r="M11" i="69" l="1"/>
  <c r="J10" s="1"/>
  <c r="F11"/>
  <c r="F17" i="11"/>
  <c r="M5" i="54"/>
  <c r="A23" i="51"/>
  <c r="C52" i="69" l="1"/>
  <c r="Y12" i="46"/>
  <c r="AA9"/>
  <c r="AB9"/>
  <c r="AC9"/>
  <c r="AD9"/>
  <c r="AE9"/>
  <c r="AF9"/>
  <c r="AG9"/>
  <c r="AH9"/>
  <c r="AI9"/>
  <c r="AJ9"/>
  <c r="Z9"/>
  <c r="Z10" s="1"/>
  <c r="AJ10"/>
  <c r="AI10"/>
  <c r="AH10"/>
  <c r="AG10"/>
  <c r="AF10"/>
  <c r="AE10"/>
  <c r="AD10"/>
  <c r="AC10"/>
  <c r="AB10"/>
  <c r="AA10"/>
  <c r="Y10"/>
  <c r="AJ12" l="1"/>
  <c r="AH12"/>
  <c r="AF12"/>
  <c r="AD12"/>
  <c r="AB12"/>
  <c r="Z12"/>
  <c r="AI12"/>
  <c r="AG12"/>
  <c r="AE12"/>
  <c r="AC12"/>
  <c r="AA12"/>
  <c r="B75" i="63"/>
  <c r="B73"/>
  <c r="A21" i="64" l="1"/>
  <c r="A28"/>
  <c r="A27"/>
  <c r="A15"/>
  <c r="A14"/>
  <c r="A11"/>
  <c r="A3"/>
  <c r="A45" i="9"/>
  <c r="A44"/>
  <c r="C57" i="10"/>
  <c r="C56"/>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8" i="59" l="1"/>
  <c r="P8"/>
  <c r="O8"/>
  <c r="N8"/>
  <c r="D69"/>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U52" s="1"/>
  <c r="C52"/>
  <c r="T52" s="1"/>
  <c r="B52"/>
  <c r="S52" s="1"/>
  <c r="Q51"/>
  <c r="P51"/>
  <c r="O51"/>
  <c r="N51"/>
  <c r="F51"/>
  <c r="F50" s="1"/>
  <c r="B51"/>
  <c r="B50" s="1"/>
  <c r="Q50"/>
  <c r="P50"/>
  <c r="O50"/>
  <c r="N50"/>
  <c r="Q49"/>
  <c r="P49"/>
  <c r="O49"/>
  <c r="N49"/>
  <c r="D49"/>
  <c r="F48"/>
  <c r="V48" s="1"/>
  <c r="E48"/>
  <c r="E47" s="1"/>
  <c r="P47" s="1"/>
  <c r="C48"/>
  <c r="B48"/>
  <c r="N48" s="1"/>
  <c r="F47"/>
  <c r="F46" s="1"/>
  <c r="Q46" s="1"/>
  <c r="B47"/>
  <c r="Q45"/>
  <c r="D45"/>
  <c r="Q44"/>
  <c r="P44"/>
  <c r="O44"/>
  <c r="N44"/>
  <c r="Q43"/>
  <c r="P43"/>
  <c r="O43"/>
  <c r="N43"/>
  <c r="Q42"/>
  <c r="P42"/>
  <c r="O42"/>
  <c r="N42"/>
  <c r="Q41"/>
  <c r="F42" s="1"/>
  <c r="P41"/>
  <c r="E42" s="1"/>
  <c r="E43" s="1"/>
  <c r="E44" s="1"/>
  <c r="U44" s="1"/>
  <c r="O41"/>
  <c r="C42" s="1"/>
  <c r="N41"/>
  <c r="B42" s="1"/>
  <c r="B43" s="1"/>
  <c r="B44" s="1"/>
  <c r="S44" s="1"/>
  <c r="D41"/>
  <c r="Q40"/>
  <c r="P40"/>
  <c r="O40"/>
  <c r="N40"/>
  <c r="Q39"/>
  <c r="P39"/>
  <c r="O39"/>
  <c r="N39"/>
  <c r="Q38"/>
  <c r="P38"/>
  <c r="O38"/>
  <c r="N38"/>
  <c r="Q37"/>
  <c r="F38" s="1"/>
  <c r="P37"/>
  <c r="E38" s="1"/>
  <c r="E39" s="1"/>
  <c r="E40" s="1"/>
  <c r="U40" s="1"/>
  <c r="O37"/>
  <c r="C38" s="1"/>
  <c r="N37"/>
  <c r="B38" s="1"/>
  <c r="B39" s="1"/>
  <c r="B40" s="1"/>
  <c r="S40" s="1"/>
  <c r="D37"/>
  <c r="Q36"/>
  <c r="P36"/>
  <c r="O36"/>
  <c r="N36"/>
  <c r="Q35"/>
  <c r="P35"/>
  <c r="O35"/>
  <c r="N35"/>
  <c r="Q34"/>
  <c r="P34"/>
  <c r="O34"/>
  <c r="N34"/>
  <c r="Q33"/>
  <c r="F34" s="1"/>
  <c r="P33"/>
  <c r="E34" s="1"/>
  <c r="E35" s="1"/>
  <c r="E36" s="1"/>
  <c r="U36" s="1"/>
  <c r="O33"/>
  <c r="C34" s="1"/>
  <c r="N33"/>
  <c r="B34" s="1"/>
  <c r="B35" s="1"/>
  <c r="B36" s="1"/>
  <c r="S36" s="1"/>
  <c r="D33"/>
  <c r="Q32"/>
  <c r="P32"/>
  <c r="O32"/>
  <c r="N32"/>
  <c r="Q31"/>
  <c r="P31"/>
  <c r="O31"/>
  <c r="N31"/>
  <c r="Q30"/>
  <c r="P30"/>
  <c r="O30"/>
  <c r="N30"/>
  <c r="Q29"/>
  <c r="F30" s="1"/>
  <c r="F31" s="1"/>
  <c r="F32" s="1"/>
  <c r="V32" s="1"/>
  <c r="P29"/>
  <c r="E30" s="1"/>
  <c r="O29"/>
  <c r="C30" s="1"/>
  <c r="N29"/>
  <c r="B30" s="1"/>
  <c r="D29"/>
  <c r="T28"/>
  <c r="Q28"/>
  <c r="P28"/>
  <c r="O28"/>
  <c r="N28"/>
  <c r="D28"/>
  <c r="Q27"/>
  <c r="P27"/>
  <c r="O27"/>
  <c r="N27"/>
  <c r="Q26"/>
  <c r="P26"/>
  <c r="O26"/>
  <c r="N26"/>
  <c r="Q25"/>
  <c r="F26" s="1"/>
  <c r="P25"/>
  <c r="E26" s="1"/>
  <c r="E27" s="1"/>
  <c r="E28" s="1"/>
  <c r="U28" s="1"/>
  <c r="O25"/>
  <c r="C26" s="1"/>
  <c r="N25"/>
  <c r="B26" s="1"/>
  <c r="B27" s="1"/>
  <c r="B28" s="1"/>
  <c r="S28" s="1"/>
  <c r="D25"/>
  <c r="Q24"/>
  <c r="P24"/>
  <c r="O24"/>
  <c r="N24"/>
  <c r="Q23"/>
  <c r="P23"/>
  <c r="O23"/>
  <c r="N23"/>
  <c r="Q22"/>
  <c r="P22"/>
  <c r="O22"/>
  <c r="N22"/>
  <c r="Q21"/>
  <c r="F22" s="1"/>
  <c r="P21"/>
  <c r="E22" s="1"/>
  <c r="E23" s="1"/>
  <c r="E24" s="1"/>
  <c r="U24" s="1"/>
  <c r="O21"/>
  <c r="C22" s="1"/>
  <c r="N21"/>
  <c r="B22" s="1"/>
  <c r="B23" s="1"/>
  <c r="B24" s="1"/>
  <c r="S24" s="1"/>
  <c r="D21"/>
  <c r="Q20"/>
  <c r="P20"/>
  <c r="O20"/>
  <c r="N20"/>
  <c r="Q19"/>
  <c r="AB19" s="1"/>
  <c r="P19"/>
  <c r="O19"/>
  <c r="Y19" s="1"/>
  <c r="Z19" s="1"/>
  <c r="N19"/>
  <c r="X19" s="1"/>
  <c r="Q18"/>
  <c r="P18"/>
  <c r="O18"/>
  <c r="N18"/>
  <c r="Q17"/>
  <c r="F18" s="1"/>
  <c r="P17"/>
  <c r="E18" s="1"/>
  <c r="E19" s="1"/>
  <c r="E20" s="1"/>
  <c r="U20" s="1"/>
  <c r="O17"/>
  <c r="C18" s="1"/>
  <c r="N17"/>
  <c r="B18" s="1"/>
  <c r="B19" s="1"/>
  <c r="B20" s="1"/>
  <c r="S20" s="1"/>
  <c r="D17"/>
  <c r="Q16"/>
  <c r="P16"/>
  <c r="O16"/>
  <c r="N16"/>
  <c r="Q15"/>
  <c r="P15"/>
  <c r="O15"/>
  <c r="N15"/>
  <c r="Q14"/>
  <c r="P14"/>
  <c r="O14"/>
  <c r="N14"/>
  <c r="Q13"/>
  <c r="F14" s="1"/>
  <c r="P13"/>
  <c r="E14" s="1"/>
  <c r="E15" s="1"/>
  <c r="E16" s="1"/>
  <c r="U16" s="1"/>
  <c r="O13"/>
  <c r="C14" s="1"/>
  <c r="N13"/>
  <c r="B14" s="1"/>
  <c r="B15" s="1"/>
  <c r="B16" s="1"/>
  <c r="S16" s="1"/>
  <c r="D13"/>
  <c r="Q12"/>
  <c r="P12"/>
  <c r="O12"/>
  <c r="N12"/>
  <c r="Q11"/>
  <c r="P11"/>
  <c r="O11"/>
  <c r="N11"/>
  <c r="Q10"/>
  <c r="P10"/>
  <c r="O10"/>
  <c r="N10"/>
  <c r="Q9"/>
  <c r="F10" s="1"/>
  <c r="P9"/>
  <c r="O9"/>
  <c r="C10" s="1"/>
  <c r="N9"/>
  <c r="B10" s="1"/>
  <c r="D9"/>
  <c r="X3" l="1"/>
  <c r="X5"/>
  <c r="X6"/>
  <c r="X7"/>
  <c r="X8"/>
  <c r="AA3"/>
  <c r="AA5"/>
  <c r="AA6"/>
  <c r="AA7"/>
  <c r="AA8"/>
  <c r="Y5"/>
  <c r="Z5" s="1"/>
  <c r="Y6"/>
  <c r="Z6" s="1"/>
  <c r="Y7"/>
  <c r="Z7" s="1"/>
  <c r="Y8"/>
  <c r="Z8" s="1"/>
  <c r="Y3"/>
  <c r="Z3" s="1"/>
  <c r="AB8"/>
  <c r="AB3"/>
  <c r="AB5"/>
  <c r="AB6"/>
  <c r="AB7"/>
  <c r="B11"/>
  <c r="B12" s="1"/>
  <c r="S12" s="1"/>
  <c r="E10"/>
  <c r="E11" s="1"/>
  <c r="E12" s="1"/>
  <c r="U12" s="1"/>
  <c r="B31"/>
  <c r="B32" s="1"/>
  <c r="S32" s="1"/>
  <c r="E31"/>
  <c r="E32" s="1"/>
  <c r="U32" s="1"/>
  <c r="S48"/>
  <c r="Z18"/>
  <c r="AA19"/>
  <c r="F11"/>
  <c r="F12" s="1"/>
  <c r="V12" s="1"/>
  <c r="F15"/>
  <c r="F16" s="1"/>
  <c r="V16" s="1"/>
  <c r="F19"/>
  <c r="F20" s="1"/>
  <c r="V20" s="1"/>
  <c r="F23"/>
  <c r="F24" s="1"/>
  <c r="V24" s="1"/>
  <c r="F27"/>
  <c r="F28" s="1"/>
  <c r="V28" s="1"/>
  <c r="F35"/>
  <c r="F36" s="1"/>
  <c r="V36" s="1"/>
  <c r="F39"/>
  <c r="F40" s="1"/>
  <c r="V40" s="1"/>
  <c r="F43"/>
  <c r="F44" s="1"/>
  <c r="V44" s="1"/>
  <c r="C11"/>
  <c r="D10"/>
  <c r="C19"/>
  <c r="D18"/>
  <c r="C23"/>
  <c r="D22"/>
  <c r="C27"/>
  <c r="D27" s="1"/>
  <c r="D26"/>
  <c r="C31"/>
  <c r="D30"/>
  <c r="C35"/>
  <c r="D34"/>
  <c r="C39"/>
  <c r="D38"/>
  <c r="C43"/>
  <c r="D42"/>
  <c r="C15"/>
  <c r="D14"/>
  <c r="E46"/>
  <c r="N47"/>
  <c r="B46"/>
  <c r="Q47"/>
  <c r="T48"/>
  <c r="O48"/>
  <c r="D48"/>
  <c r="C47"/>
  <c r="P48"/>
  <c r="U48"/>
  <c r="Q48"/>
  <c r="C51"/>
  <c r="E51"/>
  <c r="E50" s="1"/>
  <c r="D52"/>
  <c r="C55"/>
  <c r="E55"/>
  <c r="E54" s="1"/>
  <c r="D56"/>
  <c r="C59"/>
  <c r="E59"/>
  <c r="E58" s="1"/>
  <c r="D60"/>
  <c r="C63"/>
  <c r="C67"/>
  <c r="U16" i="4"/>
  <c r="S16"/>
  <c r="Q16"/>
  <c r="O16"/>
  <c r="M16"/>
  <c r="K16"/>
  <c r="P45" i="59" l="1"/>
  <c r="P46"/>
  <c r="D67"/>
  <c r="C66"/>
  <c r="D66" s="1"/>
  <c r="D59"/>
  <c r="C58"/>
  <c r="D58" s="1"/>
  <c r="D51"/>
  <c r="C50"/>
  <c r="D50" s="1"/>
  <c r="C46"/>
  <c r="O47"/>
  <c r="D47"/>
  <c r="D63"/>
  <c r="C62"/>
  <c r="D62" s="1"/>
  <c r="D55"/>
  <c r="C54"/>
  <c r="D54" s="1"/>
  <c r="N45"/>
  <c r="N46"/>
  <c r="C16"/>
  <c r="D15"/>
  <c r="C44"/>
  <c r="D43"/>
  <c r="D39"/>
  <c r="C40"/>
  <c r="C36"/>
  <c r="D35"/>
  <c r="C32"/>
  <c r="D31"/>
  <c r="C24"/>
  <c r="D23"/>
  <c r="C20"/>
  <c r="D19"/>
  <c r="C12"/>
  <c r="D11"/>
  <c r="N16" i="4"/>
  <c r="L16"/>
  <c r="T40" i="59" l="1"/>
  <c r="D40"/>
  <c r="T12"/>
  <c r="D12"/>
  <c r="T20"/>
  <c r="D20"/>
  <c r="T24"/>
  <c r="D24"/>
  <c r="T32"/>
  <c r="D32"/>
  <c r="T36"/>
  <c r="D36"/>
  <c r="T44"/>
  <c r="D44"/>
  <c r="T16"/>
  <c r="D16"/>
  <c r="O46"/>
  <c r="D46"/>
  <c r="O45"/>
  <c r="O27" i="6" l="1"/>
  <c r="N27"/>
  <c r="P26"/>
  <c r="L26"/>
  <c r="P25"/>
  <c r="L25"/>
  <c r="P24"/>
  <c r="L24"/>
  <c r="P23"/>
  <c r="L23"/>
  <c r="P22"/>
  <c r="L22"/>
  <c r="P21"/>
  <c r="L21"/>
  <c r="P20"/>
  <c r="P19"/>
  <c r="P27" s="1"/>
  <c r="Z18" i="36" l="1"/>
  <c r="Q18"/>
  <c r="C18"/>
  <c r="D66"/>
  <c r="F18" s="1"/>
  <c r="AA18" s="1"/>
  <c r="Z18" i="35"/>
  <c r="Q18"/>
  <c r="F18"/>
  <c r="AA18" s="1"/>
  <c r="C18"/>
  <c r="D68"/>
  <c r="E68" s="1"/>
  <c r="F68" s="1"/>
  <c r="G68" s="1"/>
  <c r="Z21" i="37"/>
  <c r="Q21"/>
  <c r="F21"/>
  <c r="AA21" s="1"/>
  <c r="C21"/>
  <c r="E77"/>
  <c r="F77" s="1"/>
  <c r="G77" s="1"/>
  <c r="D77"/>
  <c r="Z21" i="34"/>
  <c r="Q21"/>
  <c r="C21"/>
  <c r="D84"/>
  <c r="F21" s="1"/>
  <c r="AA21" s="1"/>
  <c r="Z21" i="33"/>
  <c r="Q21"/>
  <c r="C21"/>
  <c r="D83"/>
  <c r="E83" s="1"/>
  <c r="F83" s="1"/>
  <c r="G83" s="1"/>
  <c r="Z21" i="21"/>
  <c r="Q21"/>
  <c r="D83"/>
  <c r="E83" s="1"/>
  <c r="F21"/>
  <c r="AA21" s="1"/>
  <c r="C21"/>
  <c r="Z27" i="40"/>
  <c r="Q27"/>
  <c r="D96"/>
  <c r="E96" s="1"/>
  <c r="F27"/>
  <c r="AA27" s="1"/>
  <c r="Z31" i="39"/>
  <c r="Q3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K2" i="4"/>
  <c r="K1"/>
  <c r="B1"/>
  <c r="B37" i="50" s="1"/>
  <c r="B2" i="63" s="1"/>
  <c r="C31" i="57"/>
  <c r="C32"/>
  <c r="I23"/>
  <c r="D20"/>
  <c r="I19"/>
  <c r="I18"/>
  <c r="I17"/>
  <c r="I20"/>
  <c r="E15"/>
  <c r="I14"/>
  <c r="I13"/>
  <c r="I12"/>
  <c r="I15"/>
  <c r="I9"/>
  <c r="I8"/>
  <c r="I7"/>
  <c r="I6"/>
  <c r="I5"/>
  <c r="I4"/>
  <c r="I3"/>
  <c r="I10"/>
  <c r="M11" i="15"/>
  <c r="J10" s="1"/>
  <c r="I21" i="57"/>
  <c r="D1"/>
  <c r="E10"/>
  <c r="C30"/>
  <c r="E26"/>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10" i="1"/>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G10" s="1"/>
  <c r="B2"/>
  <c r="A12"/>
  <c r="R12" s="1"/>
  <c r="A13"/>
  <c r="B13"/>
  <c r="E13" s="1"/>
  <c r="A7"/>
  <c r="A8"/>
  <c r="A9"/>
  <c r="A10"/>
  <c r="R10" s="1"/>
  <c r="A11"/>
  <c r="A6"/>
  <c r="G1" i="69" s="1"/>
  <c r="T4" i="1"/>
  <c r="K12"/>
  <c r="M12" s="1"/>
  <c r="K13"/>
  <c r="M13" s="1"/>
  <c r="G79" i="36"/>
  <c r="G85" i="35"/>
  <c r="G97" i="37"/>
  <c r="G110" i="34"/>
  <c r="G109" i="33"/>
  <c r="L2" i="31"/>
  <c r="K2"/>
  <c r="J2"/>
  <c r="I2"/>
  <c r="H2"/>
  <c r="G2"/>
  <c r="F2"/>
  <c r="E2"/>
  <c r="D2"/>
  <c r="C2"/>
  <c r="D60" i="15"/>
  <c r="G19" i="20"/>
  <c r="B84" i="46" s="1"/>
  <c r="BT112" i="3"/>
  <c r="BS112"/>
  <c r="BR112"/>
  <c r="BQ112"/>
  <c r="BP112"/>
  <c r="BO112"/>
  <c r="BN112"/>
  <c r="BM112"/>
  <c r="BL112"/>
  <c r="BK112"/>
  <c r="BJ112"/>
  <c r="BI112"/>
  <c r="BH112"/>
  <c r="BG112"/>
  <c r="BF112"/>
  <c r="BE112"/>
  <c r="BD112"/>
  <c r="BC112"/>
  <c r="BB112"/>
  <c r="BA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Z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X106"/>
  <c r="AW106"/>
  <c r="AV106"/>
  <c r="AC106"/>
  <c r="H106"/>
  <c r="G106"/>
  <c r="BT105"/>
  <c r="BS105"/>
  <c r="BR105"/>
  <c r="BQ105"/>
  <c r="BP105"/>
  <c r="BO105"/>
  <c r="BN105"/>
  <c r="BM105"/>
  <c r="BL105"/>
  <c r="BK105"/>
  <c r="BJ105"/>
  <c r="BI105"/>
  <c r="BH105"/>
  <c r="BG105"/>
  <c r="BF105"/>
  <c r="BE105"/>
  <c r="BD105"/>
  <c r="BC105"/>
  <c r="BB105"/>
  <c r="BA105"/>
  <c r="AZ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Z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X99"/>
  <c r="AW99"/>
  <c r="AV99"/>
  <c r="AC99"/>
  <c r="H99"/>
  <c r="G99"/>
  <c r="BT98"/>
  <c r="BS98"/>
  <c r="BR98"/>
  <c r="BQ98"/>
  <c r="BP98"/>
  <c r="BO98"/>
  <c r="BN98"/>
  <c r="BM98"/>
  <c r="BL98"/>
  <c r="BK98"/>
  <c r="BJ98"/>
  <c r="BI98"/>
  <c r="BH98"/>
  <c r="BG98"/>
  <c r="BF98"/>
  <c r="BE98"/>
  <c r="BD98"/>
  <c r="BC98"/>
  <c r="BB98"/>
  <c r="BA98"/>
  <c r="AX98"/>
  <c r="AW98"/>
  <c r="AV98"/>
  <c r="AC98"/>
  <c r="H98"/>
  <c r="G98"/>
  <c r="BT97"/>
  <c r="BS97"/>
  <c r="BR97"/>
  <c r="BQ97"/>
  <c r="BP97"/>
  <c r="BO97"/>
  <c r="BN97"/>
  <c r="BM97"/>
  <c r="BL97"/>
  <c r="BK97"/>
  <c r="BJ97"/>
  <c r="BI97"/>
  <c r="BH97"/>
  <c r="BG97"/>
  <c r="BF97"/>
  <c r="BE97"/>
  <c r="BD97"/>
  <c r="BC97"/>
  <c r="BB97"/>
  <c r="BA97"/>
  <c r="AZ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Z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X91"/>
  <c r="AW91"/>
  <c r="AV91"/>
  <c r="AC91"/>
  <c r="H91"/>
  <c r="G91"/>
  <c r="BT90"/>
  <c r="BS90"/>
  <c r="BR90"/>
  <c r="BQ90"/>
  <c r="BP90"/>
  <c r="BO90"/>
  <c r="BN90"/>
  <c r="BM90"/>
  <c r="BL90"/>
  <c r="BK90"/>
  <c r="BJ90"/>
  <c r="BI90"/>
  <c r="BH90"/>
  <c r="BG90"/>
  <c r="BF90"/>
  <c r="BE90"/>
  <c r="BD90"/>
  <c r="BC90"/>
  <c r="BB90"/>
  <c r="BA90"/>
  <c r="AX90"/>
  <c r="AW90"/>
  <c r="AV90"/>
  <c r="AC90"/>
  <c r="H90"/>
  <c r="G90"/>
  <c r="BT89"/>
  <c r="BS89"/>
  <c r="BR89"/>
  <c r="BQ89"/>
  <c r="BP89"/>
  <c r="BO89"/>
  <c r="BN89"/>
  <c r="BM89"/>
  <c r="BL89"/>
  <c r="BK89"/>
  <c r="BJ89"/>
  <c r="BI89"/>
  <c r="BH89"/>
  <c r="BG89"/>
  <c r="BF89"/>
  <c r="BE89"/>
  <c r="BD89"/>
  <c r="BC89"/>
  <c r="BB89"/>
  <c r="BA89"/>
  <c r="AZ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Z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Z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X78"/>
  <c r="AW78"/>
  <c r="AV78"/>
  <c r="AC78"/>
  <c r="H78"/>
  <c r="G78"/>
  <c r="BT77"/>
  <c r="BS77"/>
  <c r="BR77"/>
  <c r="BQ77"/>
  <c r="BP77"/>
  <c r="BO77"/>
  <c r="BN77"/>
  <c r="BM77"/>
  <c r="BL77"/>
  <c r="BK77"/>
  <c r="BJ77"/>
  <c r="BI77"/>
  <c r="BH77"/>
  <c r="BG77"/>
  <c r="BF77"/>
  <c r="BE77"/>
  <c r="BD77"/>
  <c r="BC77"/>
  <c r="BB77"/>
  <c r="BA77"/>
  <c r="AZ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Z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Z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X70"/>
  <c r="AW70"/>
  <c r="AV70"/>
  <c r="AC70"/>
  <c r="H70"/>
  <c r="G70"/>
  <c r="BT69"/>
  <c r="BS69"/>
  <c r="BR69"/>
  <c r="BQ69"/>
  <c r="BP69"/>
  <c r="BO69"/>
  <c r="BN69"/>
  <c r="BM69"/>
  <c r="BL69"/>
  <c r="BK69"/>
  <c r="BJ69"/>
  <c r="BI69"/>
  <c r="BH69"/>
  <c r="BG69"/>
  <c r="BF69"/>
  <c r="BE69"/>
  <c r="BD69"/>
  <c r="BC69"/>
  <c r="BB69"/>
  <c r="BA69"/>
  <c r="AZ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Z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Z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Z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Z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Z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Z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Z42"/>
  <c r="AX42"/>
  <c r="AW42"/>
  <c r="AV42"/>
  <c r="AC42"/>
  <c r="H42"/>
  <c r="G42"/>
  <c r="BT41"/>
  <c r="BS41"/>
  <c r="BR41"/>
  <c r="BQ41"/>
  <c r="BP41"/>
  <c r="BO41"/>
  <c r="BN41"/>
  <c r="BM41"/>
  <c r="BL41"/>
  <c r="BK41"/>
  <c r="BJ41"/>
  <c r="BI41"/>
  <c r="BH41"/>
  <c r="BG41"/>
  <c r="BF41"/>
  <c r="BE41"/>
  <c r="BD41"/>
  <c r="BC41"/>
  <c r="BB41"/>
  <c r="BA41"/>
  <c r="AZ41"/>
  <c r="AX41"/>
  <c r="AW41"/>
  <c r="AV41"/>
  <c r="AC41"/>
  <c r="H41"/>
  <c r="G41"/>
  <c r="BT40"/>
  <c r="BS40"/>
  <c r="BR40"/>
  <c r="BQ40"/>
  <c r="BP40"/>
  <c r="BO40"/>
  <c r="BN40"/>
  <c r="BM40"/>
  <c r="BL40"/>
  <c r="BK40"/>
  <c r="BJ40"/>
  <c r="BI40"/>
  <c r="BH40"/>
  <c r="BG40"/>
  <c r="BF40"/>
  <c r="BE40"/>
  <c r="BD40"/>
  <c r="BC40"/>
  <c r="BB40"/>
  <c r="BA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Z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Z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Z29"/>
  <c r="AX29"/>
  <c r="AW29"/>
  <c r="AV29"/>
  <c r="AC29"/>
  <c r="H29"/>
  <c r="G29"/>
  <c r="BT28"/>
  <c r="BS28"/>
  <c r="BR28"/>
  <c r="BQ28"/>
  <c r="BP28"/>
  <c r="BO28"/>
  <c r="BN28"/>
  <c r="BM28"/>
  <c r="BL28"/>
  <c r="BK28"/>
  <c r="BJ28"/>
  <c r="BI28"/>
  <c r="BH28"/>
  <c r="BG28"/>
  <c r="BF28"/>
  <c r="BE28"/>
  <c r="BD28"/>
  <c r="BC28"/>
  <c r="BB28"/>
  <c r="BA28"/>
  <c r="AZ28"/>
  <c r="AX28"/>
  <c r="AW28"/>
  <c r="AV28"/>
  <c r="AC28"/>
  <c r="H28"/>
  <c r="G28"/>
  <c r="BT27"/>
  <c r="BS27"/>
  <c r="BR27"/>
  <c r="BQ27"/>
  <c r="BP27"/>
  <c r="BO27"/>
  <c r="BN27"/>
  <c r="BM27"/>
  <c r="BL27"/>
  <c r="BK27"/>
  <c r="BJ27"/>
  <c r="BI27"/>
  <c r="BH27"/>
  <c r="BG27"/>
  <c r="BF27"/>
  <c r="BE27"/>
  <c r="BD27"/>
  <c r="BC27"/>
  <c r="BB27"/>
  <c r="BA27"/>
  <c r="AX27"/>
  <c r="AW27"/>
  <c r="AV27"/>
  <c r="AC27"/>
  <c r="H27"/>
  <c r="G27"/>
  <c r="BT26"/>
  <c r="BS26"/>
  <c r="BR26"/>
  <c r="BQ26"/>
  <c r="BP26"/>
  <c r="BO26"/>
  <c r="BN26"/>
  <c r="BM26"/>
  <c r="BL26"/>
  <c r="BK26"/>
  <c r="BJ26"/>
  <c r="BI26"/>
  <c r="BH26"/>
  <c r="BG26"/>
  <c r="BF26"/>
  <c r="BE26"/>
  <c r="BD26"/>
  <c r="BC26"/>
  <c r="BB26"/>
  <c r="BA26"/>
  <c r="AZ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X23"/>
  <c r="AW23"/>
  <c r="AV23"/>
  <c r="AC23"/>
  <c r="H23"/>
  <c r="G23"/>
  <c r="BT22"/>
  <c r="BS22"/>
  <c r="BR22"/>
  <c r="BQ22"/>
  <c r="BP22"/>
  <c r="BO22"/>
  <c r="BN22"/>
  <c r="BM22"/>
  <c r="BL22"/>
  <c r="BK22"/>
  <c r="BJ22"/>
  <c r="BI22"/>
  <c r="BH22"/>
  <c r="BG22"/>
  <c r="BF22"/>
  <c r="BE22"/>
  <c r="BD22"/>
  <c r="BC22"/>
  <c r="BB22"/>
  <c r="BA22"/>
  <c r="AZ22" s="1"/>
  <c r="AX22"/>
  <c r="AW22"/>
  <c r="AV22"/>
  <c r="AC22"/>
  <c r="H22"/>
  <c r="G22" s="1"/>
  <c r="BT21"/>
  <c r="BS21"/>
  <c r="BR21"/>
  <c r="BQ21"/>
  <c r="BP21"/>
  <c r="BO21"/>
  <c r="BN21"/>
  <c r="BM21"/>
  <c r="BL21"/>
  <c r="BK21"/>
  <c r="BJ21"/>
  <c r="BI21"/>
  <c r="BH21"/>
  <c r="BG21"/>
  <c r="BF21"/>
  <c r="BE21"/>
  <c r="BD21"/>
  <c r="BC21"/>
  <c r="BB21"/>
  <c r="BA21" s="1"/>
  <c r="AZ21" s="1"/>
  <c r="AX21"/>
  <c r="AW21"/>
  <c r="AV21"/>
  <c r="AC21"/>
  <c r="H21"/>
  <c r="G21"/>
  <c r="BT204"/>
  <c r="BS204"/>
  <c r="BR204"/>
  <c r="BQ204"/>
  <c r="BP204"/>
  <c r="BO204"/>
  <c r="BN204"/>
  <c r="BM204"/>
  <c r="BL204"/>
  <c r="BK204"/>
  <c r="BJ204"/>
  <c r="BI204"/>
  <c r="BH204"/>
  <c r="BG204"/>
  <c r="BF204"/>
  <c r="BE204"/>
  <c r="BD204"/>
  <c r="BC204"/>
  <c r="BB204"/>
  <c r="BA204"/>
  <c r="AZ204"/>
  <c r="AX204"/>
  <c r="AW204"/>
  <c r="AV204"/>
  <c r="AC204"/>
  <c r="H204"/>
  <c r="G204"/>
  <c r="BT203"/>
  <c r="BS203"/>
  <c r="BR203"/>
  <c r="BQ203"/>
  <c r="BP203"/>
  <c r="BO203"/>
  <c r="BN203"/>
  <c r="BM203"/>
  <c r="BL203"/>
  <c r="BK203"/>
  <c r="BJ203"/>
  <c r="BI203"/>
  <c r="BH203"/>
  <c r="BG203"/>
  <c r="BF203"/>
  <c r="BE203"/>
  <c r="BD203"/>
  <c r="BC203"/>
  <c r="BB203"/>
  <c r="BA203"/>
  <c r="AX203"/>
  <c r="AW203"/>
  <c r="AV203"/>
  <c r="AC203"/>
  <c r="H203"/>
  <c r="G203"/>
  <c r="BT202"/>
  <c r="BS202"/>
  <c r="BR202"/>
  <c r="BQ202"/>
  <c r="BP202"/>
  <c r="BO202"/>
  <c r="BN202"/>
  <c r="BM202"/>
  <c r="BL202"/>
  <c r="BK202"/>
  <c r="BJ202"/>
  <c r="BI202"/>
  <c r="BH202"/>
  <c r="BG202"/>
  <c r="BF202"/>
  <c r="BE202"/>
  <c r="BD202"/>
  <c r="BC202"/>
  <c r="BB202"/>
  <c r="BA202"/>
  <c r="AZ202"/>
  <c r="AX202"/>
  <c r="AW202"/>
  <c r="AV202"/>
  <c r="AC202"/>
  <c r="H202"/>
  <c r="G202"/>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c r="BK199"/>
  <c r="BJ199"/>
  <c r="BI199"/>
  <c r="BH199"/>
  <c r="BG199"/>
  <c r="BF199"/>
  <c r="BE199"/>
  <c r="BD199"/>
  <c r="BC199"/>
  <c r="BB199"/>
  <c r="BA199"/>
  <c r="AX199"/>
  <c r="AW199"/>
  <c r="AV199"/>
  <c r="AC199"/>
  <c r="H199"/>
  <c r="G199"/>
  <c r="BT198"/>
  <c r="BS198"/>
  <c r="BR198"/>
  <c r="BQ198"/>
  <c r="BP198"/>
  <c r="BO198"/>
  <c r="BN198"/>
  <c r="BM198"/>
  <c r="BL198"/>
  <c r="BK198"/>
  <c r="BJ198"/>
  <c r="BI198"/>
  <c r="BH198"/>
  <c r="BG198"/>
  <c r="BF198"/>
  <c r="BE198"/>
  <c r="BD198"/>
  <c r="BC198"/>
  <c r="BB198"/>
  <c r="BA198"/>
  <c r="AZ198"/>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c r="BK195"/>
  <c r="BJ195"/>
  <c r="BI195"/>
  <c r="BH195"/>
  <c r="BG195"/>
  <c r="BF195"/>
  <c r="BE195"/>
  <c r="BD195"/>
  <c r="BC195"/>
  <c r="BB195"/>
  <c r="BA195"/>
  <c r="AX195"/>
  <c r="AW195"/>
  <c r="AV195"/>
  <c r="AC195"/>
  <c r="H195"/>
  <c r="G195"/>
  <c r="BT194"/>
  <c r="BS194"/>
  <c r="BR194"/>
  <c r="BQ194"/>
  <c r="BP194"/>
  <c r="BO194"/>
  <c r="BN194"/>
  <c r="BM194"/>
  <c r="BL194"/>
  <c r="BK194"/>
  <c r="BJ194"/>
  <c r="BI194"/>
  <c r="BH194"/>
  <c r="BG194"/>
  <c r="BF194"/>
  <c r="BE194"/>
  <c r="BD194"/>
  <c r="BC194"/>
  <c r="BB194"/>
  <c r="BA194"/>
  <c r="AZ194"/>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c r="BK191"/>
  <c r="BJ191"/>
  <c r="BI191"/>
  <c r="BH191"/>
  <c r="BG191"/>
  <c r="BF191"/>
  <c r="BE191"/>
  <c r="BD191"/>
  <c r="BC191"/>
  <c r="BB191"/>
  <c r="BA191"/>
  <c r="AX191"/>
  <c r="AW191"/>
  <c r="AV191"/>
  <c r="AC191"/>
  <c r="H191"/>
  <c r="G191"/>
  <c r="BT190"/>
  <c r="BS190"/>
  <c r="BR190"/>
  <c r="BQ190"/>
  <c r="BP190"/>
  <c r="BO190"/>
  <c r="BN190"/>
  <c r="BM190"/>
  <c r="BL190"/>
  <c r="BK190"/>
  <c r="BJ190"/>
  <c r="BI190"/>
  <c r="BH190"/>
  <c r="BG190"/>
  <c r="BF190"/>
  <c r="BE190"/>
  <c r="BD190"/>
  <c r="BC190"/>
  <c r="BB190"/>
  <c r="BA190"/>
  <c r="AZ190"/>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c r="BK187"/>
  <c r="BJ187"/>
  <c r="BI187"/>
  <c r="BH187"/>
  <c r="BG187"/>
  <c r="BF187"/>
  <c r="BE187"/>
  <c r="BD187"/>
  <c r="BC187"/>
  <c r="BB187"/>
  <c r="BA187"/>
  <c r="AX187"/>
  <c r="AW187"/>
  <c r="AV187"/>
  <c r="AC187"/>
  <c r="H187"/>
  <c r="G187"/>
  <c r="BT186"/>
  <c r="BS186"/>
  <c r="BR186"/>
  <c r="BQ186"/>
  <c r="BP186"/>
  <c r="BO186"/>
  <c r="BN186"/>
  <c r="BM186"/>
  <c r="BL186"/>
  <c r="BK186"/>
  <c r="BJ186"/>
  <c r="BI186"/>
  <c r="BH186"/>
  <c r="BG186"/>
  <c r="BF186"/>
  <c r="BE186"/>
  <c r="BD186"/>
  <c r="BC186"/>
  <c r="BB186"/>
  <c r="BA186"/>
  <c r="AZ186"/>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c r="BK183"/>
  <c r="BJ183"/>
  <c r="BI183"/>
  <c r="BH183"/>
  <c r="BG183"/>
  <c r="BF183"/>
  <c r="BE183"/>
  <c r="BD183"/>
  <c r="BC183"/>
  <c r="BB183"/>
  <c r="BA183"/>
  <c r="AX183"/>
  <c r="AW183"/>
  <c r="AV183"/>
  <c r="AC183"/>
  <c r="H183"/>
  <c r="G183"/>
  <c r="BT182"/>
  <c r="BS182"/>
  <c r="BR182"/>
  <c r="BQ182"/>
  <c r="BP182"/>
  <c r="BO182"/>
  <c r="BN182"/>
  <c r="BM182"/>
  <c r="BL182"/>
  <c r="BK182"/>
  <c r="BJ182"/>
  <c r="BI182"/>
  <c r="BH182"/>
  <c r="BG182"/>
  <c r="BF182"/>
  <c r="BE182"/>
  <c r="BD182"/>
  <c r="BC182"/>
  <c r="BB182"/>
  <c r="BA182"/>
  <c r="AZ182"/>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c r="BK177"/>
  <c r="BJ177"/>
  <c r="BI177"/>
  <c r="BH177"/>
  <c r="BG177"/>
  <c r="BF177"/>
  <c r="BE177"/>
  <c r="BD177"/>
  <c r="BC177"/>
  <c r="BB177"/>
  <c r="BA177"/>
  <c r="AX177"/>
  <c r="AW177"/>
  <c r="AV177"/>
  <c r="AC177"/>
  <c r="H177"/>
  <c r="G177"/>
  <c r="BT176"/>
  <c r="BS176"/>
  <c r="BR176"/>
  <c r="BQ176"/>
  <c r="BP176"/>
  <c r="BO176"/>
  <c r="BN176"/>
  <c r="BM176"/>
  <c r="BL176"/>
  <c r="BK176"/>
  <c r="BJ176"/>
  <c r="BI176"/>
  <c r="BH176"/>
  <c r="BG176"/>
  <c r="BF176"/>
  <c r="BE176"/>
  <c r="BD176"/>
  <c r="BC176"/>
  <c r="BB176"/>
  <c r="BA176"/>
  <c r="AZ176"/>
  <c r="AX176"/>
  <c r="AW176"/>
  <c r="AV176"/>
  <c r="AC176"/>
  <c r="H176"/>
  <c r="G176"/>
  <c r="BT175"/>
  <c r="BS175"/>
  <c r="BR175"/>
  <c r="BQ175"/>
  <c r="BP175"/>
  <c r="BO175"/>
  <c r="BN175"/>
  <c r="BM175"/>
  <c r="BL175"/>
  <c r="BK175"/>
  <c r="BJ175"/>
  <c r="BI175"/>
  <c r="BH175"/>
  <c r="BG175"/>
  <c r="BF175"/>
  <c r="BE175"/>
  <c r="BD175"/>
  <c r="BC175"/>
  <c r="BB175"/>
  <c r="BA175"/>
  <c r="AZ175"/>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c r="BK172"/>
  <c r="BJ172"/>
  <c r="BI172"/>
  <c r="BH172"/>
  <c r="BG172"/>
  <c r="BF172"/>
  <c r="BE172"/>
  <c r="BD172"/>
  <c r="BC172"/>
  <c r="BB172"/>
  <c r="BA172"/>
  <c r="AZ172"/>
  <c r="AX172"/>
  <c r="AW172"/>
  <c r="AV172"/>
  <c r="AC172"/>
  <c r="H172"/>
  <c r="G172"/>
  <c r="BT171"/>
  <c r="BS171"/>
  <c r="BR171"/>
  <c r="BQ171"/>
  <c r="BP171"/>
  <c r="BO171"/>
  <c r="BN171"/>
  <c r="BM171"/>
  <c r="BL171"/>
  <c r="BK171"/>
  <c r="BJ171"/>
  <c r="BI171"/>
  <c r="BH171"/>
  <c r="BG171"/>
  <c r="BF171"/>
  <c r="BE171"/>
  <c r="BD171"/>
  <c r="BC171"/>
  <c r="BB171"/>
  <c r="BA171"/>
  <c r="AZ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c r="BK168"/>
  <c r="BJ168"/>
  <c r="BI168"/>
  <c r="BH168"/>
  <c r="BG168"/>
  <c r="BF168"/>
  <c r="BE168"/>
  <c r="BD168"/>
  <c r="BC168"/>
  <c r="BB168"/>
  <c r="BA168"/>
  <c r="AZ168"/>
  <c r="AX168"/>
  <c r="AW168"/>
  <c r="AV168"/>
  <c r="AC168"/>
  <c r="H168"/>
  <c r="G168"/>
  <c r="BT167"/>
  <c r="BS167"/>
  <c r="BR167"/>
  <c r="BQ167"/>
  <c r="BP167"/>
  <c r="BO167"/>
  <c r="BN167"/>
  <c r="BM167"/>
  <c r="BL167"/>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BA163"/>
  <c r="AZ163"/>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c r="BK160"/>
  <c r="BJ160"/>
  <c r="BI160"/>
  <c r="BH160"/>
  <c r="BG160"/>
  <c r="BF160"/>
  <c r="BE160"/>
  <c r="BD160"/>
  <c r="BC160"/>
  <c r="BB160"/>
  <c r="BA160"/>
  <c r="AZ160"/>
  <c r="AX160"/>
  <c r="AW160"/>
  <c r="AV160"/>
  <c r="AC160"/>
  <c r="H160"/>
  <c r="G160"/>
  <c r="BT159"/>
  <c r="BS159"/>
  <c r="BR159"/>
  <c r="BQ159"/>
  <c r="BP159"/>
  <c r="BO159"/>
  <c r="BN159"/>
  <c r="BM159"/>
  <c r="BL159"/>
  <c r="BK159"/>
  <c r="BJ159"/>
  <c r="BI159"/>
  <c r="BH159"/>
  <c r="BG159"/>
  <c r="BF159"/>
  <c r="BE159"/>
  <c r="BD159"/>
  <c r="BC159"/>
  <c r="BB159"/>
  <c r="BA159"/>
  <c r="AZ159"/>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c r="BK156"/>
  <c r="BJ156"/>
  <c r="BI156"/>
  <c r="BH156"/>
  <c r="BG156"/>
  <c r="BF156"/>
  <c r="BE156"/>
  <c r="BD156"/>
  <c r="BC156"/>
  <c r="BB156"/>
  <c r="BA156"/>
  <c r="AZ156"/>
  <c r="AX156"/>
  <c r="AW156"/>
  <c r="AV156"/>
  <c r="AC156"/>
  <c r="H156"/>
  <c r="G156"/>
  <c r="BT155"/>
  <c r="BS155"/>
  <c r="BR155"/>
  <c r="BQ155"/>
  <c r="BP155"/>
  <c r="BO155"/>
  <c r="BN155"/>
  <c r="BM155"/>
  <c r="BL155"/>
  <c r="BK155"/>
  <c r="BJ155"/>
  <c r="BI155"/>
  <c r="BH155"/>
  <c r="BG155"/>
  <c r="BF155"/>
  <c r="BE155"/>
  <c r="BD155"/>
  <c r="BC155"/>
  <c r="BB155"/>
  <c r="BA155"/>
  <c r="AZ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G149"/>
  <c r="BT148"/>
  <c r="BS148"/>
  <c r="BR148"/>
  <c r="BQ148"/>
  <c r="BP148"/>
  <c r="BO148"/>
  <c r="BN148"/>
  <c r="BM148"/>
  <c r="BL148"/>
  <c r="BK148"/>
  <c r="BJ148"/>
  <c r="BI148"/>
  <c r="BH148"/>
  <c r="BG148"/>
  <c r="BF148"/>
  <c r="BE148"/>
  <c r="BD148"/>
  <c r="BC148"/>
  <c r="BB148"/>
  <c r="BA148"/>
  <c r="AZ148"/>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G145"/>
  <c r="BT144"/>
  <c r="BS144"/>
  <c r="BR144"/>
  <c r="BQ144"/>
  <c r="BP144"/>
  <c r="BO144"/>
  <c r="BN144"/>
  <c r="BM144"/>
  <c r="BL144"/>
  <c r="BK144"/>
  <c r="BJ144"/>
  <c r="BI144"/>
  <c r="BH144"/>
  <c r="BG144"/>
  <c r="BF144"/>
  <c r="BE144"/>
  <c r="BD144"/>
  <c r="BC144"/>
  <c r="BB144"/>
  <c r="BA144"/>
  <c r="AZ144"/>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G141"/>
  <c r="BT140"/>
  <c r="BS140"/>
  <c r="BR140"/>
  <c r="BQ140"/>
  <c r="BP140"/>
  <c r="BO140"/>
  <c r="BN140"/>
  <c r="BM140"/>
  <c r="BL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c r="BK137"/>
  <c r="BJ137"/>
  <c r="BI137"/>
  <c r="BH137"/>
  <c r="BG137"/>
  <c r="BF137"/>
  <c r="BE137"/>
  <c r="BD137"/>
  <c r="BC137"/>
  <c r="BB137"/>
  <c r="BA137"/>
  <c r="AX137"/>
  <c r="AW137"/>
  <c r="AV137"/>
  <c r="AC137"/>
  <c r="H137"/>
  <c r="G137"/>
  <c r="BT136"/>
  <c r="BS136"/>
  <c r="BR136"/>
  <c r="BQ136"/>
  <c r="BP136"/>
  <c r="BO136"/>
  <c r="BN136"/>
  <c r="BM136"/>
  <c r="BL136"/>
  <c r="BK136"/>
  <c r="BJ136"/>
  <c r="BI136"/>
  <c r="BH136"/>
  <c r="BG136"/>
  <c r="BF136"/>
  <c r="BE136"/>
  <c r="BD136"/>
  <c r="BC136"/>
  <c r="BB136"/>
  <c r="BA136"/>
  <c r="AZ136"/>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c r="BK133"/>
  <c r="BJ133"/>
  <c r="BI133"/>
  <c r="BH133"/>
  <c r="BG133"/>
  <c r="BF133"/>
  <c r="BE133"/>
  <c r="BD133"/>
  <c r="BC133"/>
  <c r="BB133"/>
  <c r="BA133"/>
  <c r="AZ133"/>
  <c r="AX133"/>
  <c r="AW133"/>
  <c r="AV133"/>
  <c r="AC133"/>
  <c r="H133"/>
  <c r="G133"/>
  <c r="BT132"/>
  <c r="BS132"/>
  <c r="BR132"/>
  <c r="BQ132"/>
  <c r="BP132"/>
  <c r="BO132"/>
  <c r="BN132"/>
  <c r="BM132"/>
  <c r="BL132"/>
  <c r="BK132"/>
  <c r="BJ132"/>
  <c r="BI132"/>
  <c r="BH132"/>
  <c r="BG132"/>
  <c r="BF132"/>
  <c r="BE132"/>
  <c r="BD132"/>
  <c r="BC132"/>
  <c r="BB132"/>
  <c r="BA132"/>
  <c r="AZ132"/>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G129"/>
  <c r="BT128"/>
  <c r="BS128"/>
  <c r="BR128"/>
  <c r="BQ128"/>
  <c r="BP128"/>
  <c r="BO128"/>
  <c r="BN128"/>
  <c r="BM128"/>
  <c r="BL128"/>
  <c r="BK128"/>
  <c r="BJ128"/>
  <c r="BI128"/>
  <c r="BH128"/>
  <c r="BG128"/>
  <c r="BF128"/>
  <c r="BE128"/>
  <c r="BD128"/>
  <c r="BC128"/>
  <c r="BB128"/>
  <c r="BA128"/>
  <c r="AZ128"/>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G125"/>
  <c r="BT124"/>
  <c r="BS124"/>
  <c r="BR124"/>
  <c r="BQ124"/>
  <c r="BP124"/>
  <c r="BO124"/>
  <c r="BN124"/>
  <c r="BM124"/>
  <c r="BL124"/>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c r="BK121"/>
  <c r="BJ121"/>
  <c r="BI121"/>
  <c r="BH121"/>
  <c r="BG121"/>
  <c r="BF121"/>
  <c r="BE121"/>
  <c r="BD121"/>
  <c r="BC121"/>
  <c r="BB121"/>
  <c r="BA121"/>
  <c r="AX121"/>
  <c r="AW121"/>
  <c r="AV121"/>
  <c r="AC121"/>
  <c r="H121"/>
  <c r="G121"/>
  <c r="BT120"/>
  <c r="BS120"/>
  <c r="BR120"/>
  <c r="BQ120"/>
  <c r="BP120"/>
  <c r="BO120"/>
  <c r="BN120"/>
  <c r="BM120"/>
  <c r="BL120"/>
  <c r="BK120"/>
  <c r="BJ120"/>
  <c r="BI120"/>
  <c r="BH120"/>
  <c r="BG120"/>
  <c r="BF120"/>
  <c r="BE120"/>
  <c r="BD120"/>
  <c r="BC120"/>
  <c r="BB120"/>
  <c r="BA120"/>
  <c r="AZ120"/>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c r="BK117"/>
  <c r="BJ117"/>
  <c r="BI117"/>
  <c r="BH117"/>
  <c r="BG117"/>
  <c r="BF117"/>
  <c r="BE117"/>
  <c r="BD117"/>
  <c r="BC117"/>
  <c r="BB117"/>
  <c r="BA117"/>
  <c r="AZ117"/>
  <c r="AX117"/>
  <c r="AW117"/>
  <c r="AV117"/>
  <c r="AC117"/>
  <c r="H117"/>
  <c r="G117"/>
  <c r="BT116"/>
  <c r="BS116"/>
  <c r="BR116"/>
  <c r="BQ116"/>
  <c r="BP116"/>
  <c r="BO116"/>
  <c r="BN116"/>
  <c r="BM116"/>
  <c r="BL116"/>
  <c r="BK116"/>
  <c r="BJ116"/>
  <c r="BI116"/>
  <c r="BH116"/>
  <c r="BG116"/>
  <c r="BF116"/>
  <c r="BE116"/>
  <c r="BD116"/>
  <c r="BC116"/>
  <c r="BB116"/>
  <c r="BA116"/>
  <c r="AZ116"/>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G113"/>
  <c r="BT296"/>
  <c r="BS296"/>
  <c r="BR296"/>
  <c r="BQ296"/>
  <c r="BP296"/>
  <c r="BO296"/>
  <c r="BN296"/>
  <c r="BM296"/>
  <c r="BL296"/>
  <c r="BK296"/>
  <c r="BJ296"/>
  <c r="BI296"/>
  <c r="BH296"/>
  <c r="BG296"/>
  <c r="BF296"/>
  <c r="BE296"/>
  <c r="BD296"/>
  <c r="BC296"/>
  <c r="BB296"/>
  <c r="BA296"/>
  <c r="AZ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X292"/>
  <c r="AW292"/>
  <c r="AV292"/>
  <c r="AC292"/>
  <c r="H292"/>
  <c r="G292"/>
  <c r="BT291"/>
  <c r="BS291"/>
  <c r="BR291"/>
  <c r="BQ291"/>
  <c r="BP291"/>
  <c r="BO291"/>
  <c r="BN291"/>
  <c r="BM291"/>
  <c r="BL291"/>
  <c r="BK291"/>
  <c r="BJ291"/>
  <c r="BI291"/>
  <c r="BH291"/>
  <c r="BG291"/>
  <c r="BF291"/>
  <c r="BE291"/>
  <c r="BD291"/>
  <c r="BC291"/>
  <c r="BB291"/>
  <c r="BA291"/>
  <c r="AZ291"/>
  <c r="AX291"/>
  <c r="AW291"/>
  <c r="AV291"/>
  <c r="AC291"/>
  <c r="H291"/>
  <c r="G291"/>
  <c r="BT290"/>
  <c r="BS290"/>
  <c r="BR290"/>
  <c r="BQ290"/>
  <c r="BP290"/>
  <c r="BO290"/>
  <c r="BN290"/>
  <c r="BM290"/>
  <c r="BL290"/>
  <c r="BK290"/>
  <c r="BJ290"/>
  <c r="BI290"/>
  <c r="BH290"/>
  <c r="BG290"/>
  <c r="BF290"/>
  <c r="BE290"/>
  <c r="BD290"/>
  <c r="BC290"/>
  <c r="BB290"/>
  <c r="BA290"/>
  <c r="AX290"/>
  <c r="AW290"/>
  <c r="AV290"/>
  <c r="AC290"/>
  <c r="H290"/>
  <c r="G290"/>
  <c r="BT289"/>
  <c r="BS289"/>
  <c r="BR289"/>
  <c r="BQ289"/>
  <c r="BP289"/>
  <c r="BO289"/>
  <c r="BN289"/>
  <c r="BM289"/>
  <c r="BL289"/>
  <c r="BK289"/>
  <c r="BJ289"/>
  <c r="BI289"/>
  <c r="BH289"/>
  <c r="BG289"/>
  <c r="BF289"/>
  <c r="BE289"/>
  <c r="BD289"/>
  <c r="BC289"/>
  <c r="BB289"/>
  <c r="BA289"/>
  <c r="AX289"/>
  <c r="AW289"/>
  <c r="AV289"/>
  <c r="AC289"/>
  <c r="H289"/>
  <c r="G289"/>
  <c r="BT288"/>
  <c r="BS288"/>
  <c r="BR288"/>
  <c r="BQ288"/>
  <c r="BP288"/>
  <c r="BO288"/>
  <c r="BN288"/>
  <c r="BM288"/>
  <c r="BL288"/>
  <c r="BK288"/>
  <c r="BJ288"/>
  <c r="BI288"/>
  <c r="BH288"/>
  <c r="BG288"/>
  <c r="BF288"/>
  <c r="BE288"/>
  <c r="BD288"/>
  <c r="BC288"/>
  <c r="BB288"/>
  <c r="BA288"/>
  <c r="AZ288"/>
  <c r="AX288"/>
  <c r="AW288"/>
  <c r="AV288"/>
  <c r="AC288"/>
  <c r="H288"/>
  <c r="G288"/>
  <c r="BT287"/>
  <c r="BS287"/>
  <c r="BR287"/>
  <c r="BQ287"/>
  <c r="BP287"/>
  <c r="BO287"/>
  <c r="BN287"/>
  <c r="BM287"/>
  <c r="BL287"/>
  <c r="BK287"/>
  <c r="BJ287"/>
  <c r="BI287"/>
  <c r="BH287"/>
  <c r="BG287"/>
  <c r="BF287"/>
  <c r="BE287"/>
  <c r="BD287"/>
  <c r="BC287"/>
  <c r="BB287"/>
  <c r="BA287"/>
  <c r="AZ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X284"/>
  <c r="AW284"/>
  <c r="AV284"/>
  <c r="AC284"/>
  <c r="H284"/>
  <c r="G284"/>
  <c r="BT283"/>
  <c r="BS283"/>
  <c r="BR283"/>
  <c r="BQ283"/>
  <c r="BP283"/>
  <c r="BO283"/>
  <c r="BN283"/>
  <c r="BM283"/>
  <c r="BL283"/>
  <c r="BK283"/>
  <c r="BJ283"/>
  <c r="BI283"/>
  <c r="BH283"/>
  <c r="BG283"/>
  <c r="BF283"/>
  <c r="BE283"/>
  <c r="BD283"/>
  <c r="BC283"/>
  <c r="BB283"/>
  <c r="BA283"/>
  <c r="AZ283"/>
  <c r="AX283"/>
  <c r="AW283"/>
  <c r="AV283"/>
  <c r="AC283"/>
  <c r="H283"/>
  <c r="G283"/>
  <c r="BT282"/>
  <c r="BS282"/>
  <c r="BR282"/>
  <c r="BQ282"/>
  <c r="BP282"/>
  <c r="BO282"/>
  <c r="BN282"/>
  <c r="BM282"/>
  <c r="BL282"/>
  <c r="BK282"/>
  <c r="BJ282"/>
  <c r="BI282"/>
  <c r="BH282"/>
  <c r="BG282"/>
  <c r="BF282"/>
  <c r="BE282"/>
  <c r="BD282"/>
  <c r="BC282"/>
  <c r="BB282"/>
  <c r="BA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Z280"/>
  <c r="AX280"/>
  <c r="AW280"/>
  <c r="AV280"/>
  <c r="AC280"/>
  <c r="H280"/>
  <c r="G280"/>
  <c r="BT279"/>
  <c r="BS279"/>
  <c r="BR279"/>
  <c r="BQ279"/>
  <c r="BP279"/>
  <c r="BO279"/>
  <c r="BN279"/>
  <c r="BM279"/>
  <c r="BL279"/>
  <c r="BK279"/>
  <c r="BJ279"/>
  <c r="BI279"/>
  <c r="BH279"/>
  <c r="BG279"/>
  <c r="BF279"/>
  <c r="BE279"/>
  <c r="BD279"/>
  <c r="BC279"/>
  <c r="BB279"/>
  <c r="BA279"/>
  <c r="AZ279"/>
  <c r="AX279"/>
  <c r="AW279"/>
  <c r="AV279"/>
  <c r="AC279"/>
  <c r="H279"/>
  <c r="G279"/>
  <c r="BT278"/>
  <c r="BS278"/>
  <c r="BR278"/>
  <c r="BQ278"/>
  <c r="BP278"/>
  <c r="BO278"/>
  <c r="BN278"/>
  <c r="BM278"/>
  <c r="BL278"/>
  <c r="BK278"/>
  <c r="BJ278"/>
  <c r="BI278"/>
  <c r="BH278"/>
  <c r="BG278"/>
  <c r="BF278"/>
  <c r="BE278"/>
  <c r="BD278"/>
  <c r="BC278"/>
  <c r="BB278"/>
  <c r="BA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X276"/>
  <c r="AW276"/>
  <c r="AV276"/>
  <c r="AC276"/>
  <c r="H276"/>
  <c r="G276"/>
  <c r="BT275"/>
  <c r="BS275"/>
  <c r="BR275"/>
  <c r="BQ275"/>
  <c r="BP275"/>
  <c r="BO275"/>
  <c r="BN275"/>
  <c r="BM275"/>
  <c r="BL275"/>
  <c r="BK275"/>
  <c r="BJ275"/>
  <c r="BI275"/>
  <c r="BH275"/>
  <c r="BG275"/>
  <c r="BF275"/>
  <c r="BE275"/>
  <c r="BD275"/>
  <c r="BC275"/>
  <c r="BB275"/>
  <c r="BA275"/>
  <c r="AZ275"/>
  <c r="AX275"/>
  <c r="AW275"/>
  <c r="AV275"/>
  <c r="AC275"/>
  <c r="H275"/>
  <c r="G275"/>
  <c r="BT274"/>
  <c r="BS274"/>
  <c r="BR274"/>
  <c r="BQ274"/>
  <c r="BP274"/>
  <c r="BO274"/>
  <c r="BN274"/>
  <c r="BM274"/>
  <c r="BL274"/>
  <c r="BK274"/>
  <c r="BJ274"/>
  <c r="BI274"/>
  <c r="BH274"/>
  <c r="BG274"/>
  <c r="BF274"/>
  <c r="BE274"/>
  <c r="BD274"/>
  <c r="BC274"/>
  <c r="BB274"/>
  <c r="BA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Z271"/>
  <c r="AX271"/>
  <c r="AW271"/>
  <c r="AV271"/>
  <c r="AC271"/>
  <c r="H271"/>
  <c r="G271"/>
  <c r="BT270"/>
  <c r="BS270"/>
  <c r="BR270"/>
  <c r="BQ270"/>
  <c r="BP270"/>
  <c r="BO270"/>
  <c r="BN270"/>
  <c r="BM270"/>
  <c r="BL270"/>
  <c r="BK270"/>
  <c r="BJ270"/>
  <c r="BI270"/>
  <c r="BH270"/>
  <c r="BG270"/>
  <c r="BF270"/>
  <c r="BE270"/>
  <c r="BD270"/>
  <c r="BC270"/>
  <c r="BB270"/>
  <c r="BA270"/>
  <c r="AX270"/>
  <c r="AW270"/>
  <c r="AV270"/>
  <c r="AC270"/>
  <c r="H270"/>
  <c r="G270"/>
  <c r="BT269"/>
  <c r="BS269"/>
  <c r="BR269"/>
  <c r="BQ269"/>
  <c r="BP269"/>
  <c r="BO269"/>
  <c r="BN269"/>
  <c r="BM269"/>
  <c r="BL269"/>
  <c r="BK269"/>
  <c r="BJ269"/>
  <c r="BI269"/>
  <c r="BH269"/>
  <c r="BG269"/>
  <c r="BF269"/>
  <c r="BE269"/>
  <c r="BD269"/>
  <c r="BC269"/>
  <c r="BB269"/>
  <c r="BA269"/>
  <c r="AZ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X260"/>
  <c r="AW260"/>
  <c r="AV260"/>
  <c r="AC260"/>
  <c r="H260"/>
  <c r="G260"/>
  <c r="BT259"/>
  <c r="BS259"/>
  <c r="BR259"/>
  <c r="BQ259"/>
  <c r="BP259"/>
  <c r="BO259"/>
  <c r="BN259"/>
  <c r="BM259"/>
  <c r="BL259"/>
  <c r="BK259"/>
  <c r="BJ259"/>
  <c r="BI259"/>
  <c r="BH259"/>
  <c r="BG259"/>
  <c r="BF259"/>
  <c r="BE259"/>
  <c r="BD259"/>
  <c r="BC259"/>
  <c r="BB259"/>
  <c r="BA259"/>
  <c r="AZ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Z256"/>
  <c r="AX256"/>
  <c r="AW256"/>
  <c r="AV256"/>
  <c r="AC256"/>
  <c r="H256"/>
  <c r="G256"/>
  <c r="BT255"/>
  <c r="BS255"/>
  <c r="BR255"/>
  <c r="BQ255"/>
  <c r="BP255"/>
  <c r="BO255"/>
  <c r="BN255"/>
  <c r="BM255"/>
  <c r="BL255"/>
  <c r="BK255"/>
  <c r="BJ255"/>
  <c r="BI255"/>
  <c r="BH255"/>
  <c r="BG255"/>
  <c r="BF255"/>
  <c r="BE255"/>
  <c r="BD255"/>
  <c r="BC255"/>
  <c r="BB255"/>
  <c r="BA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X252"/>
  <c r="AW252"/>
  <c r="AV252"/>
  <c r="AC252"/>
  <c r="H252"/>
  <c r="G252"/>
  <c r="BT251"/>
  <c r="BS251"/>
  <c r="BR251"/>
  <c r="BQ251"/>
  <c r="BP251"/>
  <c r="BO251"/>
  <c r="BN251"/>
  <c r="BM251"/>
  <c r="BL251"/>
  <c r="BK251"/>
  <c r="BJ251"/>
  <c r="BI251"/>
  <c r="BH251"/>
  <c r="BG251"/>
  <c r="BF251"/>
  <c r="BE251"/>
  <c r="BD251"/>
  <c r="BC251"/>
  <c r="BB251"/>
  <c r="BA251"/>
  <c r="AZ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Z248"/>
  <c r="AX248"/>
  <c r="AW248"/>
  <c r="AV248"/>
  <c r="AC248"/>
  <c r="H248"/>
  <c r="G248"/>
  <c r="BT247"/>
  <c r="BS247"/>
  <c r="BR247"/>
  <c r="BQ247"/>
  <c r="BP247"/>
  <c r="BO247"/>
  <c r="BN247"/>
  <c r="BM247"/>
  <c r="BL247"/>
  <c r="BK247"/>
  <c r="BJ247"/>
  <c r="BI247"/>
  <c r="BH247"/>
  <c r="BG247"/>
  <c r="BF247"/>
  <c r="BE247"/>
  <c r="BD247"/>
  <c r="BC247"/>
  <c r="BB247"/>
  <c r="BA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X244"/>
  <c r="AW244"/>
  <c r="AV244"/>
  <c r="AC244"/>
  <c r="H244"/>
  <c r="G244"/>
  <c r="BT243"/>
  <c r="BS243"/>
  <c r="BR243"/>
  <c r="BQ243"/>
  <c r="BP243"/>
  <c r="BO243"/>
  <c r="BN243"/>
  <c r="BM243"/>
  <c r="BL243"/>
  <c r="BK243"/>
  <c r="BJ243"/>
  <c r="BI243"/>
  <c r="BH243"/>
  <c r="BG243"/>
  <c r="BF243"/>
  <c r="BE243"/>
  <c r="BD243"/>
  <c r="BC243"/>
  <c r="BB243"/>
  <c r="BA243"/>
  <c r="AZ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Z240"/>
  <c r="AX240"/>
  <c r="AW240"/>
  <c r="AV240"/>
  <c r="AC240"/>
  <c r="H240"/>
  <c r="G240"/>
  <c r="BT239"/>
  <c r="BS239"/>
  <c r="BR239"/>
  <c r="BQ239"/>
  <c r="BP239"/>
  <c r="BO239"/>
  <c r="BN239"/>
  <c r="BM239"/>
  <c r="BL239"/>
  <c r="BK239"/>
  <c r="BJ239"/>
  <c r="BI239"/>
  <c r="BH239"/>
  <c r="BG239"/>
  <c r="BF239"/>
  <c r="BE239"/>
  <c r="BD239"/>
  <c r="BC239"/>
  <c r="BB239"/>
  <c r="BA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X236"/>
  <c r="AW236"/>
  <c r="AV236"/>
  <c r="AC236"/>
  <c r="H236"/>
  <c r="G236"/>
  <c r="BT235"/>
  <c r="BS235"/>
  <c r="BR235"/>
  <c r="BQ235"/>
  <c r="BP235"/>
  <c r="BO235"/>
  <c r="BN235"/>
  <c r="BM235"/>
  <c r="BL235"/>
  <c r="BK235"/>
  <c r="BJ235"/>
  <c r="BI235"/>
  <c r="BH235"/>
  <c r="BG235"/>
  <c r="BF235"/>
  <c r="BE235"/>
  <c r="BD235"/>
  <c r="BC235"/>
  <c r="BB235"/>
  <c r="BA235"/>
  <c r="AZ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Z232"/>
  <c r="AX232"/>
  <c r="AW232"/>
  <c r="AV232"/>
  <c r="AC232"/>
  <c r="H232"/>
  <c r="G232"/>
  <c r="BT231"/>
  <c r="BS231"/>
  <c r="BR231"/>
  <c r="BQ231"/>
  <c r="BP231"/>
  <c r="BO231"/>
  <c r="BN231"/>
  <c r="BM231"/>
  <c r="BL231"/>
  <c r="BK231"/>
  <c r="BJ231"/>
  <c r="BI231"/>
  <c r="BH231"/>
  <c r="BG231"/>
  <c r="BF231"/>
  <c r="BE231"/>
  <c r="BD231"/>
  <c r="BC231"/>
  <c r="BB231"/>
  <c r="BA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X228"/>
  <c r="AW228"/>
  <c r="AV228"/>
  <c r="AC228"/>
  <c r="H228"/>
  <c r="G228"/>
  <c r="BT227"/>
  <c r="BS227"/>
  <c r="BR227"/>
  <c r="BQ227"/>
  <c r="BP227"/>
  <c r="BO227"/>
  <c r="BN227"/>
  <c r="BM227"/>
  <c r="BL227"/>
  <c r="BK227"/>
  <c r="BJ227"/>
  <c r="BI227"/>
  <c r="BH227"/>
  <c r="BG227"/>
  <c r="BF227"/>
  <c r="BE227"/>
  <c r="BD227"/>
  <c r="BC227"/>
  <c r="BB227"/>
  <c r="BA227"/>
  <c r="AZ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Z222"/>
  <c r="AX222"/>
  <c r="AW222"/>
  <c r="AV222"/>
  <c r="AC222"/>
  <c r="H222"/>
  <c r="G222"/>
  <c r="BT221"/>
  <c r="BS221"/>
  <c r="BR221"/>
  <c r="BQ221"/>
  <c r="BP221"/>
  <c r="BO221"/>
  <c r="BN221"/>
  <c r="BM221"/>
  <c r="BL221"/>
  <c r="BK221"/>
  <c r="BJ221"/>
  <c r="BI221"/>
  <c r="BH221"/>
  <c r="BG221"/>
  <c r="BF221"/>
  <c r="BE221"/>
  <c r="BD221"/>
  <c r="BC221"/>
  <c r="BB221"/>
  <c r="BA221"/>
  <c r="AX221"/>
  <c r="AW221"/>
  <c r="AV221"/>
  <c r="AC221"/>
  <c r="H221"/>
  <c r="G221"/>
  <c r="BT220"/>
  <c r="BS220"/>
  <c r="BR220"/>
  <c r="BQ220"/>
  <c r="BP220"/>
  <c r="BO220"/>
  <c r="BN220"/>
  <c r="BM220"/>
  <c r="BL220"/>
  <c r="BK220"/>
  <c r="BJ220"/>
  <c r="BI220"/>
  <c r="BH220"/>
  <c r="BG220"/>
  <c r="BF220"/>
  <c r="BE220"/>
  <c r="BD220"/>
  <c r="BC220"/>
  <c r="BB220"/>
  <c r="BA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Z218"/>
  <c r="AX218"/>
  <c r="AW218"/>
  <c r="AV218"/>
  <c r="AC218"/>
  <c r="H218"/>
  <c r="G218"/>
  <c r="BT217"/>
  <c r="BS217"/>
  <c r="BR217"/>
  <c r="BQ217"/>
  <c r="BP217"/>
  <c r="BO217"/>
  <c r="BN217"/>
  <c r="BM217"/>
  <c r="BL217"/>
  <c r="BK217"/>
  <c r="BJ217"/>
  <c r="BI217"/>
  <c r="BH217"/>
  <c r="BG217"/>
  <c r="BF217"/>
  <c r="BE217"/>
  <c r="BD217"/>
  <c r="BC217"/>
  <c r="BB217"/>
  <c r="BA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Z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207"/>
  <c r="BS207"/>
  <c r="BR207"/>
  <c r="BQ207"/>
  <c r="BP207"/>
  <c r="BO207"/>
  <c r="BN207"/>
  <c r="BM207"/>
  <c r="BL207"/>
  <c r="BK207"/>
  <c r="BJ207"/>
  <c r="BI207"/>
  <c r="BH207"/>
  <c r="BG207"/>
  <c r="BF207"/>
  <c r="BE207"/>
  <c r="BD207"/>
  <c r="BC207"/>
  <c r="BB207"/>
  <c r="BA207"/>
  <c r="AX207"/>
  <c r="AW207"/>
  <c r="AV207"/>
  <c r="AC207"/>
  <c r="H207"/>
  <c r="G207"/>
  <c r="BT206"/>
  <c r="BS206"/>
  <c r="BR206"/>
  <c r="BQ206"/>
  <c r="BP206"/>
  <c r="BO206"/>
  <c r="BN206"/>
  <c r="BM206"/>
  <c r="BL206"/>
  <c r="BK206"/>
  <c r="BJ206"/>
  <c r="BI206"/>
  <c r="BH206"/>
  <c r="BG206"/>
  <c r="BF206"/>
  <c r="BE206"/>
  <c r="BD206"/>
  <c r="BC206"/>
  <c r="BB206"/>
  <c r="BA206"/>
  <c r="AZ206"/>
  <c r="AX206"/>
  <c r="AW206"/>
  <c r="AV206"/>
  <c r="AC206"/>
  <c r="H206"/>
  <c r="G206"/>
  <c r="BT205"/>
  <c r="BS205"/>
  <c r="BR205"/>
  <c r="BQ205"/>
  <c r="BP205"/>
  <c r="BO205"/>
  <c r="BN205"/>
  <c r="BM205"/>
  <c r="BL205"/>
  <c r="BK205"/>
  <c r="BJ205"/>
  <c r="BI205"/>
  <c r="BH205"/>
  <c r="BG205"/>
  <c r="BF205"/>
  <c r="BE205"/>
  <c r="BD205"/>
  <c r="BC205"/>
  <c r="BB205"/>
  <c r="BA205"/>
  <c r="AX205"/>
  <c r="AW205"/>
  <c r="AV205"/>
  <c r="AC205"/>
  <c r="H205"/>
  <c r="G205"/>
  <c r="BT388"/>
  <c r="BS388"/>
  <c r="BR388"/>
  <c r="BQ388"/>
  <c r="BP388"/>
  <c r="BO388"/>
  <c r="BN388"/>
  <c r="BM388"/>
  <c r="BL388"/>
  <c r="BK388"/>
  <c r="BJ388"/>
  <c r="BI388"/>
  <c r="BH388"/>
  <c r="BG388"/>
  <c r="BF388"/>
  <c r="BE388"/>
  <c r="BD388"/>
  <c r="BC388"/>
  <c r="BB388"/>
  <c r="BA388"/>
  <c r="AX388"/>
  <c r="AW388"/>
  <c r="AV388"/>
  <c r="AC388"/>
  <c r="H388"/>
  <c r="G388"/>
  <c r="BT387"/>
  <c r="BS387"/>
  <c r="BR387"/>
  <c r="BQ387"/>
  <c r="BP387"/>
  <c r="BO387"/>
  <c r="BN387"/>
  <c r="BM387"/>
  <c r="BL387"/>
  <c r="BK387"/>
  <c r="BJ387"/>
  <c r="BI387"/>
  <c r="BH387"/>
  <c r="BG387"/>
  <c r="BF387"/>
  <c r="BE387"/>
  <c r="BD387"/>
  <c r="BC387"/>
  <c r="BB387"/>
  <c r="BA387"/>
  <c r="AZ387"/>
  <c r="AX387"/>
  <c r="AW387"/>
  <c r="AV387"/>
  <c r="AC387"/>
  <c r="H387"/>
  <c r="G387"/>
  <c r="BT386"/>
  <c r="BS386"/>
  <c r="BR386"/>
  <c r="BQ386"/>
  <c r="BP386"/>
  <c r="BO386"/>
  <c r="BN386"/>
  <c r="BM386"/>
  <c r="BL386"/>
  <c r="BK386"/>
  <c r="BJ386"/>
  <c r="BI386"/>
  <c r="BH386"/>
  <c r="BG386"/>
  <c r="BF386"/>
  <c r="BE386"/>
  <c r="BD386"/>
  <c r="BC386"/>
  <c r="BB386"/>
  <c r="BA386"/>
  <c r="AZ386"/>
  <c r="AX386"/>
  <c r="AW386"/>
  <c r="AV386"/>
  <c r="AC386"/>
  <c r="H386"/>
  <c r="G386"/>
  <c r="BT385"/>
  <c r="BS385"/>
  <c r="BR385"/>
  <c r="BQ385"/>
  <c r="BP385"/>
  <c r="BO385"/>
  <c r="BN385"/>
  <c r="BM385"/>
  <c r="BL385"/>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c r="AZ384"/>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c r="AZ368"/>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c r="AZ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c r="AZ334"/>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c r="AZ318"/>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X463"/>
  <c r="AW463"/>
  <c r="AV463"/>
  <c r="AC463"/>
  <c r="H463"/>
  <c r="G463"/>
  <c r="BT462"/>
  <c r="BS462"/>
  <c r="BR462"/>
  <c r="BQ462"/>
  <c r="BP462"/>
  <c r="BO462"/>
  <c r="BN462"/>
  <c r="BM462"/>
  <c r="BL462"/>
  <c r="BK462"/>
  <c r="BJ462"/>
  <c r="BI462"/>
  <c r="BH462"/>
  <c r="BG462"/>
  <c r="BF462"/>
  <c r="BE462"/>
  <c r="BD462"/>
  <c r="BC462"/>
  <c r="BB462"/>
  <c r="BA462"/>
  <c r="AZ462"/>
  <c r="AX462"/>
  <c r="AW462"/>
  <c r="AV462"/>
  <c r="AC462"/>
  <c r="H462"/>
  <c r="G462"/>
  <c r="BT461"/>
  <c r="BS461"/>
  <c r="BR461"/>
  <c r="BQ461"/>
  <c r="BP461"/>
  <c r="BO461"/>
  <c r="BN461"/>
  <c r="BM461"/>
  <c r="BL461"/>
  <c r="BK461"/>
  <c r="BJ461"/>
  <c r="BI461"/>
  <c r="BH461"/>
  <c r="BG461"/>
  <c r="BF461"/>
  <c r="BE461"/>
  <c r="BD461"/>
  <c r="BC461"/>
  <c r="BB461"/>
  <c r="BA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X452"/>
  <c r="AW452"/>
  <c r="AV452"/>
  <c r="AC452"/>
  <c r="H452"/>
  <c r="G452"/>
  <c r="BT451"/>
  <c r="BS451"/>
  <c r="BR451"/>
  <c r="BQ451"/>
  <c r="BP451"/>
  <c r="BO451"/>
  <c r="BN451"/>
  <c r="BM451"/>
  <c r="BL451"/>
  <c r="BK451"/>
  <c r="BJ451"/>
  <c r="BI451"/>
  <c r="BH451"/>
  <c r="BG451"/>
  <c r="BF451"/>
  <c r="BE451"/>
  <c r="BD451"/>
  <c r="BC451"/>
  <c r="BB451"/>
  <c r="BA451"/>
  <c r="AZ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X444"/>
  <c r="AW444"/>
  <c r="AV444"/>
  <c r="AC444"/>
  <c r="H444"/>
  <c r="G444"/>
  <c r="BT443"/>
  <c r="BS443"/>
  <c r="BR443"/>
  <c r="BQ443"/>
  <c r="BP443"/>
  <c r="BO443"/>
  <c r="BN443"/>
  <c r="BM443"/>
  <c r="BL443"/>
  <c r="BK443"/>
  <c r="BJ443"/>
  <c r="BI443"/>
  <c r="BH443"/>
  <c r="BG443"/>
  <c r="BF443"/>
  <c r="BE443"/>
  <c r="BD443"/>
  <c r="BC443"/>
  <c r="BB443"/>
  <c r="BA443"/>
  <c r="AZ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Z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X407"/>
  <c r="AW407"/>
  <c r="AV407"/>
  <c r="AC407"/>
  <c r="H407"/>
  <c r="G407"/>
  <c r="BT406"/>
  <c r="BS406"/>
  <c r="BR406"/>
  <c r="BQ406"/>
  <c r="BP406"/>
  <c r="BO406"/>
  <c r="BN406"/>
  <c r="BM406"/>
  <c r="BL406"/>
  <c r="BK406"/>
  <c r="BJ406"/>
  <c r="BI406"/>
  <c r="BH406"/>
  <c r="BG406"/>
  <c r="BF406"/>
  <c r="BE406"/>
  <c r="BD406"/>
  <c r="BC406"/>
  <c r="BB406"/>
  <c r="BA406"/>
  <c r="AZ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Z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Z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L394"/>
  <c r="BK394"/>
  <c r="BJ394"/>
  <c r="BI394"/>
  <c r="BH394"/>
  <c r="BG394"/>
  <c r="BF394"/>
  <c r="BE394"/>
  <c r="BD394"/>
  <c r="BC394"/>
  <c r="BB394"/>
  <c r="BA394"/>
  <c r="AX394"/>
  <c r="AW394"/>
  <c r="AV394"/>
  <c r="AC394"/>
  <c r="H394"/>
  <c r="G394"/>
  <c r="BT393"/>
  <c r="BS393"/>
  <c r="BR393"/>
  <c r="BQ393"/>
  <c r="BP393"/>
  <c r="BO393"/>
  <c r="BN393"/>
  <c r="BM393"/>
  <c r="BL393"/>
  <c r="BK393"/>
  <c r="BJ393"/>
  <c r="BI393"/>
  <c r="BH393"/>
  <c r="BG393"/>
  <c r="BF393"/>
  <c r="BE393"/>
  <c r="BD393"/>
  <c r="BC393"/>
  <c r="BB393"/>
  <c r="BA393"/>
  <c r="AZ393"/>
  <c r="AX393"/>
  <c r="AW393"/>
  <c r="AV393"/>
  <c r="AC393"/>
  <c r="H393"/>
  <c r="G393"/>
  <c r="BT392"/>
  <c r="BS392"/>
  <c r="BR392"/>
  <c r="BQ392"/>
  <c r="BP392"/>
  <c r="BO392"/>
  <c r="BN392"/>
  <c r="BM392"/>
  <c r="BL392"/>
  <c r="BK392"/>
  <c r="BJ392"/>
  <c r="BI392"/>
  <c r="BH392"/>
  <c r="BG392"/>
  <c r="BF392"/>
  <c r="BE392"/>
  <c r="BD392"/>
  <c r="BC392"/>
  <c r="BB392"/>
  <c r="BA392"/>
  <c r="AZ392"/>
  <c r="AX392"/>
  <c r="AW392"/>
  <c r="AV392"/>
  <c r="AC392"/>
  <c r="H392"/>
  <c r="G392"/>
  <c r="BT391"/>
  <c r="BS391"/>
  <c r="BR391"/>
  <c r="BQ391"/>
  <c r="BP391"/>
  <c r="BO391"/>
  <c r="BN391"/>
  <c r="BM391"/>
  <c r="BL391"/>
  <c r="BK391"/>
  <c r="BJ391"/>
  <c r="BI391"/>
  <c r="BH391"/>
  <c r="BG391"/>
  <c r="BF391"/>
  <c r="BE391"/>
  <c r="BD391"/>
  <c r="BC391"/>
  <c r="BB391"/>
  <c r="BA391"/>
  <c r="AX391"/>
  <c r="AW391"/>
  <c r="AV391"/>
  <c r="AC391"/>
  <c r="H391"/>
  <c r="G391"/>
  <c r="BT390"/>
  <c r="BS390"/>
  <c r="BR390"/>
  <c r="BQ390"/>
  <c r="BP390"/>
  <c r="BO390"/>
  <c r="BN390"/>
  <c r="BM390"/>
  <c r="BL390"/>
  <c r="BK390"/>
  <c r="BJ390"/>
  <c r="BI390"/>
  <c r="BH390"/>
  <c r="BG390"/>
  <c r="BF390"/>
  <c r="BE390"/>
  <c r="BD390"/>
  <c r="BC390"/>
  <c r="BB390"/>
  <c r="BA390"/>
  <c r="AX390"/>
  <c r="AW390"/>
  <c r="AV390"/>
  <c r="AC390"/>
  <c r="H390"/>
  <c r="G390"/>
  <c r="BT389"/>
  <c r="BS389"/>
  <c r="BR389"/>
  <c r="BQ389"/>
  <c r="BP389"/>
  <c r="BO389"/>
  <c r="BN389"/>
  <c r="BM389"/>
  <c r="BL389"/>
  <c r="BK389"/>
  <c r="BJ389"/>
  <c r="BI389"/>
  <c r="BH389"/>
  <c r="BG389"/>
  <c r="BF389"/>
  <c r="BE389"/>
  <c r="BD389"/>
  <c r="BC389"/>
  <c r="BB389"/>
  <c r="BA389"/>
  <c r="AZ389"/>
  <c r="AX389"/>
  <c r="AW389"/>
  <c r="AV389"/>
  <c r="AC389"/>
  <c r="H389"/>
  <c r="G389"/>
  <c r="H62" i="40"/>
  <c r="I62" s="1"/>
  <c r="C62" s="1"/>
  <c r="H61"/>
  <c r="I61" s="1"/>
  <c r="C61" s="1"/>
  <c r="H60"/>
  <c r="H59"/>
  <c r="H58"/>
  <c r="I58" s="1"/>
  <c r="C58" s="1"/>
  <c r="H57"/>
  <c r="I57" s="1"/>
  <c r="C57" s="1"/>
  <c r="H56"/>
  <c r="I56" s="1"/>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c r="K139"/>
  <c r="M87"/>
  <c r="L87"/>
  <c r="K87"/>
  <c r="J87"/>
  <c r="I87"/>
  <c r="H87"/>
  <c r="G87"/>
  <c r="F87"/>
  <c r="E87"/>
  <c r="D87"/>
  <c r="G2" i="46"/>
  <c r="X7" s="1"/>
  <c r="G19"/>
  <c r="R29" i="31"/>
  <c r="R30"/>
  <c r="S30" s="1"/>
  <c r="R31"/>
  <c r="S31" s="1"/>
  <c r="R32"/>
  <c r="S32" s="1"/>
  <c r="R33"/>
  <c r="R34"/>
  <c r="S34" s="1"/>
  <c r="R35"/>
  <c r="S35" s="1"/>
  <c r="R36"/>
  <c r="S36" s="1"/>
  <c r="R37"/>
  <c r="R38"/>
  <c r="S38" s="1"/>
  <c r="R39"/>
  <c r="S39" s="1"/>
  <c r="R40"/>
  <c r="S40" s="1"/>
  <c r="R41"/>
  <c r="R42"/>
  <c r="S42" s="1"/>
  <c r="R43"/>
  <c r="S43" s="1"/>
  <c r="R44"/>
  <c r="S44" s="1"/>
  <c r="R45"/>
  <c r="R46"/>
  <c r="S46" s="1"/>
  <c r="R47"/>
  <c r="S47" s="1"/>
  <c r="R48"/>
  <c r="S48" s="1"/>
  <c r="R49"/>
  <c r="R50"/>
  <c r="S50" s="1"/>
  <c r="R51"/>
  <c r="S51" s="1"/>
  <c r="R52"/>
  <c r="S52" s="1"/>
  <c r="R53"/>
  <c r="R54"/>
  <c r="S54" s="1"/>
  <c r="R55"/>
  <c r="R56"/>
  <c r="S56" s="1"/>
  <c r="R57"/>
  <c r="S57" s="1"/>
  <c r="R58"/>
  <c r="S58" s="1"/>
  <c r="R59"/>
  <c r="R60"/>
  <c r="S60" s="1"/>
  <c r="R61"/>
  <c r="S61" s="1"/>
  <c r="R62"/>
  <c r="S62" s="1"/>
  <c r="R63"/>
  <c r="R64"/>
  <c r="S64" s="1"/>
  <c r="R65"/>
  <c r="S65" s="1"/>
  <c r="R66"/>
  <c r="S66" s="1"/>
  <c r="R67"/>
  <c r="R68"/>
  <c r="S68" s="1"/>
  <c r="R69"/>
  <c r="S69" s="1"/>
  <c r="R70"/>
  <c r="S70" s="1"/>
  <c r="R71"/>
  <c r="R72"/>
  <c r="S72" s="1"/>
  <c r="R73"/>
  <c r="S73" s="1"/>
  <c r="R74"/>
  <c r="S74" s="1"/>
  <c r="R75"/>
  <c r="R76"/>
  <c r="S76" s="1"/>
  <c r="R77"/>
  <c r="S77" s="1"/>
  <c r="R78"/>
  <c r="S78" s="1"/>
  <c r="R79"/>
  <c r="R80"/>
  <c r="S80" s="1"/>
  <c r="R81"/>
  <c r="S81" s="1"/>
  <c r="R82"/>
  <c r="S82" s="1"/>
  <c r="R83"/>
  <c r="R84"/>
  <c r="S84" s="1"/>
  <c r="R85"/>
  <c r="S85" s="1"/>
  <c r="R86"/>
  <c r="S86" s="1"/>
  <c r="R87"/>
  <c r="R88"/>
  <c r="S88" s="1"/>
  <c r="R89"/>
  <c r="S89" s="1"/>
  <c r="R90"/>
  <c r="S90" s="1"/>
  <c r="R91"/>
  <c r="R92"/>
  <c r="S92" s="1"/>
  <c r="R93"/>
  <c r="S93" s="1"/>
  <c r="R94"/>
  <c r="S94" s="1"/>
  <c r="R95"/>
  <c r="R96"/>
  <c r="S96" s="1"/>
  <c r="R97"/>
  <c r="S97" s="1"/>
  <c r="R98"/>
  <c r="S98" s="1"/>
  <c r="R99"/>
  <c r="S99" s="1"/>
  <c r="R100"/>
  <c r="S100" s="1"/>
  <c r="R101"/>
  <c r="R102"/>
  <c r="S102" s="1"/>
  <c r="R103"/>
  <c r="S103" s="1"/>
  <c r="R104"/>
  <c r="S104" s="1"/>
  <c r="R105"/>
  <c r="R106"/>
  <c r="S106" s="1"/>
  <c r="R107"/>
  <c r="S107" s="1"/>
  <c r="R108"/>
  <c r="S108" s="1"/>
  <c r="R109"/>
  <c r="R110"/>
  <c r="S110" s="1"/>
  <c r="R111"/>
  <c r="S111" s="1"/>
  <c r="R112"/>
  <c r="S112" s="1"/>
  <c r="R113"/>
  <c r="R114"/>
  <c r="S114" s="1"/>
  <c r="R115"/>
  <c r="S115" s="1"/>
  <c r="R116"/>
  <c r="S116" s="1"/>
  <c r="R117"/>
  <c r="R118"/>
  <c r="S118" s="1"/>
  <c r="R119"/>
  <c r="S119" s="1"/>
  <c r="R120"/>
  <c r="S120" s="1"/>
  <c r="R121"/>
  <c r="R122"/>
  <c r="S122" s="1"/>
  <c r="R123"/>
  <c r="R124"/>
  <c r="S124" s="1"/>
  <c r="R125"/>
  <c r="S125" s="1"/>
  <c r="R126"/>
  <c r="S126" s="1"/>
  <c r="R127"/>
  <c r="R128"/>
  <c r="S128" s="1"/>
  <c r="R129"/>
  <c r="S129" s="1"/>
  <c r="R130"/>
  <c r="S130" s="1"/>
  <c r="R131"/>
  <c r="R132"/>
  <c r="S132" s="1"/>
  <c r="R133"/>
  <c r="S133" s="1"/>
  <c r="R134"/>
  <c r="S134" s="1"/>
  <c r="R135"/>
  <c r="R136"/>
  <c r="S136" s="1"/>
  <c r="R137"/>
  <c r="S137" s="1"/>
  <c r="R138"/>
  <c r="S138" s="1"/>
  <c r="R139"/>
  <c r="R140"/>
  <c r="S140" s="1"/>
  <c r="R141"/>
  <c r="S141" s="1"/>
  <c r="R142"/>
  <c r="S142" s="1"/>
  <c r="R143"/>
  <c r="R144"/>
  <c r="S144" s="1"/>
  <c r="R145"/>
  <c r="S145" s="1"/>
  <c r="R146"/>
  <c r="S146" s="1"/>
  <c r="R147"/>
  <c r="R148"/>
  <c r="S148" s="1"/>
  <c r="R149"/>
  <c r="S149" s="1"/>
  <c r="R150"/>
  <c r="S150" s="1"/>
  <c r="R151"/>
  <c r="R152"/>
  <c r="S152" s="1"/>
  <c r="R153"/>
  <c r="S153" s="1"/>
  <c r="R154"/>
  <c r="S154" s="1"/>
  <c r="R155"/>
  <c r="R156"/>
  <c r="S156" s="1"/>
  <c r="R157"/>
  <c r="S157" s="1"/>
  <c r="R158"/>
  <c r="S158" s="1"/>
  <c r="R159"/>
  <c r="R160"/>
  <c r="S160" s="1"/>
  <c r="R161"/>
  <c r="S161" s="1"/>
  <c r="R162"/>
  <c r="S162" s="1"/>
  <c r="R163"/>
  <c r="R164"/>
  <c r="S164" s="1"/>
  <c r="R165"/>
  <c r="S165" s="1"/>
  <c r="R166"/>
  <c r="S166" s="1"/>
  <c r="R167"/>
  <c r="R168"/>
  <c r="S168" s="1"/>
  <c r="R169"/>
  <c r="S169" s="1"/>
  <c r="R170"/>
  <c r="S170" s="1"/>
  <c r="R171"/>
  <c r="R172"/>
  <c r="S172" s="1"/>
  <c r="R173"/>
  <c r="S173" s="1"/>
  <c r="R174"/>
  <c r="S174" s="1"/>
  <c r="R175"/>
  <c r="R176"/>
  <c r="S176" s="1"/>
  <c r="R177"/>
  <c r="S177" s="1"/>
  <c r="R178"/>
  <c r="S178" s="1"/>
  <c r="R179"/>
  <c r="R180"/>
  <c r="S180" s="1"/>
  <c r="R181"/>
  <c r="S181" s="1"/>
  <c r="R182"/>
  <c r="S182" s="1"/>
  <c r="R183"/>
  <c r="R184"/>
  <c r="S184" s="1"/>
  <c r="R185"/>
  <c r="S185" s="1"/>
  <c r="R186"/>
  <c r="S186" s="1"/>
  <c r="R187"/>
  <c r="R188"/>
  <c r="S188" s="1"/>
  <c r="R189"/>
  <c r="S189" s="1"/>
  <c r="R190"/>
  <c r="S190" s="1"/>
  <c r="R191"/>
  <c r="R192"/>
  <c r="S192" s="1"/>
  <c r="R193"/>
  <c r="S193" s="1"/>
  <c r="R194"/>
  <c r="S194" s="1"/>
  <c r="R195"/>
  <c r="R196"/>
  <c r="S196" s="1"/>
  <c r="R197"/>
  <c r="S197" s="1"/>
  <c r="R198"/>
  <c r="S198" s="1"/>
  <c r="R199"/>
  <c r="R200"/>
  <c r="S200" s="1"/>
  <c r="R201"/>
  <c r="S201" s="1"/>
  <c r="R202"/>
  <c r="S202" s="1"/>
  <c r="R203"/>
  <c r="R204"/>
  <c r="S204" s="1"/>
  <c r="R205"/>
  <c r="S205" s="1"/>
  <c r="R206"/>
  <c r="S206" s="1"/>
  <c r="R207"/>
  <c r="R208"/>
  <c r="S208" s="1"/>
  <c r="R209"/>
  <c r="S209" s="1"/>
  <c r="R210"/>
  <c r="S210" s="1"/>
  <c r="R211"/>
  <c r="R212"/>
  <c r="S212" s="1"/>
  <c r="R213"/>
  <c r="S213" s="1"/>
  <c r="R214"/>
  <c r="S214" s="1"/>
  <c r="R215"/>
  <c r="R216"/>
  <c r="S216" s="1"/>
  <c r="R217"/>
  <c r="S217" s="1"/>
  <c r="R218"/>
  <c r="S218" s="1"/>
  <c r="R219"/>
  <c r="R220"/>
  <c r="S220" s="1"/>
  <c r="R221"/>
  <c r="S221" s="1"/>
  <c r="R222"/>
  <c r="S222" s="1"/>
  <c r="R223"/>
  <c r="S223" s="1"/>
  <c r="R224"/>
  <c r="R225"/>
  <c r="S225" s="1"/>
  <c r="R226"/>
  <c r="R227"/>
  <c r="S227" s="1"/>
  <c r="R228"/>
  <c r="R229"/>
  <c r="S229" s="1"/>
  <c r="R230"/>
  <c r="R231"/>
  <c r="S231" s="1"/>
  <c r="R232"/>
  <c r="R233"/>
  <c r="S233" s="1"/>
  <c r="R234"/>
  <c r="R235"/>
  <c r="S235" s="1"/>
  <c r="R236"/>
  <c r="R237"/>
  <c r="S237" s="1"/>
  <c r="R238"/>
  <c r="R239"/>
  <c r="S239" s="1"/>
  <c r="R240"/>
  <c r="R241"/>
  <c r="S241" s="1"/>
  <c r="R242"/>
  <c r="R243"/>
  <c r="S243" s="1"/>
  <c r="R244"/>
  <c r="R245"/>
  <c r="S245" s="1"/>
  <c r="R246"/>
  <c r="R247"/>
  <c r="S247" s="1"/>
  <c r="R248"/>
  <c r="R249"/>
  <c r="S249" s="1"/>
  <c r="R250"/>
  <c r="R251"/>
  <c r="S251" s="1"/>
  <c r="R252"/>
  <c r="R253"/>
  <c r="S253" s="1"/>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S426" s="1"/>
  <c r="R427"/>
  <c r="S427" s="1"/>
  <c r="R428"/>
  <c r="S428" s="1"/>
  <c r="R429"/>
  <c r="R430"/>
  <c r="S430" s="1"/>
  <c r="R431"/>
  <c r="S431" s="1"/>
  <c r="R432"/>
  <c r="S432" s="1"/>
  <c r="R433"/>
  <c r="R434"/>
  <c r="S434" s="1"/>
  <c r="R435"/>
  <c r="S435" s="1"/>
  <c r="R436"/>
  <c r="S436" s="1"/>
  <c r="R437"/>
  <c r="R438"/>
  <c r="S438" s="1"/>
  <c r="R439"/>
  <c r="S439" s="1"/>
  <c r="R440"/>
  <c r="S440" s="1"/>
  <c r="R441"/>
  <c r="R442"/>
  <c r="S442" s="1"/>
  <c r="R443"/>
  <c r="S443" s="1"/>
  <c r="R444"/>
  <c r="S444" s="1"/>
  <c r="R445"/>
  <c r="R446"/>
  <c r="S446" s="1"/>
  <c r="R447"/>
  <c r="S447" s="1"/>
  <c r="R448"/>
  <c r="S448" s="1"/>
  <c r="R449"/>
  <c r="R450"/>
  <c r="S450" s="1"/>
  <c r="R451"/>
  <c r="S451" s="1"/>
  <c r="R452"/>
  <c r="S452" s="1"/>
  <c r="R453"/>
  <c r="R454"/>
  <c r="S454" s="1"/>
  <c r="R455"/>
  <c r="S455" s="1"/>
  <c r="R456"/>
  <c r="S456" s="1"/>
  <c r="R457"/>
  <c r="R458"/>
  <c r="S458" s="1"/>
  <c r="R459"/>
  <c r="S459" s="1"/>
  <c r="R460"/>
  <c r="S460" s="1"/>
  <c r="R461"/>
  <c r="R462"/>
  <c r="S462" s="1"/>
  <c r="R463"/>
  <c r="S463" s="1"/>
  <c r="R464"/>
  <c r="S464" s="1"/>
  <c r="R465"/>
  <c r="R466"/>
  <c r="S466" s="1"/>
  <c r="R467"/>
  <c r="S467" s="1"/>
  <c r="R468"/>
  <c r="S468" s="1"/>
  <c r="R469"/>
  <c r="R470"/>
  <c r="S470" s="1"/>
  <c r="R471"/>
  <c r="S471" s="1"/>
  <c r="R472"/>
  <c r="S472" s="1"/>
  <c r="R473"/>
  <c r="R474"/>
  <c r="R475"/>
  <c r="R476"/>
  <c r="R477"/>
  <c r="R478"/>
  <c r="R479"/>
  <c r="R480"/>
  <c r="R481"/>
  <c r="R482"/>
  <c r="R483"/>
  <c r="R484"/>
  <c r="R485"/>
  <c r="R486"/>
  <c r="R487"/>
  <c r="R488"/>
  <c r="R489"/>
  <c r="R490"/>
  <c r="R491"/>
  <c r="R492"/>
  <c r="S492" s="1"/>
  <c r="R493"/>
  <c r="S493" s="1"/>
  <c r="R494"/>
  <c r="R495"/>
  <c r="S495" s="1"/>
  <c r="R496"/>
  <c r="R497"/>
  <c r="S497" s="1"/>
  <c r="R498"/>
  <c r="S498" s="1"/>
  <c r="R499"/>
  <c r="R500"/>
  <c r="S500" s="1"/>
  <c r="R501"/>
  <c r="R502"/>
  <c r="S502" s="1"/>
  <c r="R503"/>
  <c r="R504"/>
  <c r="S504" s="1"/>
  <c r="R505"/>
  <c r="R506"/>
  <c r="S506" s="1"/>
  <c r="R507"/>
  <c r="S507" s="1"/>
  <c r="R508"/>
  <c r="S508" s="1"/>
  <c r="R509"/>
  <c r="R510"/>
  <c r="S510" s="1"/>
  <c r="R511"/>
  <c r="S511" s="1"/>
  <c r="R512"/>
  <c r="S512" s="1"/>
  <c r="R513"/>
  <c r="R514"/>
  <c r="S514" s="1"/>
  <c r="R515"/>
  <c r="S515" s="1"/>
  <c r="R516"/>
  <c r="S516" s="1"/>
  <c r="R517"/>
  <c r="R518"/>
  <c r="S518" s="1"/>
  <c r="R519"/>
  <c r="S519" s="1"/>
  <c r="R520"/>
  <c r="S520" s="1"/>
  <c r="R521"/>
  <c r="R522"/>
  <c r="S522" s="1"/>
  <c r="R523"/>
  <c r="S523" s="1"/>
  <c r="R524"/>
  <c r="S524" s="1"/>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L24"/>
  <c r="N3" i="54"/>
  <c r="B42" i="63" s="1"/>
  <c r="A2" i="9"/>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c r="H61" i="49"/>
  <c r="H39" i="46"/>
  <c r="H38"/>
  <c r="H37"/>
  <c r="H36"/>
  <c r="H35"/>
  <c r="H34"/>
  <c r="H33"/>
  <c r="P17"/>
  <c r="O17"/>
  <c r="N17"/>
  <c r="M17"/>
  <c r="G20"/>
  <c r="J20"/>
  <c r="C18"/>
  <c r="F15"/>
  <c r="E15"/>
  <c r="D15"/>
  <c r="C15"/>
  <c r="C10"/>
  <c r="C11" s="1"/>
  <c r="C9"/>
  <c r="E19" i="6"/>
  <c r="E32" s="1"/>
  <c r="E20"/>
  <c r="E21"/>
  <c r="K8" i="1" s="1"/>
  <c r="M8" s="1"/>
  <c r="O8" s="1"/>
  <c r="P8" s="1"/>
  <c r="E22" i="6"/>
  <c r="E23"/>
  <c r="E24"/>
  <c r="E25"/>
  <c r="E26"/>
  <c r="D38" i="4"/>
  <c r="C39" s="1"/>
  <c r="C35"/>
  <c r="E16" i="12"/>
  <c r="F14"/>
  <c r="F15"/>
  <c r="F17"/>
  <c r="E19"/>
  <c r="E21"/>
  <c r="E22"/>
  <c r="F23"/>
  <c r="F24"/>
  <c r="F25"/>
  <c r="C43" i="9"/>
  <c r="K47" s="1"/>
  <c r="B65" i="63" s="1"/>
  <c r="I73" i="9"/>
  <c r="F73"/>
  <c r="P73" s="1"/>
  <c r="D107"/>
  <c r="C107" s="1"/>
  <c r="C105" s="1"/>
  <c r="C17"/>
  <c r="D17"/>
  <c r="C18" s="1"/>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H10"/>
  <c r="AB10" s="1"/>
  <c r="H11"/>
  <c r="AB11" s="1"/>
  <c r="H36"/>
  <c r="AB36" s="1"/>
  <c r="H40"/>
  <c r="AB40" s="1"/>
  <c r="J10"/>
  <c r="AC10" s="1"/>
  <c r="J11"/>
  <c r="AC11" s="1"/>
  <c r="J36"/>
  <c r="AC36" s="1"/>
  <c r="J40"/>
  <c r="AC40" s="1"/>
  <c r="F35" i="44"/>
  <c r="M21"/>
  <c r="F20"/>
  <c r="C6" i="43"/>
  <c r="K9"/>
  <c r="J9"/>
  <c r="I9"/>
  <c r="H9"/>
  <c r="G9"/>
  <c r="F9"/>
  <c r="E9"/>
  <c r="D9"/>
  <c r="C9"/>
  <c r="BC13" i="3"/>
  <c r="BB13"/>
  <c r="BR13"/>
  <c r="B24" i="1"/>
  <c r="E77" i="9"/>
  <c r="O75" s="1"/>
  <c r="L75"/>
  <c r="F77"/>
  <c r="P75" s="1"/>
  <c r="O74"/>
  <c r="O73"/>
  <c r="E66"/>
  <c r="O72"/>
  <c r="F74"/>
  <c r="P74"/>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D95" i="9"/>
  <c r="C95" s="1"/>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B43" i="1"/>
  <c r="D111" i="9" s="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2"/>
  <c r="S250"/>
  <c r="S248"/>
  <c r="S246"/>
  <c r="S244"/>
  <c r="S242"/>
  <c r="S240"/>
  <c r="S238"/>
  <c r="S236"/>
  <c r="S234"/>
  <c r="S232"/>
  <c r="S230"/>
  <c r="S228"/>
  <c r="S226"/>
  <c r="S224"/>
  <c r="S429"/>
  <c r="S425"/>
  <c r="S219"/>
  <c r="S215"/>
  <c r="S211"/>
  <c r="S207"/>
  <c r="S203"/>
  <c r="S199"/>
  <c r="S195"/>
  <c r="S191"/>
  <c r="S187"/>
  <c r="S183"/>
  <c r="S179"/>
  <c r="S175"/>
  <c r="S171"/>
  <c r="S167"/>
  <c r="S163"/>
  <c r="S159"/>
  <c r="S155"/>
  <c r="S151"/>
  <c r="S147"/>
  <c r="S143"/>
  <c r="S139"/>
  <c r="S135"/>
  <c r="S131"/>
  <c r="S127"/>
  <c r="S123"/>
  <c r="S496"/>
  <c r="S494"/>
  <c r="S491"/>
  <c r="S490"/>
  <c r="S489"/>
  <c r="S488"/>
  <c r="S487"/>
  <c r="S486"/>
  <c r="S485"/>
  <c r="S484"/>
  <c r="S483"/>
  <c r="S482"/>
  <c r="S481"/>
  <c r="S480"/>
  <c r="S479"/>
  <c r="S478"/>
  <c r="S477"/>
  <c r="S476"/>
  <c r="S475"/>
  <c r="S474"/>
  <c r="S473"/>
  <c r="S469"/>
  <c r="S441"/>
  <c r="S437"/>
  <c r="S433"/>
  <c r="S121"/>
  <c r="S117"/>
  <c r="S113"/>
  <c r="S465"/>
  <c r="S461"/>
  <c r="S457"/>
  <c r="S453"/>
  <c r="S53"/>
  <c r="S49"/>
  <c r="S45"/>
  <c r="S41"/>
  <c r="S37"/>
  <c r="S33"/>
  <c r="S75"/>
  <c r="S71"/>
  <c r="S67"/>
  <c r="S63"/>
  <c r="S59"/>
  <c r="S55"/>
  <c r="S95"/>
  <c r="S91"/>
  <c r="S87"/>
  <c r="S83"/>
  <c r="S79"/>
  <c r="S29"/>
  <c r="S101"/>
  <c r="S105"/>
  <c r="S109"/>
  <c r="S445"/>
  <c r="S449"/>
  <c r="S509"/>
  <c r="S513"/>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c r="E42"/>
  <c r="F42" s="1"/>
  <c r="I44" i="35"/>
  <c r="J44" s="1"/>
  <c r="G44"/>
  <c r="H44" s="1"/>
  <c r="E44"/>
  <c r="F44" s="1"/>
  <c r="I54" i="33"/>
  <c r="J54" s="1"/>
  <c r="G54"/>
  <c r="E54"/>
  <c r="F54" s="1"/>
  <c r="H14" i="3"/>
  <c r="AC14"/>
  <c r="G14" s="1"/>
  <c r="H15"/>
  <c r="AC15"/>
  <c r="G15" s="1"/>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s="1"/>
  <c r="J30" i="36"/>
  <c r="H30"/>
  <c r="U30" s="1"/>
  <c r="F30"/>
  <c r="AA30" s="1"/>
  <c r="C26" i="35"/>
  <c r="C79" s="1"/>
  <c r="J31"/>
  <c r="H31"/>
  <c r="F31"/>
  <c r="D87"/>
  <c r="E87" s="1"/>
  <c r="F87" s="1"/>
  <c r="G87" s="1"/>
  <c r="H87" s="1"/>
  <c r="I87" s="1"/>
  <c r="J87" s="1"/>
  <c r="K87" s="1"/>
  <c r="L87" s="1"/>
  <c r="M87" s="1"/>
  <c r="H34" i="37"/>
  <c r="AB34" s="1"/>
  <c r="D101"/>
  <c r="F34"/>
  <c r="D99"/>
  <c r="E99"/>
  <c r="H42" i="34"/>
  <c r="J42"/>
  <c r="F42"/>
  <c r="J38"/>
  <c r="D114"/>
  <c r="F38"/>
  <c r="D112"/>
  <c r="E112"/>
  <c r="F112" s="1"/>
  <c r="G112" s="1"/>
  <c r="H112" s="1"/>
  <c r="I112" s="1"/>
  <c r="J112" s="1"/>
  <c r="K112" s="1"/>
  <c r="L112" s="1"/>
  <c r="M112" s="1"/>
  <c r="F40" i="33"/>
  <c r="J41"/>
  <c r="AC41" s="1"/>
  <c r="D113"/>
  <c r="F37"/>
  <c r="AA37" s="1"/>
  <c r="D111"/>
  <c r="E111"/>
  <c r="F111" s="1"/>
  <c r="G111" s="1"/>
  <c r="H111" s="1"/>
  <c r="I111" s="1"/>
  <c r="J111" s="1"/>
  <c r="K111" s="1"/>
  <c r="L111" s="1"/>
  <c r="M111" s="1"/>
  <c r="S517" i="31"/>
  <c r="S521"/>
  <c r="F41" i="21"/>
  <c r="J41"/>
  <c r="AC41" s="1"/>
  <c r="H41"/>
  <c r="U41" s="1"/>
  <c r="D83" i="39"/>
  <c r="E83" s="1"/>
  <c r="F83" s="1"/>
  <c r="G83" s="1"/>
  <c r="H83" s="1"/>
  <c r="I83" s="1"/>
  <c r="J83" s="1"/>
  <c r="K83" s="1"/>
  <c r="L83" s="1"/>
  <c r="M83" s="1"/>
  <c r="D78" i="40"/>
  <c r="F13"/>
  <c r="S13" s="1"/>
  <c r="B122"/>
  <c r="F42"/>
  <c r="AA42" s="1"/>
  <c r="B120"/>
  <c r="B118"/>
  <c r="F40"/>
  <c r="AA40" s="1"/>
  <c r="D117"/>
  <c r="E117" s="1"/>
  <c r="F117" s="1"/>
  <c r="G117" s="1"/>
  <c r="H117" s="1"/>
  <c r="I117" s="1"/>
  <c r="J117" s="1"/>
  <c r="K117" s="1"/>
  <c r="L117" s="1"/>
  <c r="M117" s="1"/>
  <c r="D115"/>
  <c r="J38"/>
  <c r="AC38" s="1"/>
  <c r="E115"/>
  <c r="F115"/>
  <c r="G115" s="1"/>
  <c r="H115" s="1"/>
  <c r="I115" s="1"/>
  <c r="J115" s="1"/>
  <c r="K115" s="1"/>
  <c r="L115" s="1"/>
  <c r="M115" s="1"/>
  <c r="H38"/>
  <c r="AB38" s="1"/>
  <c r="D113"/>
  <c r="E113" s="1"/>
  <c r="F113" s="1"/>
  <c r="M109"/>
  <c r="L109"/>
  <c r="K109"/>
  <c r="J109"/>
  <c r="I109"/>
  <c r="H109"/>
  <c r="G109"/>
  <c r="F109"/>
  <c r="E109"/>
  <c r="D109"/>
  <c r="C109"/>
  <c r="B107"/>
  <c r="B105"/>
  <c r="F34"/>
  <c r="AA34" s="1"/>
  <c r="B103"/>
  <c r="D102"/>
  <c r="E102" s="1"/>
  <c r="F102" s="1"/>
  <c r="G102" s="1"/>
  <c r="H102" s="1"/>
  <c r="I102" s="1"/>
  <c r="J102" s="1"/>
  <c r="K102" s="1"/>
  <c r="L102" s="1"/>
  <c r="M102" s="1"/>
  <c r="D100"/>
  <c r="E100"/>
  <c r="D98"/>
  <c r="E98" s="1"/>
  <c r="B97"/>
  <c r="D94"/>
  <c r="D92"/>
  <c r="D90"/>
  <c r="H21"/>
  <c r="AB21" s="1"/>
  <c r="D88"/>
  <c r="E88" s="1"/>
  <c r="D86"/>
  <c r="E86"/>
  <c r="J17" s="1"/>
  <c r="B83"/>
  <c r="F16"/>
  <c r="AA16" s="1"/>
  <c r="B81"/>
  <c r="B79"/>
  <c r="F14"/>
  <c r="AA14" s="1"/>
  <c r="M76"/>
  <c r="L76"/>
  <c r="K76"/>
  <c r="J76"/>
  <c r="I76"/>
  <c r="H76"/>
  <c r="G76"/>
  <c r="F76"/>
  <c r="E76"/>
  <c r="D76"/>
  <c r="C76"/>
  <c r="P45"/>
  <c r="P44"/>
  <c r="V43"/>
  <c r="T43"/>
  <c r="R43"/>
  <c r="P43"/>
  <c r="Q42"/>
  <c r="Z42"/>
  <c r="Q41"/>
  <c r="Z41"/>
  <c r="Q40"/>
  <c r="Z40"/>
  <c r="Q39"/>
  <c r="Z39"/>
  <c r="Q38"/>
  <c r="Z38"/>
  <c r="Q37"/>
  <c r="Z37"/>
  <c r="Q36"/>
  <c r="Z36"/>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c r="Q42"/>
  <c r="Z42"/>
  <c r="Q43"/>
  <c r="Q44"/>
  <c r="Z44" s="1"/>
  <c r="Q45"/>
  <c r="Z45" s="1"/>
  <c r="Q46"/>
  <c r="Z46" s="1"/>
  <c r="Q47"/>
  <c r="Z47" s="1"/>
  <c r="Q40"/>
  <c r="Z40"/>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s="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c r="Q21"/>
  <c r="Z21" s="1"/>
  <c r="Q19"/>
  <c r="Z19"/>
  <c r="Q17"/>
  <c r="Z17" s="1"/>
  <c r="Q16"/>
  <c r="Z16" s="1"/>
  <c r="Q15"/>
  <c r="Z15" s="1"/>
  <c r="Q14"/>
  <c r="Z14" s="1"/>
  <c r="Q13"/>
  <c r="Z13" s="1"/>
  <c r="Q12"/>
  <c r="Z12" s="1"/>
  <c r="Q11"/>
  <c r="Z11" s="1"/>
  <c r="U10"/>
  <c r="C9"/>
  <c r="C70" s="1"/>
  <c r="C20" i="36"/>
  <c r="C20" i="35"/>
  <c r="C16" i="36"/>
  <c r="C16" i="35"/>
  <c r="C14" i="36"/>
  <c r="C14" i="35"/>
  <c r="B80" i="37"/>
  <c r="H25"/>
  <c r="U25" s="1"/>
  <c r="B110"/>
  <c r="J39"/>
  <c r="AC39" s="1"/>
  <c r="B108"/>
  <c r="C23"/>
  <c r="C19"/>
  <c r="C17"/>
  <c r="C15"/>
  <c r="B112"/>
  <c r="D107"/>
  <c r="E107"/>
  <c r="D105"/>
  <c r="E105"/>
  <c r="H36"/>
  <c r="D103"/>
  <c r="J35"/>
  <c r="AC35" s="1"/>
  <c r="F97"/>
  <c r="E97"/>
  <c r="D97"/>
  <c r="C97"/>
  <c r="D96"/>
  <c r="E96"/>
  <c r="D94"/>
  <c r="M90"/>
  <c r="L90"/>
  <c r="K90"/>
  <c r="J90"/>
  <c r="I90"/>
  <c r="H90"/>
  <c r="G90"/>
  <c r="F90"/>
  <c r="E90"/>
  <c r="D90"/>
  <c r="C90"/>
  <c r="D89"/>
  <c r="B86"/>
  <c r="B84"/>
  <c r="H27"/>
  <c r="U27" s="1"/>
  <c r="B82"/>
  <c r="D79"/>
  <c r="E79"/>
  <c r="D75"/>
  <c r="E75"/>
  <c r="F75" s="1"/>
  <c r="D73"/>
  <c r="E73"/>
  <c r="F73" s="1"/>
  <c r="G73" s="1"/>
  <c r="D71"/>
  <c r="E71" s="1"/>
  <c r="F71" s="1"/>
  <c r="G71" s="1"/>
  <c r="F15"/>
  <c r="AA15" s="1"/>
  <c r="B68"/>
  <c r="H14"/>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c r="Q38"/>
  <c r="Z38"/>
  <c r="Q37"/>
  <c r="Z37"/>
  <c r="Q36"/>
  <c r="Z36"/>
  <c r="Q35"/>
  <c r="Z35" s="1"/>
  <c r="Q34"/>
  <c r="Z34" s="1"/>
  <c r="Q33"/>
  <c r="Z33" s="1"/>
  <c r="Q32"/>
  <c r="Z32" s="1"/>
  <c r="Q31"/>
  <c r="Z31" s="1"/>
  <c r="J31"/>
  <c r="Q30"/>
  <c r="Z30"/>
  <c r="J30"/>
  <c r="W30" s="1"/>
  <c r="H30"/>
  <c r="AB30" s="1"/>
  <c r="F30"/>
  <c r="Q29"/>
  <c r="Z29"/>
  <c r="H29"/>
  <c r="U29" s="1"/>
  <c r="Q28"/>
  <c r="Z28" s="1"/>
  <c r="Q27"/>
  <c r="Z27" s="1"/>
  <c r="Q26"/>
  <c r="Z26" s="1"/>
  <c r="J26"/>
  <c r="H26"/>
  <c r="AB26" s="1"/>
  <c r="F26"/>
  <c r="AA26" s="1"/>
  <c r="Q25"/>
  <c r="Z25"/>
  <c r="J25"/>
  <c r="W25" s="1"/>
  <c r="F25"/>
  <c r="AA25" s="1"/>
  <c r="Q23"/>
  <c r="Z23"/>
  <c r="Q19"/>
  <c r="Z19" s="1"/>
  <c r="Q17"/>
  <c r="Z17"/>
  <c r="Q15"/>
  <c r="Z15"/>
  <c r="Q14"/>
  <c r="Z14"/>
  <c r="Q13"/>
  <c r="Z13"/>
  <c r="Q12"/>
  <c r="Z12"/>
  <c r="Q11"/>
  <c r="Z11"/>
  <c r="Q10"/>
  <c r="Z10"/>
  <c r="F10"/>
  <c r="AA10" s="1"/>
  <c r="Q9"/>
  <c r="Z9"/>
  <c r="J8"/>
  <c r="W8" s="1"/>
  <c r="H8"/>
  <c r="AB8" s="1"/>
  <c r="F8"/>
  <c r="C7"/>
  <c r="J31" i="36"/>
  <c r="W31" s="1"/>
  <c r="H31"/>
  <c r="AB31" s="1"/>
  <c r="F31"/>
  <c r="S31" s="1"/>
  <c r="M86"/>
  <c r="L86"/>
  <c r="K86"/>
  <c r="J86"/>
  <c r="I86"/>
  <c r="H86"/>
  <c r="G86"/>
  <c r="F86"/>
  <c r="E86"/>
  <c r="D86"/>
  <c r="C86"/>
  <c r="D85"/>
  <c r="H29"/>
  <c r="AB29" s="1"/>
  <c r="D81"/>
  <c r="E81"/>
  <c r="F81" s="1"/>
  <c r="G81" s="1"/>
  <c r="H81" s="1"/>
  <c r="I81" s="1"/>
  <c r="J81" s="1"/>
  <c r="K81" s="1"/>
  <c r="L81" s="1"/>
  <c r="M81" s="1"/>
  <c r="F79"/>
  <c r="E79"/>
  <c r="D79"/>
  <c r="C79"/>
  <c r="B93"/>
  <c r="B91"/>
  <c r="F32"/>
  <c r="S32" s="1"/>
  <c r="B95"/>
  <c r="H34"/>
  <c r="D83"/>
  <c r="E83" s="1"/>
  <c r="F83" s="1"/>
  <c r="G83" s="1"/>
  <c r="H83" s="1"/>
  <c r="I83" s="1"/>
  <c r="J83" s="1"/>
  <c r="K83" s="1"/>
  <c r="L83" s="1"/>
  <c r="M83" s="1"/>
  <c r="D78"/>
  <c r="J26"/>
  <c r="W26" s="1"/>
  <c r="B75"/>
  <c r="B73"/>
  <c r="J24"/>
  <c r="W24" s="1"/>
  <c r="B71"/>
  <c r="D70"/>
  <c r="H22"/>
  <c r="AB22" s="1"/>
  <c r="D68"/>
  <c r="E68" s="1"/>
  <c r="D64"/>
  <c r="E64" s="1"/>
  <c r="F64" s="1"/>
  <c r="G64" s="1"/>
  <c r="J16"/>
  <c r="D62"/>
  <c r="E62" s="1"/>
  <c r="B59"/>
  <c r="B57"/>
  <c r="J12"/>
  <c r="B55"/>
  <c r="F54"/>
  <c r="G54" s="1"/>
  <c r="H54" s="1"/>
  <c r="I54" s="1"/>
  <c r="J10"/>
  <c r="W10" s="1"/>
  <c r="C51"/>
  <c r="P37"/>
  <c r="P36"/>
  <c r="V35"/>
  <c r="T35"/>
  <c r="R35"/>
  <c r="P35"/>
  <c r="Q34"/>
  <c r="Z34" s="1"/>
  <c r="Q33"/>
  <c r="Z33" s="1"/>
  <c r="Q32"/>
  <c r="Z32" s="1"/>
  <c r="Q31"/>
  <c r="Z31" s="1"/>
  <c r="Q30"/>
  <c r="Z30" s="1"/>
  <c r="Q29"/>
  <c r="Z29" s="1"/>
  <c r="Q28"/>
  <c r="Z28" s="1"/>
  <c r="J28"/>
  <c r="AC28" s="1"/>
  <c r="Q27"/>
  <c r="Z27"/>
  <c r="Q26"/>
  <c r="Z26"/>
  <c r="H26"/>
  <c r="AB26" s="1"/>
  <c r="Q25"/>
  <c r="Z25" s="1"/>
  <c r="Q24"/>
  <c r="Z24" s="1"/>
  <c r="H24"/>
  <c r="AB24" s="1"/>
  <c r="Q23"/>
  <c r="Z23"/>
  <c r="J23"/>
  <c r="AC23" s="1"/>
  <c r="H23"/>
  <c r="AB23" s="1"/>
  <c r="F23"/>
  <c r="AA23" s="1"/>
  <c r="Q22"/>
  <c r="Z22"/>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c r="B99"/>
  <c r="B97"/>
  <c r="B77"/>
  <c r="B75"/>
  <c r="J24"/>
  <c r="AC24" s="1"/>
  <c r="B73"/>
  <c r="B57"/>
  <c r="B61"/>
  <c r="B59"/>
  <c r="H12" s="1"/>
  <c r="B131" i="34"/>
  <c r="B129"/>
  <c r="B127"/>
  <c r="B99"/>
  <c r="B97"/>
  <c r="B95"/>
  <c r="B93"/>
  <c r="B75"/>
  <c r="B73"/>
  <c r="B71"/>
  <c r="B130" i="33"/>
  <c r="B128"/>
  <c r="H45"/>
  <c r="U45" s="1"/>
  <c r="B126"/>
  <c r="B98"/>
  <c r="F31"/>
  <c r="AA31" s="1"/>
  <c r="B96"/>
  <c r="B94"/>
  <c r="B74"/>
  <c r="B72"/>
  <c r="B70"/>
  <c r="D96" i="35"/>
  <c r="E96" s="1"/>
  <c r="F96" s="1"/>
  <c r="G96" s="1"/>
  <c r="D94"/>
  <c r="D84"/>
  <c r="E84"/>
  <c r="F84" s="1"/>
  <c r="G84" s="1"/>
  <c r="H84" s="1"/>
  <c r="I84" s="1"/>
  <c r="J84" s="1"/>
  <c r="K84" s="1"/>
  <c r="L84" s="1"/>
  <c r="M84" s="1"/>
  <c r="D80"/>
  <c r="D72"/>
  <c r="D70"/>
  <c r="E70" s="1"/>
  <c r="F70" s="1"/>
  <c r="G70" s="1"/>
  <c r="D66"/>
  <c r="E66" s="1"/>
  <c r="F66" s="1"/>
  <c r="G66" s="1"/>
  <c r="D64"/>
  <c r="E64" s="1"/>
  <c r="F64" s="1"/>
  <c r="G64" s="1"/>
  <c r="F56"/>
  <c r="G56"/>
  <c r="H56" s="1"/>
  <c r="I56" s="1"/>
  <c r="C53"/>
  <c r="H9"/>
  <c r="AB9" s="1"/>
  <c r="P39"/>
  <c r="P38"/>
  <c r="V37"/>
  <c r="T37"/>
  <c r="R37"/>
  <c r="P37"/>
  <c r="Q36"/>
  <c r="Z36"/>
  <c r="J36"/>
  <c r="AC36" s="1"/>
  <c r="Q35"/>
  <c r="Z35" s="1"/>
  <c r="Q34"/>
  <c r="Z34" s="1"/>
  <c r="J34"/>
  <c r="AC34" s="1"/>
  <c r="H34"/>
  <c r="AB34" s="1"/>
  <c r="F34"/>
  <c r="AA34" s="1"/>
  <c r="Q33"/>
  <c r="Z33"/>
  <c r="Q32"/>
  <c r="Z32"/>
  <c r="H32"/>
  <c r="AB32" s="1"/>
  <c r="F32"/>
  <c r="AA32" s="1"/>
  <c r="Q31"/>
  <c r="Z31"/>
  <c r="AC31"/>
  <c r="AB31"/>
  <c r="AA31"/>
  <c r="Q30"/>
  <c r="Z30" s="1"/>
  <c r="Q29"/>
  <c r="Z29" s="1"/>
  <c r="Q28"/>
  <c r="Z28" s="1"/>
  <c r="J28"/>
  <c r="H28"/>
  <c r="F28"/>
  <c r="AA28" s="1"/>
  <c r="Q27"/>
  <c r="Z27" s="1"/>
  <c r="Q26"/>
  <c r="Z26" s="1"/>
  <c r="Q25"/>
  <c r="Z25"/>
  <c r="Q24"/>
  <c r="Z24"/>
  <c r="Q23"/>
  <c r="Z23"/>
  <c r="J23"/>
  <c r="AC23" s="1"/>
  <c r="Q22"/>
  <c r="Z22"/>
  <c r="Q20"/>
  <c r="Z20"/>
  <c r="Q16"/>
  <c r="Z16" s="1"/>
  <c r="Q14"/>
  <c r="Z14" s="1"/>
  <c r="Q13"/>
  <c r="Z13" s="1"/>
  <c r="Q12"/>
  <c r="Z12" s="1"/>
  <c r="J12"/>
  <c r="W12" s="1"/>
  <c r="F12"/>
  <c r="AA12" s="1"/>
  <c r="Q11"/>
  <c r="Z11" s="1"/>
  <c r="Q10"/>
  <c r="Z10" s="1"/>
  <c r="Q9"/>
  <c r="Z9" s="1"/>
  <c r="J9"/>
  <c r="W9" s="1"/>
  <c r="F9"/>
  <c r="AA9" s="1"/>
  <c r="J8"/>
  <c r="H8"/>
  <c r="F8"/>
  <c r="AA8" s="1"/>
  <c r="C7"/>
  <c r="D120" i="34"/>
  <c r="E120"/>
  <c r="F120" s="1"/>
  <c r="G120" s="1"/>
  <c r="H120" s="1"/>
  <c r="I120" s="1"/>
  <c r="J120" s="1"/>
  <c r="K120" s="1"/>
  <c r="L120" s="1"/>
  <c r="M120" s="1"/>
  <c r="D90"/>
  <c r="E90" s="1"/>
  <c r="F90" s="1"/>
  <c r="G90" s="1"/>
  <c r="H90" s="1"/>
  <c r="I90" s="1"/>
  <c r="J90" s="1"/>
  <c r="K90" s="1"/>
  <c r="L90" s="1"/>
  <c r="M90" s="1"/>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c r="F116" s="1"/>
  <c r="G116" s="1"/>
  <c r="H116" s="1"/>
  <c r="I116" s="1"/>
  <c r="J116" s="1"/>
  <c r="K116" s="1"/>
  <c r="L116" s="1"/>
  <c r="M116" s="1"/>
  <c r="F110"/>
  <c r="E110"/>
  <c r="D110"/>
  <c r="C110"/>
  <c r="D109"/>
  <c r="E109"/>
  <c r="F109" s="1"/>
  <c r="G109" s="1"/>
  <c r="H109" s="1"/>
  <c r="I109" s="1"/>
  <c r="J109" s="1"/>
  <c r="K109" s="1"/>
  <c r="L109" s="1"/>
  <c r="M109" s="1"/>
  <c r="J36"/>
  <c r="D107"/>
  <c r="E107"/>
  <c r="F35"/>
  <c r="M103"/>
  <c r="L103"/>
  <c r="K103"/>
  <c r="J103"/>
  <c r="I103"/>
  <c r="H103"/>
  <c r="G103"/>
  <c r="F103"/>
  <c r="E103"/>
  <c r="D103"/>
  <c r="C103"/>
  <c r="D102"/>
  <c r="E102"/>
  <c r="F102" s="1"/>
  <c r="G102" s="1"/>
  <c r="H102" s="1"/>
  <c r="I102" s="1"/>
  <c r="J102" s="1"/>
  <c r="K102" s="1"/>
  <c r="L102" s="1"/>
  <c r="M102" s="1"/>
  <c r="H33"/>
  <c r="U33" s="1"/>
  <c r="D92"/>
  <c r="E92" s="1"/>
  <c r="F92" s="1"/>
  <c r="G92" s="1"/>
  <c r="H92" s="1"/>
  <c r="I92" s="1"/>
  <c r="J92" s="1"/>
  <c r="K92" s="1"/>
  <c r="L92" s="1"/>
  <c r="M92" s="1"/>
  <c r="B91"/>
  <c r="F28"/>
  <c r="S28" s="1"/>
  <c r="B89"/>
  <c r="J27"/>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c r="Q46"/>
  <c r="Z46"/>
  <c r="Q45"/>
  <c r="Z45"/>
  <c r="Q44"/>
  <c r="Z44"/>
  <c r="H44"/>
  <c r="AB44" s="1"/>
  <c r="Q43"/>
  <c r="Z43" s="1"/>
  <c r="F43"/>
  <c r="AA43" s="1"/>
  <c r="Q42"/>
  <c r="Z42" s="1"/>
  <c r="Q41"/>
  <c r="Z41"/>
  <c r="Q40"/>
  <c r="Z40" s="1"/>
  <c r="F40"/>
  <c r="S40" s="1"/>
  <c r="Q39"/>
  <c r="Z39"/>
  <c r="J39"/>
  <c r="AC39" s="1"/>
  <c r="H39"/>
  <c r="U39" s="1"/>
  <c r="F39"/>
  <c r="Q38"/>
  <c r="Z38" s="1"/>
  <c r="Q37"/>
  <c r="Z37" s="1"/>
  <c r="Q36"/>
  <c r="Z36" s="1"/>
  <c r="Q35"/>
  <c r="Z35" s="1"/>
  <c r="Q34"/>
  <c r="Z34" s="1"/>
  <c r="J34"/>
  <c r="H34"/>
  <c r="AB34" s="1"/>
  <c r="F34"/>
  <c r="AA34" s="1"/>
  <c r="Q33"/>
  <c r="Z33"/>
  <c r="Q32"/>
  <c r="Z32"/>
  <c r="Q31"/>
  <c r="Z31"/>
  <c r="Q30"/>
  <c r="Z30"/>
  <c r="Q29"/>
  <c r="Z29"/>
  <c r="Q28"/>
  <c r="Z28"/>
  <c r="Q27"/>
  <c r="Z27"/>
  <c r="Q25"/>
  <c r="Z25"/>
  <c r="Q23"/>
  <c r="Z23"/>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c r="F101" s="1"/>
  <c r="G101" s="1"/>
  <c r="H101" s="1"/>
  <c r="I101" s="1"/>
  <c r="J101" s="1"/>
  <c r="K101" s="1"/>
  <c r="L101" s="1"/>
  <c r="M101" s="1"/>
  <c r="B92"/>
  <c r="B90"/>
  <c r="H27"/>
  <c r="U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H54"/>
  <c r="P49"/>
  <c r="P48"/>
  <c r="V47"/>
  <c r="T47"/>
  <c r="R47"/>
  <c r="P47"/>
  <c r="Q46"/>
  <c r="Z46" s="1"/>
  <c r="Q45"/>
  <c r="Z45" s="1"/>
  <c r="Q44"/>
  <c r="Z44" s="1"/>
  <c r="Q43"/>
  <c r="Z43" s="1"/>
  <c r="Q42"/>
  <c r="Z42" s="1"/>
  <c r="J42"/>
  <c r="AC42" s="1"/>
  <c r="Q41"/>
  <c r="Z41"/>
  <c r="Q40"/>
  <c r="Z40"/>
  <c r="J40"/>
  <c r="AC40" s="1"/>
  <c r="H40"/>
  <c r="AA40"/>
  <c r="Q39"/>
  <c r="Z39"/>
  <c r="J39"/>
  <c r="AC39" s="1"/>
  <c r="Q38"/>
  <c r="Z38" s="1"/>
  <c r="J38"/>
  <c r="AC38" s="1"/>
  <c r="H38"/>
  <c r="AB38" s="1"/>
  <c r="F38"/>
  <c r="AA38" s="1"/>
  <c r="Q37"/>
  <c r="Z37" s="1"/>
  <c r="Q36"/>
  <c r="Z36"/>
  <c r="Q35"/>
  <c r="Z35"/>
  <c r="H35"/>
  <c r="AB35" s="1"/>
  <c r="Q34"/>
  <c r="Z34" s="1"/>
  <c r="Q33"/>
  <c r="Z33" s="1"/>
  <c r="J33"/>
  <c r="AC33" s="1"/>
  <c r="H33"/>
  <c r="AB33" s="1"/>
  <c r="F33"/>
  <c r="AA33" s="1"/>
  <c r="Q32"/>
  <c r="Z32"/>
  <c r="Q31"/>
  <c r="Z31" s="1"/>
  <c r="Q30"/>
  <c r="Z30"/>
  <c r="Q29"/>
  <c r="Z29"/>
  <c r="Q28"/>
  <c r="Z28"/>
  <c r="Q27"/>
  <c r="Z27"/>
  <c r="Q26"/>
  <c r="Z26"/>
  <c r="Q25"/>
  <c r="Z25"/>
  <c r="Q23"/>
  <c r="Z23"/>
  <c r="Q19"/>
  <c r="Z19" s="1"/>
  <c r="Q17"/>
  <c r="Z17"/>
  <c r="Q15"/>
  <c r="Z15" s="1"/>
  <c r="F15"/>
  <c r="AA15" s="1"/>
  <c r="Q14"/>
  <c r="Z14" s="1"/>
  <c r="Q13"/>
  <c r="Z13" s="1"/>
  <c r="Q12"/>
  <c r="Z12" s="1"/>
  <c r="J12"/>
  <c r="W12" s="1"/>
  <c r="H12"/>
  <c r="U12" s="1"/>
  <c r="F12"/>
  <c r="S12" s="1"/>
  <c r="Q11"/>
  <c r="Z11" s="1"/>
  <c r="Q10"/>
  <c r="Z10" s="1"/>
  <c r="Q9"/>
  <c r="Z9" s="1"/>
  <c r="J9"/>
  <c r="AC9" s="1"/>
  <c r="H9"/>
  <c r="AB9" s="1"/>
  <c r="F9"/>
  <c r="AA9" s="1"/>
  <c r="J8"/>
  <c r="W8" s="1"/>
  <c r="H8"/>
  <c r="F8"/>
  <c r="C7"/>
  <c r="M102" i="21"/>
  <c r="D102"/>
  <c r="E102"/>
  <c r="F102"/>
  <c r="G102"/>
  <c r="H102"/>
  <c r="I102"/>
  <c r="J102"/>
  <c r="K102"/>
  <c r="L102"/>
  <c r="C102"/>
  <c r="C63"/>
  <c r="F9"/>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D119"/>
  <c r="D117"/>
  <c r="E117"/>
  <c r="F117" s="1"/>
  <c r="G117" s="1"/>
  <c r="D115"/>
  <c r="E115"/>
  <c r="F115" s="1"/>
  <c r="G115" s="1"/>
  <c r="H115" s="1"/>
  <c r="I115" s="1"/>
  <c r="J115" s="1"/>
  <c r="K115" s="1"/>
  <c r="L115" s="1"/>
  <c r="M115" s="1"/>
  <c r="D113"/>
  <c r="E113"/>
  <c r="F113" s="1"/>
  <c r="G113" s="1"/>
  <c r="H113" s="1"/>
  <c r="D110"/>
  <c r="E110"/>
  <c r="F110" s="1"/>
  <c r="G110" s="1"/>
  <c r="H110" s="1"/>
  <c r="I110" s="1"/>
  <c r="J110" s="1"/>
  <c r="K110" s="1"/>
  <c r="L110" s="1"/>
  <c r="M110" s="1"/>
  <c r="J36"/>
  <c r="W36" s="1"/>
  <c r="D108"/>
  <c r="E108" s="1"/>
  <c r="F108" s="1"/>
  <c r="G108" s="1"/>
  <c r="H108" s="1"/>
  <c r="I108" s="1"/>
  <c r="J108" s="1"/>
  <c r="K108" s="1"/>
  <c r="L108" s="1"/>
  <c r="M108" s="1"/>
  <c r="D106"/>
  <c r="E106"/>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c r="Q19"/>
  <c r="Z19" s="1"/>
  <c r="Q23"/>
  <c r="Z23"/>
  <c r="Q25"/>
  <c r="Z25" s="1"/>
  <c r="Q26"/>
  <c r="Z26" s="1"/>
  <c r="Q27"/>
  <c r="Z27" s="1"/>
  <c r="Q28"/>
  <c r="Z28" s="1"/>
  <c r="Q29"/>
  <c r="Z29" s="1"/>
  <c r="Q30"/>
  <c r="Z30" s="1"/>
  <c r="Q31"/>
  <c r="Z31" s="1"/>
  <c r="Q32"/>
  <c r="Z32" s="1"/>
  <c r="Q33"/>
  <c r="Z33" s="1"/>
  <c r="Q34"/>
  <c r="Z34" s="1"/>
  <c r="J35"/>
  <c r="W35" s="1"/>
  <c r="Q35"/>
  <c r="Z35"/>
  <c r="Q36"/>
  <c r="Z36"/>
  <c r="Q37"/>
  <c r="Z37"/>
  <c r="J38"/>
  <c r="W38" s="1"/>
  <c r="Q38"/>
  <c r="Z38" s="1"/>
  <c r="J39"/>
  <c r="AC39" s="1"/>
  <c r="Q39"/>
  <c r="Z39" s="1"/>
  <c r="Q40"/>
  <c r="Z40" s="1"/>
  <c r="Q41"/>
  <c r="Z41"/>
  <c r="Q42"/>
  <c r="Z42"/>
  <c r="J43"/>
  <c r="AC43" s="1"/>
  <c r="Q43"/>
  <c r="Z43" s="1"/>
  <c r="Q44"/>
  <c r="Z44" s="1"/>
  <c r="Q45"/>
  <c r="Z45" s="1"/>
  <c r="Q46"/>
  <c r="Z46" s="1"/>
  <c r="P47"/>
  <c r="R47"/>
  <c r="T47"/>
  <c r="V47"/>
  <c r="P48"/>
  <c r="P49"/>
  <c r="F8"/>
  <c r="AA8" s="1"/>
  <c r="E13" i="11"/>
  <c r="E12"/>
  <c r="C9" i="12"/>
  <c r="BB12" i="3"/>
  <c r="F9" i="12"/>
  <c r="D9"/>
  <c r="E9"/>
  <c r="G9"/>
  <c r="K5" i="3"/>
  <c r="J5"/>
  <c r="BE10"/>
  <c r="BD13"/>
  <c r="BE13"/>
  <c r="BE5" s="1"/>
  <c r="BF13"/>
  <c r="BF5"/>
  <c r="BG13"/>
  <c r="BG5"/>
  <c r="BH13"/>
  <c r="BI13"/>
  <c r="BI5" s="1"/>
  <c r="BJ13"/>
  <c r="BK13"/>
  <c r="BM13"/>
  <c r="BN13"/>
  <c r="BO13"/>
  <c r="BP13"/>
  <c r="BS13"/>
  <c r="BT13"/>
  <c r="BB570"/>
  <c r="BC570"/>
  <c r="BA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G571"/>
  <c r="AC572"/>
  <c r="G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H5" s="1"/>
  <c r="AC13"/>
  <c r="BB11"/>
  <c r="BB10"/>
  <c r="AD5"/>
  <c r="AE5"/>
  <c r="AF5"/>
  <c r="AG5"/>
  <c r="AH5"/>
  <c r="AI5"/>
  <c r="AJ5"/>
  <c r="AK5"/>
  <c r="AM5"/>
  <c r="AN5"/>
  <c r="AO5"/>
  <c r="AP5"/>
  <c r="AQ5"/>
  <c r="AR5"/>
  <c r="AS5"/>
  <c r="AT5"/>
  <c r="I5"/>
  <c r="L5"/>
  <c r="M5"/>
  <c r="N5"/>
  <c r="O5"/>
  <c r="P5"/>
  <c r="Q5"/>
  <c r="R5"/>
  <c r="S5"/>
  <c r="T5"/>
  <c r="U5"/>
  <c r="V5"/>
  <c r="W5"/>
  <c r="X5"/>
  <c r="Y5"/>
  <c r="Z5"/>
  <c r="AA5"/>
  <c r="AB5"/>
  <c r="H570"/>
  <c r="G570"/>
  <c r="H571"/>
  <c r="H572"/>
  <c r="F5"/>
  <c r="G27" i="6"/>
  <c r="F34" i="21"/>
  <c r="AA34" s="1"/>
  <c r="H34"/>
  <c r="U34" s="1"/>
  <c r="F43"/>
  <c r="S43" s="1"/>
  <c r="H38"/>
  <c r="AB38" s="1"/>
  <c r="H43"/>
  <c r="AB43" s="1"/>
  <c r="F32"/>
  <c r="S32" s="1"/>
  <c r="F38"/>
  <c r="S38" s="1"/>
  <c r="F36"/>
  <c r="S36" s="1"/>
  <c r="F39"/>
  <c r="AA39" s="1"/>
  <c r="J40"/>
  <c r="W40" s="1"/>
  <c r="H35"/>
  <c r="AB35" s="1"/>
  <c r="J8"/>
  <c r="AC8" s="1"/>
  <c r="J9"/>
  <c r="AC9" s="1"/>
  <c r="H8"/>
  <c r="H9"/>
  <c r="AB9" s="1"/>
  <c r="H10"/>
  <c r="U10" s="1"/>
  <c r="H39"/>
  <c r="AB39" s="1"/>
  <c r="J34"/>
  <c r="W34" s="1"/>
  <c r="H36"/>
  <c r="U36" s="1"/>
  <c r="F35"/>
  <c r="AA35" s="1"/>
  <c r="J33"/>
  <c r="W33" s="1"/>
  <c r="H33"/>
  <c r="U33" s="1"/>
  <c r="F33"/>
  <c r="J10"/>
  <c r="AC10" s="1"/>
  <c r="H26"/>
  <c r="F19"/>
  <c r="AA19" s="1"/>
  <c r="H19"/>
  <c r="AB19" s="1"/>
  <c r="J19"/>
  <c r="W19" s="1"/>
  <c r="J12"/>
  <c r="H12"/>
  <c r="U12" s="1"/>
  <c r="J26"/>
  <c r="W26" s="1"/>
  <c r="F26"/>
  <c r="AA26" s="1"/>
  <c r="AB41"/>
  <c r="S41"/>
  <c r="AA41"/>
  <c r="W41"/>
  <c r="S10" i="39"/>
  <c r="U30" i="37"/>
  <c r="E103"/>
  <c r="F103"/>
  <c r="F39"/>
  <c r="S39" s="1"/>
  <c r="W39"/>
  <c r="F29" i="36"/>
  <c r="AA29" s="1"/>
  <c r="F16"/>
  <c r="AA16" s="1"/>
  <c r="U22"/>
  <c r="W23"/>
  <c r="W22"/>
  <c r="U26"/>
  <c r="AC31"/>
  <c r="J33"/>
  <c r="W33" s="1"/>
  <c r="AC27" i="35"/>
  <c r="U31"/>
  <c r="S34"/>
  <c r="W36"/>
  <c r="W24"/>
  <c r="S31"/>
  <c r="W31"/>
  <c r="U34"/>
  <c r="F36" i="34"/>
  <c r="S36" s="1"/>
  <c r="W9"/>
  <c r="S34"/>
  <c r="W39"/>
  <c r="H39" i="33"/>
  <c r="AB39" s="1"/>
  <c r="F26"/>
  <c r="AA26" s="1"/>
  <c r="U33"/>
  <c r="W38"/>
  <c r="S40"/>
  <c r="W33"/>
  <c r="U38"/>
  <c r="S8" i="21"/>
  <c r="H39" i="37"/>
  <c r="AB39" s="1"/>
  <c r="AB27" i="35"/>
  <c r="S10" i="40"/>
  <c r="W10"/>
  <c r="S11"/>
  <c r="U11"/>
  <c r="S36"/>
  <c r="U36"/>
  <c r="S40" i="39"/>
  <c r="S36"/>
  <c r="F11" i="21"/>
  <c r="S11" s="1"/>
  <c r="AC40"/>
  <c r="AA38"/>
  <c r="AC35"/>
  <c r="C29" i="39"/>
  <c r="C23"/>
  <c r="U36"/>
  <c r="H11" i="21"/>
  <c r="U11" s="1"/>
  <c r="J11"/>
  <c r="W11" s="1"/>
  <c r="F100" i="40"/>
  <c r="F86"/>
  <c r="AA12" i="33"/>
  <c r="U9" i="21"/>
  <c r="J27" i="36"/>
  <c r="W27" s="1"/>
  <c r="J34"/>
  <c r="W34" s="1"/>
  <c r="J30" i="35"/>
  <c r="W30" s="1"/>
  <c r="F22"/>
  <c r="AA22" s="1"/>
  <c r="H10"/>
  <c r="U10" s="1"/>
  <c r="AC24" i="36"/>
  <c r="U29"/>
  <c r="U24"/>
  <c r="E85"/>
  <c r="F85" s="1"/>
  <c r="G85" s="1"/>
  <c r="H85" s="1"/>
  <c r="I85" s="1"/>
  <c r="J85" s="1"/>
  <c r="K85" s="1"/>
  <c r="L85" s="1"/>
  <c r="M85" s="1"/>
  <c r="J29"/>
  <c r="AC29" s="1"/>
  <c r="F12"/>
  <c r="S12" s="1"/>
  <c r="F24"/>
  <c r="AA24" s="1"/>
  <c r="F34"/>
  <c r="S34" s="1"/>
  <c r="S10"/>
  <c r="AB8"/>
  <c r="H16" i="35"/>
  <c r="U16" s="1"/>
  <c r="H33"/>
  <c r="AB33" s="1"/>
  <c r="W8"/>
  <c r="AC8"/>
  <c r="F35" i="37"/>
  <c r="E101"/>
  <c r="F101"/>
  <c r="G101" s="1"/>
  <c r="H101" s="1"/>
  <c r="I101" s="1"/>
  <c r="J101" s="1"/>
  <c r="K101" s="1"/>
  <c r="L101" s="1"/>
  <c r="M101" s="1"/>
  <c r="J34"/>
  <c r="W34" s="1"/>
  <c r="AA39"/>
  <c r="H43" i="34"/>
  <c r="AB43" s="1"/>
  <c r="U42"/>
  <c r="E114"/>
  <c r="H36"/>
  <c r="U36" s="1"/>
  <c r="F37"/>
  <c r="AA37" s="1"/>
  <c r="F33"/>
  <c r="S33" s="1"/>
  <c r="AA28"/>
  <c r="F19"/>
  <c r="AA19" s="1"/>
  <c r="J10"/>
  <c r="AC10" s="1"/>
  <c r="U9"/>
  <c r="W8"/>
  <c r="J28"/>
  <c r="W28" s="1"/>
  <c r="S38" i="33"/>
  <c r="E113"/>
  <c r="F36"/>
  <c r="S36" s="1"/>
  <c r="F19"/>
  <c r="S19" s="1"/>
  <c r="J19"/>
  <c r="W40"/>
  <c r="G86" i="40"/>
  <c r="AB30" i="36"/>
  <c r="AC34"/>
  <c r="S22" i="35"/>
  <c r="H29"/>
  <c r="U34" i="37"/>
  <c r="S34"/>
  <c r="AA34"/>
  <c r="AC43" i="34"/>
  <c r="AB42"/>
  <c r="W36"/>
  <c r="J19"/>
  <c r="AC19" s="1"/>
  <c r="F113" i="33"/>
  <c r="G113" s="1"/>
  <c r="H113" s="1"/>
  <c r="I113" s="1"/>
  <c r="J113" s="1"/>
  <c r="K113" s="1"/>
  <c r="L113" s="1"/>
  <c r="M113" s="1"/>
  <c r="H37"/>
  <c r="AB37" s="1"/>
  <c r="W43" i="34"/>
  <c r="AC42"/>
  <c r="W42"/>
  <c r="AA42"/>
  <c r="S42"/>
  <c r="AC38"/>
  <c r="W38"/>
  <c r="AA38"/>
  <c r="S38"/>
  <c r="J37" i="33"/>
  <c r="W37" s="1"/>
  <c r="J44" i="34"/>
  <c r="AC44" s="1"/>
  <c r="F44"/>
  <c r="S44" s="1"/>
  <c r="J10" i="35"/>
  <c r="W10" s="1"/>
  <c r="AL5" i="3"/>
  <c r="BQ13"/>
  <c r="BL13" s="1"/>
  <c r="BL572"/>
  <c r="AZ572"/>
  <c r="J14" i="21"/>
  <c r="F14"/>
  <c r="AA14" s="1"/>
  <c r="H14"/>
  <c r="U14" s="1"/>
  <c r="H28"/>
  <c r="AB28" s="1"/>
  <c r="F28"/>
  <c r="J28"/>
  <c r="AC28" s="1"/>
  <c r="H30"/>
  <c r="U30" s="1"/>
  <c r="F30"/>
  <c r="S30" s="1"/>
  <c r="J30"/>
  <c r="J44"/>
  <c r="AC44" s="1"/>
  <c r="H44"/>
  <c r="U44" s="1"/>
  <c r="F44"/>
  <c r="AA44" s="1"/>
  <c r="H46"/>
  <c r="AB46" s="1"/>
  <c r="J46"/>
  <c r="W46" s="1"/>
  <c r="F46"/>
  <c r="AA46" s="1"/>
  <c r="H26" i="33"/>
  <c r="U26" s="1"/>
  <c r="H28"/>
  <c r="AB28" s="1"/>
  <c r="F28"/>
  <c r="AA28" s="1"/>
  <c r="J28"/>
  <c r="W28" s="1"/>
  <c r="F33" i="35"/>
  <c r="S33" s="1"/>
  <c r="J33"/>
  <c r="W33" s="1"/>
  <c r="F30"/>
  <c r="AA30" s="1"/>
  <c r="E89"/>
  <c r="F89"/>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S3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F105"/>
  <c r="AB36"/>
  <c r="F107"/>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AA38"/>
  <c r="W35" i="35"/>
  <c r="AB13"/>
  <c r="W46" i="33"/>
  <c r="U30"/>
  <c r="AB40" i="37"/>
  <c r="J36"/>
  <c r="AC36" s="1"/>
  <c r="G105"/>
  <c r="AB28" i="36"/>
  <c r="AB31" i="21"/>
  <c r="AB13"/>
  <c r="U46"/>
  <c r="AC30"/>
  <c r="W30"/>
  <c r="AB30"/>
  <c r="S28"/>
  <c r="AA28"/>
  <c r="AB14"/>
  <c r="W14"/>
  <c r="AC14"/>
  <c r="W31" i="34"/>
  <c r="S46" i="33"/>
  <c r="U36" i="37"/>
  <c r="AC13" i="36"/>
  <c r="AB45" i="33"/>
  <c r="AB31"/>
  <c r="AB27"/>
  <c r="U28" i="21"/>
  <c r="AB44"/>
  <c r="G529" i="3"/>
  <c r="G521"/>
  <c r="G517"/>
  <c r="G513"/>
  <c r="G508"/>
  <c r="G499"/>
  <c r="G493"/>
  <c r="G485"/>
  <c r="G17"/>
  <c r="G565"/>
  <c r="G561"/>
  <c r="G557"/>
  <c r="G549"/>
  <c r="G545"/>
  <c r="G539"/>
  <c r="BL569"/>
  <c r="AZ569"/>
  <c r="BL561"/>
  <c r="BL557"/>
  <c r="BL553"/>
  <c r="BL545"/>
  <c r="BL535"/>
  <c r="BL527"/>
  <c r="BL519"/>
  <c r="BL511"/>
  <c r="BL501"/>
  <c r="BL491"/>
  <c r="BL483"/>
  <c r="G16"/>
  <c r="BL563"/>
  <c r="BL559"/>
  <c r="AZ559"/>
  <c r="BL555"/>
  <c r="BL551"/>
  <c r="BL541"/>
  <c r="BL533"/>
  <c r="BL525"/>
  <c r="G518"/>
  <c r="G514"/>
  <c r="G510"/>
  <c r="BL503"/>
  <c r="BL495"/>
  <c r="BL485"/>
  <c r="G18"/>
  <c r="BA569"/>
  <c r="BA565"/>
  <c r="BA561"/>
  <c r="AZ561"/>
  <c r="BA559"/>
  <c r="BA557"/>
  <c r="AZ557"/>
  <c r="BA555"/>
  <c r="AZ555"/>
  <c r="BA551"/>
  <c r="AZ551"/>
  <c r="BA545"/>
  <c r="BA543"/>
  <c r="BA541"/>
  <c r="AZ541"/>
  <c r="BA531"/>
  <c r="BA521"/>
  <c r="BA509"/>
  <c r="BA505"/>
  <c r="BA501"/>
  <c r="BA493"/>
  <c r="AZ493"/>
  <c r="BA487"/>
  <c r="BA19"/>
  <c r="BA572"/>
  <c r="BA566"/>
  <c r="BA562"/>
  <c r="BA560"/>
  <c r="BA558"/>
  <c r="BA556"/>
  <c r="BA554"/>
  <c r="BA550"/>
  <c r="AZ550"/>
  <c r="BA546"/>
  <c r="BA544"/>
  <c r="BA540"/>
  <c r="BA536"/>
  <c r="BA532"/>
  <c r="BA528"/>
  <c r="BA524"/>
  <c r="BA520"/>
  <c r="AZ520"/>
  <c r="BA516"/>
  <c r="BA512"/>
  <c r="BA508"/>
  <c r="BA502"/>
  <c r="AZ502"/>
  <c r="BA498"/>
  <c r="BA492"/>
  <c r="AZ492"/>
  <c r="BA488"/>
  <c r="BA484"/>
  <c r="AZ484"/>
  <c r="BA20"/>
  <c r="AZ545"/>
  <c r="G566"/>
  <c r="G562"/>
  <c r="G560"/>
  <c r="G558"/>
  <c r="G556"/>
  <c r="G554"/>
  <c r="G550"/>
  <c r="G546"/>
  <c r="BL543"/>
  <c r="AZ543"/>
  <c r="BA542"/>
  <c r="AC542"/>
  <c r="G542"/>
  <c r="BQ542"/>
  <c r="BL542"/>
  <c r="AZ542"/>
  <c r="BQ568"/>
  <c r="BQ566"/>
  <c r="BQ564"/>
  <c r="BL564"/>
  <c r="BQ562"/>
  <c r="BL562"/>
  <c r="AZ562"/>
  <c r="BQ560"/>
  <c r="BL560"/>
  <c r="BQ558"/>
  <c r="BL558"/>
  <c r="BQ556"/>
  <c r="BL556"/>
  <c r="AZ556"/>
  <c r="BQ554"/>
  <c r="BQ552"/>
  <c r="BL552"/>
  <c r="BQ550"/>
  <c r="BL550"/>
  <c r="BQ548"/>
  <c r="BQ546"/>
  <c r="BL546"/>
  <c r="BQ544"/>
  <c r="BL544"/>
  <c r="AZ544"/>
  <c r="G544"/>
  <c r="G538"/>
  <c r="G534"/>
  <c r="G530"/>
  <c r="G526"/>
  <c r="G522"/>
  <c r="BQ540"/>
  <c r="BL540"/>
  <c r="BQ538"/>
  <c r="BL538"/>
  <c r="BQ536"/>
  <c r="BQ534"/>
  <c r="BL534"/>
  <c r="BQ532"/>
  <c r="BL532"/>
  <c r="BQ530"/>
  <c r="BQ528"/>
  <c r="BQ526"/>
  <c r="BL526"/>
  <c r="BQ524"/>
  <c r="BL524"/>
  <c r="BQ522"/>
  <c r="BQ520"/>
  <c r="BL520"/>
  <c r="BQ518"/>
  <c r="BQ516"/>
  <c r="BL516"/>
  <c r="BQ514"/>
  <c r="BL514"/>
  <c r="BQ512"/>
  <c r="BQ510"/>
  <c r="BL510"/>
  <c r="BQ508"/>
  <c r="BL508"/>
  <c r="AC506"/>
  <c r="G506"/>
  <c r="BQ506"/>
  <c r="G502"/>
  <c r="G498"/>
  <c r="BQ504"/>
  <c r="BQ502"/>
  <c r="BL502"/>
  <c r="BQ500"/>
  <c r="BL500"/>
  <c r="BQ498"/>
  <c r="BQ496"/>
  <c r="AC494"/>
  <c r="BQ494"/>
  <c r="BL493"/>
  <c r="G492"/>
  <c r="G488"/>
  <c r="G484"/>
  <c r="G20"/>
  <c r="BQ492"/>
  <c r="BL492"/>
  <c r="BQ490"/>
  <c r="BQ488"/>
  <c r="BL488"/>
  <c r="BQ486"/>
  <c r="BQ484"/>
  <c r="BL484"/>
  <c r="BQ482"/>
  <c r="BL482"/>
  <c r="BQ20"/>
  <c r="BL20" s="1"/>
  <c r="AZ20" s="1"/>
  <c r="BQ18"/>
  <c r="AZ501"/>
  <c r="S505" i="31"/>
  <c r="S503"/>
  <c r="S501"/>
  <c r="S499"/>
  <c r="O27"/>
  <c r="O28"/>
  <c r="O26"/>
  <c r="M27"/>
  <c r="M28"/>
  <c r="M26"/>
  <c r="I26"/>
  <c r="I25"/>
  <c r="Q26"/>
  <c r="K26"/>
  <c r="I27"/>
  <c r="Q27"/>
  <c r="K27"/>
  <c r="I28"/>
  <c r="Q28"/>
  <c r="K28"/>
  <c r="AA12" i="21"/>
  <c r="S12"/>
  <c r="H25"/>
  <c r="U25" s="1"/>
  <c r="F25"/>
  <c r="S25" s="1"/>
  <c r="J25"/>
  <c r="AC25" s="1"/>
  <c r="E125" i="33"/>
  <c r="F125"/>
  <c r="G125" s="1"/>
  <c r="H43"/>
  <c r="U43" s="1"/>
  <c r="H17" i="37"/>
  <c r="U17" s="1"/>
  <c r="F23"/>
  <c r="S23" s="1"/>
  <c r="F79"/>
  <c r="AB27"/>
  <c r="F39" i="33"/>
  <c r="AA39" s="1"/>
  <c r="E123"/>
  <c r="F42" s="1"/>
  <c r="AA42" s="1"/>
  <c r="H28" i="34"/>
  <c r="AB28" s="1"/>
  <c r="F22" i="36"/>
  <c r="S22" s="1"/>
  <c r="H35" i="34"/>
  <c r="U35" s="1"/>
  <c r="F41"/>
  <c r="S41" s="1"/>
  <c r="H41"/>
  <c r="U41" s="1"/>
  <c r="J41"/>
  <c r="W41" s="1"/>
  <c r="F10" i="35"/>
  <c r="AA10" s="1"/>
  <c r="F24"/>
  <c r="AA24" s="1"/>
  <c r="H24"/>
  <c r="AB24" s="1"/>
  <c r="H23" i="37"/>
  <c r="AB23" s="1"/>
  <c r="J32"/>
  <c r="AC32" s="1"/>
  <c r="F36"/>
  <c r="S36" s="1"/>
  <c r="F37"/>
  <c r="AA37" s="1"/>
  <c r="U23"/>
  <c r="H42" i="33"/>
  <c r="U42" s="1"/>
  <c r="J43"/>
  <c r="AC43" s="1"/>
  <c r="G79" i="37"/>
  <c r="J23"/>
  <c r="W23" s="1"/>
  <c r="F17"/>
  <c r="AA17" s="1"/>
  <c r="D3" i="21"/>
  <c r="AC33" i="36"/>
  <c r="AC12" i="35"/>
  <c r="W23"/>
  <c r="AC23" i="37"/>
  <c r="S27"/>
  <c r="U39"/>
  <c r="AC8"/>
  <c r="S25"/>
  <c r="AC36" i="34"/>
  <c r="AB8"/>
  <c r="AA13" i="33"/>
  <c r="AC45"/>
  <c r="AC33" i="21"/>
  <c r="AA36"/>
  <c r="F43" i="33"/>
  <c r="AA43" s="1"/>
  <c r="AA23" i="37"/>
  <c r="S10" i="35"/>
  <c r="AB44" i="33"/>
  <c r="G107" i="37"/>
  <c r="H107" s="1"/>
  <c r="I107" s="1"/>
  <c r="J107" s="1"/>
  <c r="K107" s="1"/>
  <c r="L107" s="1"/>
  <c r="M107" s="1"/>
  <c r="AA9" i="21"/>
  <c r="F37"/>
  <c r="S37" s="1"/>
  <c r="J37"/>
  <c r="W37" s="1"/>
  <c r="H19" i="34"/>
  <c r="AB19" s="1"/>
  <c r="J10" i="37"/>
  <c r="W10" s="1"/>
  <c r="F36" i="35"/>
  <c r="S36"/>
  <c r="J9" i="37"/>
  <c r="W9" s="1"/>
  <c r="H9"/>
  <c r="U9" s="1"/>
  <c r="F9"/>
  <c r="S9" s="1"/>
  <c r="F11"/>
  <c r="S11" s="1"/>
  <c r="J12"/>
  <c r="AC12" s="1"/>
  <c r="H12"/>
  <c r="AB12" s="1"/>
  <c r="F12"/>
  <c r="AA12" s="1"/>
  <c r="H15"/>
  <c r="U15" s="1"/>
  <c r="E94"/>
  <c r="F31"/>
  <c r="S31" s="1"/>
  <c r="F94"/>
  <c r="G94"/>
  <c r="H94" s="1"/>
  <c r="I94" s="1"/>
  <c r="J94" s="1"/>
  <c r="K94" s="1"/>
  <c r="L94" s="1"/>
  <c r="M94" s="1"/>
  <c r="H31"/>
  <c r="AB31" s="1"/>
  <c r="J15"/>
  <c r="W15" s="1"/>
  <c r="U12"/>
  <c r="AB10"/>
  <c r="J11"/>
  <c r="W11" s="1"/>
  <c r="U31"/>
  <c r="E90" i="40"/>
  <c r="F21"/>
  <c r="S21" s="1"/>
  <c r="W36"/>
  <c r="U40" i="39"/>
  <c r="F90" i="40"/>
  <c r="J21"/>
  <c r="AC21" s="1"/>
  <c r="G90"/>
  <c r="AZ558" i="3"/>
  <c r="AZ540"/>
  <c r="AZ560"/>
  <c r="G483"/>
  <c r="G515"/>
  <c r="G507"/>
  <c r="G501"/>
  <c r="BA15"/>
  <c r="BL17"/>
  <c r="BL15"/>
  <c r="BA14"/>
  <c r="AZ14" s="1"/>
  <c r="BT5"/>
  <c r="J57" i="39"/>
  <c r="H13" i="40"/>
  <c r="U13" s="1"/>
  <c r="H12" i="48"/>
  <c r="I4" i="4"/>
  <c r="K141" i="21"/>
  <c r="K143"/>
  <c r="K144"/>
  <c r="I59" i="40"/>
  <c r="C59" s="1"/>
  <c r="I60"/>
  <c r="C60" s="1"/>
  <c r="G297" i="3"/>
  <c r="BL298"/>
  <c r="G299"/>
  <c r="BL300"/>
  <c r="BA302"/>
  <c r="AZ302"/>
  <c r="BA303"/>
  <c r="BL303"/>
  <c r="G304"/>
  <c r="BA305"/>
  <c r="AZ305"/>
  <c r="G321"/>
  <c r="BL322"/>
  <c r="G323"/>
  <c r="BL324"/>
  <c r="BA326"/>
  <c r="AZ326"/>
  <c r="BA327"/>
  <c r="BL327"/>
  <c r="AZ327"/>
  <c r="G328"/>
  <c r="BA329"/>
  <c r="AZ329"/>
  <c r="G337"/>
  <c r="BL338"/>
  <c r="G339"/>
  <c r="BL340"/>
  <c r="BA342"/>
  <c r="AZ342"/>
  <c r="BA343"/>
  <c r="BL343"/>
  <c r="AZ343"/>
  <c r="G344"/>
  <c r="BA345"/>
  <c r="AZ345"/>
  <c r="G353"/>
  <c r="BL354"/>
  <c r="G355"/>
  <c r="BL356"/>
  <c r="G357"/>
  <c r="BL358"/>
  <c r="AZ358"/>
  <c r="G359"/>
  <c r="BA360"/>
  <c r="AZ360"/>
  <c r="BA361"/>
  <c r="BL361"/>
  <c r="G362"/>
  <c r="BA363"/>
  <c r="G371"/>
  <c r="BL372"/>
  <c r="G373"/>
  <c r="BL374"/>
  <c r="BA376"/>
  <c r="AZ376"/>
  <c r="BA377"/>
  <c r="AZ377"/>
  <c r="BL377"/>
  <c r="G378"/>
  <c r="BA379"/>
  <c r="BA114"/>
  <c r="AZ114"/>
  <c r="BL115"/>
  <c r="AZ115"/>
  <c r="G116"/>
  <c r="BA118"/>
  <c r="AZ118"/>
  <c r="BL119"/>
  <c r="AZ119"/>
  <c r="G120"/>
  <c r="BA122"/>
  <c r="AZ122"/>
  <c r="BL123"/>
  <c r="AZ123"/>
  <c r="G124"/>
  <c r="BA126"/>
  <c r="AZ126"/>
  <c r="BL127"/>
  <c r="G128"/>
  <c r="BA130"/>
  <c r="AZ130"/>
  <c r="BL131"/>
  <c r="AZ131"/>
  <c r="G132"/>
  <c r="BA134"/>
  <c r="AZ134"/>
  <c r="BL135"/>
  <c r="AZ135"/>
  <c r="G136"/>
  <c r="BA138"/>
  <c r="AZ138"/>
  <c r="BL139"/>
  <c r="AZ139"/>
  <c r="G140"/>
  <c r="BA142"/>
  <c r="AZ142"/>
  <c r="BL143"/>
  <c r="G144"/>
  <c r="BA146"/>
  <c r="AZ146"/>
  <c r="BL147"/>
  <c r="AZ147"/>
  <c r="G148"/>
  <c r="BA150"/>
  <c r="AZ150"/>
  <c r="BL151"/>
  <c r="AZ151"/>
  <c r="BA153"/>
  <c r="AZ153"/>
  <c r="BL154"/>
  <c r="G155"/>
  <c r="BA157"/>
  <c r="AZ157"/>
  <c r="BL158"/>
  <c r="G159"/>
  <c r="BA161"/>
  <c r="AZ161"/>
  <c r="BL162"/>
  <c r="G163"/>
  <c r="BA165"/>
  <c r="AZ165"/>
  <c r="BL166"/>
  <c r="G167"/>
  <c r="BA169"/>
  <c r="AZ169"/>
  <c r="BL170"/>
  <c r="G171"/>
  <c r="BA173"/>
  <c r="AZ173"/>
  <c r="BL174"/>
  <c r="G175"/>
  <c r="BA178"/>
  <c r="AZ178"/>
  <c r="BL179"/>
  <c r="G180"/>
  <c r="AZ23"/>
  <c r="AZ27"/>
  <c r="AZ31"/>
  <c r="AZ35"/>
  <c r="AZ39"/>
  <c r="AZ43"/>
  <c r="AZ47"/>
  <c r="AZ51"/>
  <c r="AZ55"/>
  <c r="AZ59"/>
  <c r="G537"/>
  <c r="BL181"/>
  <c r="AZ181"/>
  <c r="G182"/>
  <c r="BA184"/>
  <c r="AZ184"/>
  <c r="BL185"/>
  <c r="G186"/>
  <c r="BA188"/>
  <c r="AZ188"/>
  <c r="BL189"/>
  <c r="AZ189"/>
  <c r="G190"/>
  <c r="BA192"/>
  <c r="AZ192"/>
  <c r="BL193"/>
  <c r="AZ193"/>
  <c r="G194"/>
  <c r="BA196"/>
  <c r="AZ196"/>
  <c r="BL197"/>
  <c r="AZ197"/>
  <c r="G198"/>
  <c r="BA200"/>
  <c r="AZ200"/>
  <c r="BL201"/>
  <c r="AZ66"/>
  <c r="AZ70"/>
  <c r="AZ74"/>
  <c r="AZ78"/>
  <c r="AZ82"/>
  <c r="AZ185"/>
  <c r="AZ201"/>
  <c r="AZ84"/>
  <c r="AZ86"/>
  <c r="AZ90"/>
  <c r="AZ94"/>
  <c r="AZ98"/>
  <c r="AZ102"/>
  <c r="AZ106"/>
  <c r="AZ110"/>
  <c r="G491"/>
  <c r="BA298"/>
  <c r="AZ298"/>
  <c r="BA299"/>
  <c r="AZ299"/>
  <c r="BL299"/>
  <c r="G300"/>
  <c r="G303"/>
  <c r="BL304"/>
  <c r="BA306"/>
  <c r="AZ306"/>
  <c r="BA307"/>
  <c r="BL307"/>
  <c r="AZ307"/>
  <c r="G308"/>
  <c r="G319"/>
  <c r="BL320"/>
  <c r="BA322"/>
  <c r="BA323"/>
  <c r="AZ323"/>
  <c r="BL323"/>
  <c r="G324"/>
  <c r="G327"/>
  <c r="BL328"/>
  <c r="BA330"/>
  <c r="AZ330"/>
  <c r="BA331"/>
  <c r="BL331"/>
  <c r="G332"/>
  <c r="G335"/>
  <c r="BL336"/>
  <c r="BA338"/>
  <c r="AZ338"/>
  <c r="BA339"/>
  <c r="BL339"/>
  <c r="G340"/>
  <c r="G343"/>
  <c r="BL344"/>
  <c r="BA346"/>
  <c r="AZ346"/>
  <c r="BA347"/>
  <c r="BL347"/>
  <c r="G348"/>
  <c r="G351"/>
  <c r="BL352"/>
  <c r="BA354"/>
  <c r="BA355"/>
  <c r="AZ355"/>
  <c r="BL355"/>
  <c r="G356"/>
  <c r="AZ127"/>
  <c r="AZ143"/>
  <c r="BA358"/>
  <c r="BA359"/>
  <c r="BL359"/>
  <c r="AZ359"/>
  <c r="G360"/>
  <c r="G361"/>
  <c r="BL362"/>
  <c r="BA364"/>
  <c r="AZ364"/>
  <c r="BA365"/>
  <c r="AZ365"/>
  <c r="BL365"/>
  <c r="G366"/>
  <c r="G369"/>
  <c r="BL370"/>
  <c r="AZ370"/>
  <c r="BA372"/>
  <c r="AZ372"/>
  <c r="BA373"/>
  <c r="BL373"/>
  <c r="AZ373"/>
  <c r="G374"/>
  <c r="G377"/>
  <c r="BL378"/>
  <c r="BA380"/>
  <c r="AZ380"/>
  <c r="BA381"/>
  <c r="AZ381"/>
  <c r="BL381"/>
  <c r="G382"/>
  <c r="G385"/>
  <c r="AZ154"/>
  <c r="AZ158"/>
  <c r="AZ162"/>
  <c r="AZ166"/>
  <c r="AZ170"/>
  <c r="AZ174"/>
  <c r="AZ179"/>
  <c r="AZ183"/>
  <c r="AZ187"/>
  <c r="AZ191"/>
  <c r="AZ195"/>
  <c r="AZ199"/>
  <c r="AZ203"/>
  <c r="G523"/>
  <c r="BL297"/>
  <c r="AZ297"/>
  <c r="G298"/>
  <c r="BA300"/>
  <c r="BL301"/>
  <c r="AZ30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BL371"/>
  <c r="AZ371"/>
  <c r="G372"/>
  <c r="BA374"/>
  <c r="AZ374"/>
  <c r="BL375"/>
  <c r="G376"/>
  <c r="BA378"/>
  <c r="AZ378"/>
  <c r="BL379"/>
  <c r="AZ379"/>
  <c r="G380"/>
  <c r="BA382"/>
  <c r="AZ382"/>
  <c r="BL383"/>
  <c r="G384"/>
  <c r="AZ249"/>
  <c r="AZ253"/>
  <c r="AZ257"/>
  <c r="AZ261"/>
  <c r="AZ265"/>
  <c r="AZ375"/>
  <c r="AZ383"/>
  <c r="AZ270"/>
  <c r="AZ274"/>
  <c r="AZ278"/>
  <c r="AZ282"/>
  <c r="AZ286"/>
  <c r="AZ290"/>
  <c r="AZ295"/>
  <c r="AZ303"/>
  <c r="AZ311"/>
  <c r="AZ313"/>
  <c r="AZ315"/>
  <c r="AZ319"/>
  <c r="AZ331"/>
  <c r="AZ335"/>
  <c r="AZ339"/>
  <c r="AZ347"/>
  <c r="AZ351"/>
  <c r="AZ36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C12" i="46"/>
  <c r="AB16" i="35"/>
  <c r="AB15" i="37"/>
  <c r="AA43" i="21"/>
  <c r="AA13" i="40"/>
  <c r="E78"/>
  <c r="F78" s="1"/>
  <c r="G78" s="1"/>
  <c r="H78" s="1"/>
  <c r="I78" s="1"/>
  <c r="J78" s="1"/>
  <c r="K78" s="1"/>
  <c r="L78" s="1"/>
  <c r="M78" s="1"/>
  <c r="BH5" i="3"/>
  <c r="R16" i="4"/>
  <c r="P16"/>
  <c r="D3" i="35"/>
  <c r="G4" i="4"/>
  <c r="S37" i="34"/>
  <c r="J16" i="35"/>
  <c r="W16" s="1"/>
  <c r="AC26" i="36"/>
  <c r="W25" i="35"/>
  <c r="AZ300" i="3"/>
  <c r="AZ354"/>
  <c r="AZ322"/>
  <c r="H13" i="39"/>
  <c r="AB13" s="1"/>
  <c r="F13"/>
  <c r="J13"/>
  <c r="AC13" s="1"/>
  <c r="AA36" i="35"/>
  <c r="H11" i="37"/>
  <c r="AB11" s="1"/>
  <c r="W37"/>
  <c r="AA30" i="33"/>
  <c r="AA36" i="37"/>
  <c r="AB17"/>
  <c r="AZ488" i="3"/>
  <c r="AZ508"/>
  <c r="AZ516"/>
  <c r="AZ524"/>
  <c r="AZ532"/>
  <c r="AZ546"/>
  <c r="AC29" i="33"/>
  <c r="AA45"/>
  <c r="AC11" i="36"/>
  <c r="AC10"/>
  <c r="AB45" i="34"/>
  <c r="AC14" i="37"/>
  <c r="AB35" i="35"/>
  <c r="S25"/>
  <c r="W44" i="33"/>
  <c r="AC30"/>
  <c r="W30"/>
  <c r="AC29" i="37"/>
  <c r="W32" i="36"/>
  <c r="AC32"/>
  <c r="U28" i="33"/>
  <c r="J33" i="34"/>
  <c r="AC33" s="1"/>
  <c r="J40"/>
  <c r="W40" s="1"/>
  <c r="F16" i="35"/>
  <c r="AA16" s="1"/>
  <c r="S24" i="36"/>
  <c r="W42" i="33"/>
  <c r="J35" i="34"/>
  <c r="W35" s="1"/>
  <c r="F107"/>
  <c r="G107"/>
  <c r="H107" s="1"/>
  <c r="I107" s="1"/>
  <c r="J107" s="1"/>
  <c r="K107" s="1"/>
  <c r="L107" s="1"/>
  <c r="M107" s="1"/>
  <c r="S30" i="36"/>
  <c r="H16"/>
  <c r="AB16" s="1"/>
  <c r="G103" i="37"/>
  <c r="H103"/>
  <c r="I103" s="1"/>
  <c r="J103" s="1"/>
  <c r="K103" s="1"/>
  <c r="L103" s="1"/>
  <c r="M103" s="1"/>
  <c r="H35"/>
  <c r="AB35" s="1"/>
  <c r="S26" i="21"/>
  <c r="AB12"/>
  <c r="H32"/>
  <c r="U32" s="1"/>
  <c r="AB26"/>
  <c r="U26"/>
  <c r="AA33"/>
  <c r="S33"/>
  <c r="U39"/>
  <c r="J32"/>
  <c r="AC32" s="1"/>
  <c r="G13" i="3"/>
  <c r="AC5"/>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J32"/>
  <c r="AC32" s="1"/>
  <c r="F35"/>
  <c r="AA35" s="1"/>
  <c r="AB39" i="34"/>
  <c r="F11"/>
  <c r="S11" s="1"/>
  <c r="E80"/>
  <c r="F80"/>
  <c r="H17"/>
  <c r="AB17" s="1"/>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AB19" s="1"/>
  <c r="J19"/>
  <c r="W19" s="1"/>
  <c r="F43"/>
  <c r="AA43" s="1"/>
  <c r="H43"/>
  <c r="U43" s="1"/>
  <c r="J43"/>
  <c r="AC43" s="1"/>
  <c r="F99" i="37"/>
  <c r="AC27"/>
  <c r="U25" i="35"/>
  <c r="S45" i="34"/>
  <c r="U31"/>
  <c r="AC40" i="37"/>
  <c r="W40"/>
  <c r="AC45" i="21"/>
  <c r="S28" i="33"/>
  <c r="S14" i="21"/>
  <c r="AB29" i="35"/>
  <c r="U29"/>
  <c r="AC19" i="33"/>
  <c r="W19"/>
  <c r="AC34" i="37"/>
  <c r="S35"/>
  <c r="AA35"/>
  <c r="AB10" i="35"/>
  <c r="AA32" i="21"/>
  <c r="U38"/>
  <c r="AB34"/>
  <c r="BL571" i="3"/>
  <c r="BA571"/>
  <c r="AZ571"/>
  <c r="BL570"/>
  <c r="AZ570"/>
  <c r="AB40" i="33"/>
  <c r="U40"/>
  <c r="AA35" i="34"/>
  <c r="S35"/>
  <c r="H27"/>
  <c r="AB27" s="1"/>
  <c r="AB8" i="35"/>
  <c r="U8"/>
  <c r="S9"/>
  <c r="J14"/>
  <c r="AC14" s="1"/>
  <c r="F14"/>
  <c r="H14"/>
  <c r="U14" s="1"/>
  <c r="E80"/>
  <c r="E94"/>
  <c r="F94"/>
  <c r="G94" s="1"/>
  <c r="H94" s="1"/>
  <c r="I94" s="1"/>
  <c r="J94" s="1"/>
  <c r="K94" s="1"/>
  <c r="L94" s="1"/>
  <c r="M94" s="1"/>
  <c r="J32"/>
  <c r="AC32" s="1"/>
  <c r="H11" i="36"/>
  <c r="AB11" s="1"/>
  <c r="F11"/>
  <c r="S11" s="1"/>
  <c r="W16"/>
  <c r="AC16"/>
  <c r="E78"/>
  <c r="F78"/>
  <c r="G78" s="1"/>
  <c r="H78" s="1"/>
  <c r="I78" s="1"/>
  <c r="J78" s="1"/>
  <c r="K78" s="1"/>
  <c r="L78" s="1"/>
  <c r="M78" s="1"/>
  <c r="F26"/>
  <c r="S26" s="1"/>
  <c r="U34"/>
  <c r="AB34"/>
  <c r="H33"/>
  <c r="U33" s="1"/>
  <c r="F33"/>
  <c r="AA33" s="1"/>
  <c r="H27"/>
  <c r="AB27" s="1"/>
  <c r="AA31"/>
  <c r="AC25" i="37"/>
  <c r="AC26"/>
  <c r="W26"/>
  <c r="AB29"/>
  <c r="AA30"/>
  <c r="S30"/>
  <c r="AC30"/>
  <c r="AC31"/>
  <c r="W31"/>
  <c r="AB14"/>
  <c r="F17" i="39"/>
  <c r="AA17" s="1"/>
  <c r="H17"/>
  <c r="U17" s="1"/>
  <c r="J17"/>
  <c r="W17" s="1"/>
  <c r="F21"/>
  <c r="S21" s="1"/>
  <c r="H21"/>
  <c r="J21"/>
  <c r="W21" s="1"/>
  <c r="F33"/>
  <c r="S33" s="1"/>
  <c r="H33"/>
  <c r="U33" s="1"/>
  <c r="J33"/>
  <c r="W33" s="1"/>
  <c r="F44"/>
  <c r="S44" s="1"/>
  <c r="H44"/>
  <c r="U44" s="1"/>
  <c r="J44"/>
  <c r="W44" s="1"/>
  <c r="E128"/>
  <c r="F128"/>
  <c r="G128" s="1"/>
  <c r="H128" s="1"/>
  <c r="I128" s="1"/>
  <c r="J128" s="1"/>
  <c r="K128" s="1"/>
  <c r="L128" s="1"/>
  <c r="M128" s="1"/>
  <c r="F46"/>
  <c r="S46" s="1"/>
  <c r="H46"/>
  <c r="U46" s="1"/>
  <c r="J46"/>
  <c r="W46" s="1"/>
  <c r="F29"/>
  <c r="AA29" s="1"/>
  <c r="E103"/>
  <c r="F103" s="1"/>
  <c r="G103" s="1"/>
  <c r="H29"/>
  <c r="U29" s="1"/>
  <c r="F34"/>
  <c r="AA34" s="1"/>
  <c r="H34"/>
  <c r="AB34" s="1"/>
  <c r="J34"/>
  <c r="AC34" s="1"/>
  <c r="F39"/>
  <c r="H39"/>
  <c r="AB39" s="1"/>
  <c r="J39"/>
  <c r="J29" i="35"/>
  <c r="AC29" s="1"/>
  <c r="F29"/>
  <c r="S29" s="1"/>
  <c r="W30" i="36"/>
  <c r="AC30"/>
  <c r="F37" i="39"/>
  <c r="S37" s="1"/>
  <c r="H37"/>
  <c r="U37" s="1"/>
  <c r="J37"/>
  <c r="W37" s="1"/>
  <c r="BL568" i="3"/>
  <c r="BA568"/>
  <c r="AZ568"/>
  <c r="BL567"/>
  <c r="BA567"/>
  <c r="AZ567"/>
  <c r="BL566"/>
  <c r="AZ566"/>
  <c r="BL565"/>
  <c r="AZ565"/>
  <c r="BA564"/>
  <c r="AZ564"/>
  <c r="BA563"/>
  <c r="AZ563"/>
  <c r="BL554"/>
  <c r="AZ554"/>
  <c r="BA553"/>
  <c r="AZ553"/>
  <c r="BA552"/>
  <c r="AZ552"/>
  <c r="BL549"/>
  <c r="BA549"/>
  <c r="BL548"/>
  <c r="BA548"/>
  <c r="BL547"/>
  <c r="BA547"/>
  <c r="BL539"/>
  <c r="BA539"/>
  <c r="AZ539"/>
  <c r="BA538"/>
  <c r="AZ538"/>
  <c r="BL537"/>
  <c r="BA537"/>
  <c r="BL536"/>
  <c r="AZ536"/>
  <c r="BA535"/>
  <c r="AZ535"/>
  <c r="BA534"/>
  <c r="AZ534"/>
  <c r="BA533"/>
  <c r="AZ533"/>
  <c r="BL531"/>
  <c r="AZ531"/>
  <c r="BL530"/>
  <c r="BA530"/>
  <c r="BL529"/>
  <c r="BA529"/>
  <c r="BL528"/>
  <c r="AZ528"/>
  <c r="BA527"/>
  <c r="AZ527"/>
  <c r="BA526"/>
  <c r="AZ526"/>
  <c r="BA525"/>
  <c r="AZ525"/>
  <c r="BL523"/>
  <c r="BA523"/>
  <c r="AZ523"/>
  <c r="BL522"/>
  <c r="BA522"/>
  <c r="AZ522"/>
  <c r="BL521"/>
  <c r="AZ521"/>
  <c r="BA519"/>
  <c r="AZ519"/>
  <c r="BL518"/>
  <c r="BA518"/>
  <c r="AZ518"/>
  <c r="BL517"/>
  <c r="BA517"/>
  <c r="AZ517"/>
  <c r="BL515"/>
  <c r="BA515"/>
  <c r="BA514"/>
  <c r="AZ514"/>
  <c r="BL513"/>
  <c r="BA513"/>
  <c r="AZ513"/>
  <c r="BL512"/>
  <c r="AZ512"/>
  <c r="BA511"/>
  <c r="AZ511"/>
  <c r="BA510"/>
  <c r="AZ510"/>
  <c r="BL509"/>
  <c r="AZ509"/>
  <c r="BL507"/>
  <c r="BA507"/>
  <c r="AZ507"/>
  <c r="BL506"/>
  <c r="BA506"/>
  <c r="AZ506"/>
  <c r="BL505"/>
  <c r="AZ505"/>
  <c r="BL504"/>
  <c r="BA504"/>
  <c r="BA503"/>
  <c r="AZ503"/>
  <c r="BA500"/>
  <c r="AZ500"/>
  <c r="BL499"/>
  <c r="BA499"/>
  <c r="AZ499"/>
  <c r="BL498"/>
  <c r="AZ498"/>
  <c r="BL497"/>
  <c r="BA497"/>
  <c r="BL496"/>
  <c r="BA496"/>
  <c r="AZ496"/>
  <c r="BA495"/>
  <c r="AZ495"/>
  <c r="BL494"/>
  <c r="BA494"/>
  <c r="AZ494"/>
  <c r="G494"/>
  <c r="BA491"/>
  <c r="AZ491"/>
  <c r="BL490"/>
  <c r="BA490"/>
  <c r="AZ490"/>
  <c r="BL489"/>
  <c r="BA489"/>
  <c r="AZ489"/>
  <c r="BL487"/>
  <c r="AZ487"/>
  <c r="BL486"/>
  <c r="BA486"/>
  <c r="BA485"/>
  <c r="AZ485"/>
  <c r="BA483"/>
  <c r="AZ483"/>
  <c r="BA482"/>
  <c r="AZ482"/>
  <c r="BL481"/>
  <c r="BJ5"/>
  <c r="BA481"/>
  <c r="AZ481"/>
  <c r="BB5"/>
  <c r="BL19"/>
  <c r="AZ19" s="1"/>
  <c r="BA18"/>
  <c r="F36" i="44"/>
  <c r="F114" i="34"/>
  <c r="G114" s="1"/>
  <c r="H114" s="1"/>
  <c r="I114" s="1"/>
  <c r="J114" s="1"/>
  <c r="K114" s="1"/>
  <c r="L114" s="1"/>
  <c r="M114" s="1"/>
  <c r="H38"/>
  <c r="U38" s="1"/>
  <c r="H30" i="40"/>
  <c r="AB30" s="1"/>
  <c r="G100"/>
  <c r="J30" s="1"/>
  <c r="AC30" s="1"/>
  <c r="F38"/>
  <c r="AA38" s="1"/>
  <c r="AA36" i="34"/>
  <c r="AC12" i="21"/>
  <c r="W12"/>
  <c r="AB33"/>
  <c r="S35"/>
  <c r="U8"/>
  <c r="AB8"/>
  <c r="S34"/>
  <c r="AC36"/>
  <c r="AB8" i="33"/>
  <c r="U8"/>
  <c r="E106"/>
  <c r="H34"/>
  <c r="U34" s="1"/>
  <c r="F34"/>
  <c r="S34" s="1"/>
  <c r="E121"/>
  <c r="F41"/>
  <c r="S41" s="1"/>
  <c r="AC34" i="34"/>
  <c r="W34"/>
  <c r="AA39"/>
  <c r="S39"/>
  <c r="S43"/>
  <c r="E78"/>
  <c r="F15"/>
  <c r="AA15" s="1"/>
  <c r="AC28" i="35"/>
  <c r="W28"/>
  <c r="J20"/>
  <c r="AC20" s="1"/>
  <c r="E72"/>
  <c r="F72" s="1"/>
  <c r="G72" s="1"/>
  <c r="H22"/>
  <c r="AB22" s="1"/>
  <c r="H23"/>
  <c r="F23"/>
  <c r="AA23" s="1"/>
  <c r="AB36"/>
  <c r="U36"/>
  <c r="W12" i="36"/>
  <c r="AC12"/>
  <c r="U31"/>
  <c r="S8" i="37"/>
  <c r="AA8"/>
  <c r="F14" i="39"/>
  <c r="AA14" s="1"/>
  <c r="H14"/>
  <c r="AB14" s="1"/>
  <c r="J14"/>
  <c r="AC14" s="1"/>
  <c r="F16"/>
  <c r="AA16" s="1"/>
  <c r="H16"/>
  <c r="U16" s="1"/>
  <c r="J16"/>
  <c r="AC16" s="1"/>
  <c r="F23"/>
  <c r="AA23" s="1"/>
  <c r="E97"/>
  <c r="F27"/>
  <c r="AA27" s="1"/>
  <c r="H27"/>
  <c r="AB27" s="1"/>
  <c r="J27"/>
  <c r="AC27" s="1"/>
  <c r="F15" i="40"/>
  <c r="AA15" s="1"/>
  <c r="J15"/>
  <c r="H15"/>
  <c r="AB15" s="1"/>
  <c r="E92"/>
  <c r="F92"/>
  <c r="H23"/>
  <c r="U23" s="1"/>
  <c r="H41"/>
  <c r="AB41" s="1"/>
  <c r="F41"/>
  <c r="AA41" s="1"/>
  <c r="J41"/>
  <c r="H36" i="33"/>
  <c r="AB36" s="1"/>
  <c r="H37" i="34"/>
  <c r="U37" s="1"/>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391" i="3"/>
  <c r="AZ399"/>
  <c r="AZ403"/>
  <c r="AZ407"/>
  <c r="AZ415"/>
  <c r="AZ423"/>
  <c r="AZ431"/>
  <c r="AZ439"/>
  <c r="AZ454"/>
  <c r="B41" i="1"/>
  <c r="J42" i="40"/>
  <c r="AC42" s="1"/>
  <c r="J40"/>
  <c r="AC40" s="1"/>
  <c r="J34"/>
  <c r="AC34" s="1"/>
  <c r="H16"/>
  <c r="AB16" s="1"/>
  <c r="H14"/>
  <c r="U14" s="1"/>
  <c r="F32"/>
  <c r="AA32" s="1"/>
  <c r="AZ401" i="3"/>
  <c r="AZ428"/>
  <c r="AZ433"/>
  <c r="AZ436"/>
  <c r="AZ441"/>
  <c r="AZ444"/>
  <c r="AZ449"/>
  <c r="AZ452"/>
  <c r="M1" i="46"/>
  <c r="M6"/>
  <c r="M10"/>
  <c r="N2"/>
  <c r="N5"/>
  <c r="F58" s="1"/>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s="1"/>
  <c r="AB14"/>
  <c r="W40"/>
  <c r="F34" i="44"/>
  <c r="F27" i="43"/>
  <c r="F66" i="9"/>
  <c r="P72" s="1"/>
  <c r="F71"/>
  <c r="F72"/>
  <c r="AC14" i="40"/>
  <c r="W35"/>
  <c r="S33"/>
  <c r="AC47" i="39"/>
  <c r="S47"/>
  <c r="AB37" i="34"/>
  <c r="AC41" i="40"/>
  <c r="W41"/>
  <c r="U41"/>
  <c r="J23"/>
  <c r="AC23" s="1"/>
  <c r="G92"/>
  <c r="F23"/>
  <c r="S23" s="1"/>
  <c r="AC15"/>
  <c r="W15"/>
  <c r="W14" i="39"/>
  <c r="U23" i="35"/>
  <c r="AB23"/>
  <c r="H20"/>
  <c r="F20"/>
  <c r="S20" s="1"/>
  <c r="H15" i="34"/>
  <c r="AB15" s="1"/>
  <c r="F78"/>
  <c r="G78"/>
  <c r="J15"/>
  <c r="AC15" s="1"/>
  <c r="H41" i="33"/>
  <c r="U41" s="1"/>
  <c r="F121"/>
  <c r="G121"/>
  <c r="H121" s="1"/>
  <c r="I121" s="1"/>
  <c r="J121" s="1"/>
  <c r="K121" s="1"/>
  <c r="L121" s="1"/>
  <c r="M121" s="1"/>
  <c r="F30" i="40"/>
  <c r="AA30" s="1"/>
  <c r="H100"/>
  <c r="I100"/>
  <c r="J100" s="1"/>
  <c r="K100" s="1"/>
  <c r="L100" s="1"/>
  <c r="M100" s="1"/>
  <c r="AZ486" i="3"/>
  <c r="AZ497"/>
  <c r="AZ504"/>
  <c r="AZ515"/>
  <c r="AZ529"/>
  <c r="AZ530"/>
  <c r="AZ537"/>
  <c r="AZ547"/>
  <c r="AZ548"/>
  <c r="AZ549"/>
  <c r="AB37" i="39"/>
  <c r="AA29" i="35"/>
  <c r="U39" i="39"/>
  <c r="J29"/>
  <c r="AC29" s="1"/>
  <c r="AB21"/>
  <c r="U21"/>
  <c r="AB33" i="36"/>
  <c r="AA11"/>
  <c r="AA14" i="35"/>
  <c r="S14"/>
  <c r="G99" i="37"/>
  <c r="F33" s="1"/>
  <c r="U46" i="34"/>
  <c r="AC30"/>
  <c r="AA14"/>
  <c r="W12"/>
  <c r="U29" i="33"/>
  <c r="AC13"/>
  <c r="AA11" i="34"/>
  <c r="W32" i="33"/>
  <c r="H15"/>
  <c r="U15" s="1"/>
  <c r="AA11"/>
  <c r="AA40" i="21"/>
  <c r="S13" i="39"/>
  <c r="AA13"/>
  <c r="U16" i="40"/>
  <c r="W34"/>
  <c r="AB34"/>
  <c r="AB42"/>
  <c r="U42"/>
  <c r="AC16"/>
  <c r="W32"/>
  <c r="H25"/>
  <c r="AB25" s="1"/>
  <c r="F94"/>
  <c r="G94" s="1"/>
  <c r="U47" i="39"/>
  <c r="J37" i="34"/>
  <c r="AC37" s="1"/>
  <c r="J36" i="33"/>
  <c r="W36" s="1"/>
  <c r="S41" i="40"/>
  <c r="AB23"/>
  <c r="U27" i="39"/>
  <c r="H23"/>
  <c r="AB23" s="1"/>
  <c r="J23"/>
  <c r="AC23" s="1"/>
  <c r="F97"/>
  <c r="G97"/>
  <c r="S16"/>
  <c r="F106" i="33"/>
  <c r="G106"/>
  <c r="H106" s="1"/>
  <c r="I106" s="1"/>
  <c r="J106" s="1"/>
  <c r="K106" s="1"/>
  <c r="L106" s="1"/>
  <c r="M106" s="1"/>
  <c r="J34"/>
  <c r="AC34" s="1"/>
  <c r="U30" i="40"/>
  <c r="AA37" i="39"/>
  <c r="W29" i="35"/>
  <c r="AC39" i="39"/>
  <c r="W39"/>
  <c r="AA39"/>
  <c r="S39"/>
  <c r="AB46"/>
  <c r="U11" i="36"/>
  <c r="F80" i="35"/>
  <c r="G80" s="1"/>
  <c r="H80" s="1"/>
  <c r="I80" s="1"/>
  <c r="J80" s="1"/>
  <c r="K80" s="1"/>
  <c r="L80" s="1"/>
  <c r="M80" s="1"/>
  <c r="W14"/>
  <c r="F27" i="34"/>
  <c r="S27" s="1"/>
  <c r="AA19" i="39"/>
  <c r="G96" i="37"/>
  <c r="H96"/>
  <c r="I96" s="1"/>
  <c r="J96" s="1"/>
  <c r="K96" s="1"/>
  <c r="L96" s="1"/>
  <c r="M96" s="1"/>
  <c r="F32"/>
  <c r="S32" s="1"/>
  <c r="U11" i="35"/>
  <c r="AB11"/>
  <c r="S46" i="34"/>
  <c r="U32"/>
  <c r="U14"/>
  <c r="AC14"/>
  <c r="U12"/>
  <c r="AB13" i="33"/>
  <c r="G80" i="34"/>
  <c r="F17"/>
  <c r="AA17" s="1"/>
  <c r="J17"/>
  <c r="AC17" s="1"/>
  <c r="H11"/>
  <c r="AB11" s="1"/>
  <c r="J35" i="33"/>
  <c r="W35" s="1"/>
  <c r="H11"/>
  <c r="U11" s="1"/>
  <c r="H10"/>
  <c r="U10" s="1"/>
  <c r="I66"/>
  <c r="J10"/>
  <c r="AC10" s="1"/>
  <c r="U40" i="21"/>
  <c r="U11" i="37"/>
  <c r="U13" i="39"/>
  <c r="AC16" i="35"/>
  <c r="AC13" i="40"/>
  <c r="J11" i="34"/>
  <c r="W11" s="1"/>
  <c r="F25" i="40"/>
  <c r="AA25" s="1"/>
  <c r="J11" i="33"/>
  <c r="W11" s="1"/>
  <c r="H33" i="37"/>
  <c r="AB33" s="1"/>
  <c r="U20" i="35"/>
  <c r="AB20"/>
  <c r="W23" i="40"/>
  <c r="D73" i="9"/>
  <c r="N73" s="1"/>
  <c r="AP11" i="1"/>
  <c r="J51" i="15"/>
  <c r="B11" i="1"/>
  <c r="E11" s="1"/>
  <c r="K11"/>
  <c r="M11" s="1"/>
  <c r="B9"/>
  <c r="E9" s="1"/>
  <c r="K9"/>
  <c r="M9" s="1"/>
  <c r="B7"/>
  <c r="E7" s="1"/>
  <c r="K7"/>
  <c r="M7" s="1"/>
  <c r="O7" s="1"/>
  <c r="P7" s="1"/>
  <c r="C20" i="43"/>
  <c r="L48" i="69"/>
  <c r="F36"/>
  <c r="M22"/>
  <c r="F7"/>
  <c r="F38"/>
  <c r="F26"/>
  <c r="F9"/>
  <c r="F43"/>
  <c r="M28"/>
  <c r="J15"/>
  <c r="F6"/>
  <c r="J36"/>
  <c r="M23"/>
  <c r="F8"/>
  <c r="F40"/>
  <c r="M26"/>
  <c r="M9"/>
  <c r="L47"/>
  <c r="M29"/>
  <c r="F16"/>
  <c r="M6"/>
  <c r="F37"/>
  <c r="M24"/>
  <c r="M8"/>
  <c r="F42"/>
  <c r="M27"/>
  <c r="F13"/>
  <c r="E2" i="65"/>
  <c r="C6" i="69" l="1"/>
  <c r="C10"/>
  <c r="F49"/>
  <c r="M7"/>
  <c r="J6" s="1"/>
  <c r="J5" s="1"/>
  <c r="F50"/>
  <c r="C48" s="1"/>
  <c r="C47" s="1"/>
  <c r="C27"/>
  <c r="F63"/>
  <c r="Q72"/>
  <c r="F64"/>
  <c r="F65"/>
  <c r="F67"/>
  <c r="F70"/>
  <c r="L58"/>
  <c r="C58" i="33"/>
  <c r="D58" s="1"/>
  <c r="E58" s="1"/>
  <c r="F58" s="1"/>
  <c r="G58" s="1"/>
  <c r="H58" s="1"/>
  <c r="I58" s="1"/>
  <c r="J58" s="1"/>
  <c r="K58" s="1"/>
  <c r="L58" s="1"/>
  <c r="M58" s="1"/>
  <c r="N58" s="1"/>
  <c r="O58" s="1"/>
  <c r="G7"/>
  <c r="I7"/>
  <c r="E7"/>
  <c r="G7" i="34"/>
  <c r="I7"/>
  <c r="E7"/>
  <c r="C42" i="1"/>
  <c r="C28" i="69" s="1"/>
  <c r="J51"/>
  <c r="AB32" i="40"/>
  <c r="D3" i="33"/>
  <c r="G12" i="1"/>
  <c r="C110" i="9"/>
  <c r="G17" i="46"/>
  <c r="U17" i="34"/>
  <c r="S17"/>
  <c r="AA44"/>
  <c r="U43"/>
  <c r="AC41"/>
  <c r="AB40"/>
  <c r="AB38"/>
  <c r="AB36"/>
  <c r="AC28"/>
  <c r="W15"/>
  <c r="S15"/>
  <c r="AB43" i="33"/>
  <c r="AC37"/>
  <c r="AC15"/>
  <c r="F123"/>
  <c r="G123" s="1"/>
  <c r="H123" s="1"/>
  <c r="I123" s="1"/>
  <c r="J123" s="1"/>
  <c r="K123" s="1"/>
  <c r="L123" s="1"/>
  <c r="M123" s="1"/>
  <c r="S37"/>
  <c r="AA34"/>
  <c r="F32"/>
  <c r="AA32" s="1"/>
  <c r="H32"/>
  <c r="W27"/>
  <c r="AC36"/>
  <c r="AC28"/>
  <c r="AA27"/>
  <c r="S42"/>
  <c r="AA41"/>
  <c r="W41"/>
  <c r="S39"/>
  <c r="S33"/>
  <c r="S32"/>
  <c r="W9"/>
  <c r="U9"/>
  <c r="S45" i="21"/>
  <c r="S46"/>
  <c r="F123"/>
  <c r="G123" s="1"/>
  <c r="H123" s="1"/>
  <c r="I123" s="1"/>
  <c r="J123" s="1"/>
  <c r="K123" s="1"/>
  <c r="L123" s="1"/>
  <c r="M123" s="1"/>
  <c r="H42"/>
  <c r="J42"/>
  <c r="AC42" s="1"/>
  <c r="F42"/>
  <c r="AA42" s="1"/>
  <c r="U19"/>
  <c r="U17"/>
  <c r="S19"/>
  <c r="U43"/>
  <c r="W42"/>
  <c r="AB36"/>
  <c r="AB10"/>
  <c r="S10"/>
  <c r="W9"/>
  <c r="W8"/>
  <c r="A30" i="51"/>
  <c r="A30" i="64"/>
  <c r="AB44" i="39"/>
  <c r="J42"/>
  <c r="AC42" s="1"/>
  <c r="F42"/>
  <c r="H42"/>
  <c r="AB42" s="1"/>
  <c r="U34"/>
  <c r="AB25"/>
  <c r="U19"/>
  <c r="AB17"/>
  <c r="S43"/>
  <c r="AA33"/>
  <c r="AB29"/>
  <c r="S23"/>
  <c r="S17"/>
  <c r="AC33"/>
  <c r="W27"/>
  <c r="W43"/>
  <c r="W15"/>
  <c r="AB16"/>
  <c r="A2" i="55"/>
  <c r="B55" i="63" s="1"/>
  <c r="A11" i="55"/>
  <c r="B62" i="63" s="1"/>
  <c r="F6" i="1"/>
  <c r="AP6" s="1"/>
  <c r="G11"/>
  <c r="M22" i="44"/>
  <c r="F32" i="15"/>
  <c r="F59" s="1"/>
  <c r="F29" i="12"/>
  <c r="F70" i="9"/>
  <c r="D86"/>
  <c r="M20" i="44"/>
  <c r="F31" i="43"/>
  <c r="F30" i="44"/>
  <c r="C30" s="1"/>
  <c r="C27" i="43"/>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AC11"/>
  <c r="AB11"/>
  <c r="W13"/>
  <c r="AA11"/>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W13"/>
  <c r="S11"/>
  <c r="AB45"/>
  <c r="S27"/>
  <c r="AA21"/>
  <c r="AC19"/>
  <c r="AC38"/>
  <c r="W29"/>
  <c r="S29"/>
  <c r="AC21"/>
  <c r="AC17"/>
  <c r="S14"/>
  <c r="AB15"/>
  <c r="U11"/>
  <c r="U41"/>
  <c r="U23"/>
  <c r="AB38"/>
  <c r="U31"/>
  <c r="AB31"/>
  <c r="S25"/>
  <c r="S38"/>
  <c r="D18" i="9"/>
  <c r="M44" s="1"/>
  <c r="M43"/>
  <c r="B22" i="63"/>
  <c r="M20" i="15"/>
  <c r="D96" i="9"/>
  <c r="F28" i="15"/>
  <c r="C28" s="1"/>
  <c r="M18"/>
  <c r="A18" i="64"/>
  <c r="B74" i="63" s="1"/>
  <c r="C53" i="10"/>
  <c r="A25" i="64" s="1"/>
  <c r="A18" i="51"/>
  <c r="B14" i="63" s="1"/>
  <c r="M20" i="46"/>
  <c r="C19" s="1"/>
  <c r="BA16" i="3"/>
  <c r="BA17"/>
  <c r="AZ17" s="1"/>
  <c r="F3" i="35"/>
  <c r="K1" i="43"/>
  <c r="K1" i="12"/>
  <c r="G1" i="44"/>
  <c r="I4" i="6"/>
  <c r="G3" i="46" s="1"/>
  <c r="H22" s="1"/>
  <c r="AZ15" i="3"/>
  <c r="G5"/>
  <c r="B3" s="1"/>
  <c r="E413" s="1"/>
  <c r="BK5"/>
  <c r="BO5"/>
  <c r="BP5"/>
  <c r="BN5"/>
  <c r="BL18"/>
  <c r="AZ18" s="1"/>
  <c r="BC5"/>
  <c r="E8" i="6" s="1"/>
  <c r="BD5" i="3"/>
  <c r="BR5"/>
  <c r="G28" i="6" s="1"/>
  <c r="BS5" i="3"/>
  <c r="BQ5"/>
  <c r="BL16"/>
  <c r="BL5" s="1"/>
  <c r="BM5"/>
  <c r="BA13"/>
  <c r="H48" i="46"/>
  <c r="H52"/>
  <c r="H53"/>
  <c r="B40" i="1"/>
  <c r="F24" i="69" s="1"/>
  <c r="G28" i="12"/>
  <c r="G22" i="43"/>
  <c r="G26" i="12"/>
  <c r="D24" i="44"/>
  <c r="D26"/>
  <c r="G27" i="12"/>
  <c r="G23" i="43"/>
  <c r="G21"/>
  <c r="H54" i="46"/>
  <c r="H50"/>
  <c r="H55"/>
  <c r="H51"/>
  <c r="E11"/>
  <c r="E10"/>
  <c r="N8"/>
  <c r="N4"/>
  <c r="N1"/>
  <c r="M9"/>
  <c r="M2"/>
  <c r="N11"/>
  <c r="N9"/>
  <c r="F69" s="1"/>
  <c r="H75" s="1"/>
  <c r="M4"/>
  <c r="M12"/>
  <c r="M8"/>
  <c r="M3"/>
  <c r="M5"/>
  <c r="C6" s="1"/>
  <c r="H6" i="48"/>
  <c r="E9" i="46"/>
  <c r="H15" i="48"/>
  <c r="H5"/>
  <c r="H14"/>
  <c r="F38" i="46"/>
  <c r="F36"/>
  <c r="F34"/>
  <c r="J17"/>
  <c r="C17"/>
  <c r="F39"/>
  <c r="H13" i="48"/>
  <c r="H11"/>
  <c r="E8" i="46"/>
  <c r="I17"/>
  <c r="C16" s="1"/>
  <c r="C5" s="1"/>
  <c r="E17"/>
  <c r="D71"/>
  <c r="D84"/>
  <c r="E80" s="1"/>
  <c r="B78" s="1"/>
  <c r="D69"/>
  <c r="E69" s="1"/>
  <c r="B67" s="1"/>
  <c r="E47"/>
  <c r="E58"/>
  <c r="C52" i="15"/>
  <c r="A4" i="64"/>
  <c r="A4" i="51"/>
  <c r="C51" i="10"/>
  <c r="H58" i="46"/>
  <c r="H61"/>
  <c r="H62"/>
  <c r="H71"/>
  <c r="H76"/>
  <c r="I100"/>
  <c r="B56"/>
  <c r="C24" s="1"/>
  <c r="N100"/>
  <c r="H100"/>
  <c r="F108"/>
  <c r="H80"/>
  <c r="B45"/>
  <c r="AB11"/>
  <c r="AB13" s="1"/>
  <c r="E100"/>
  <c r="G100"/>
  <c r="H84"/>
  <c r="H65"/>
  <c r="H66"/>
  <c r="C100"/>
  <c r="J100"/>
  <c r="M100"/>
  <c r="AA12" i="36"/>
  <c r="U12" i="35"/>
  <c r="AB12"/>
  <c r="W11"/>
  <c r="AA11"/>
  <c r="S14" i="37"/>
  <c r="U13"/>
  <c r="S13" i="21"/>
  <c r="C24" i="9"/>
  <c r="C25"/>
  <c r="AP7" i="1"/>
  <c r="G7"/>
  <c r="AP9"/>
  <c r="G9"/>
  <c r="AP8"/>
  <c r="G8"/>
  <c r="I20" i="46"/>
  <c r="C20" s="1"/>
  <c r="B6" i="63"/>
  <c r="L5" i="54"/>
  <c r="B39" i="63" s="1"/>
  <c r="K5" i="54"/>
  <c r="B38" i="63" s="1"/>
  <c r="T41" i="4"/>
  <c r="A17" i="64" s="1"/>
  <c r="B46" i="50"/>
  <c r="B4" i="63" s="1"/>
  <c r="C46" i="36"/>
  <c r="D46" s="1"/>
  <c r="C59" i="34"/>
  <c r="D59" s="1"/>
  <c r="E59" s="1"/>
  <c r="C48" i="35"/>
  <c r="D48" s="1"/>
  <c r="C52" i="37"/>
  <c r="D52" s="1"/>
  <c r="F7" i="33"/>
  <c r="J7"/>
  <c r="C67" i="40"/>
  <c r="D65"/>
  <c r="P24" i="46"/>
  <c r="B68" i="40" s="1"/>
  <c r="P25" i="46"/>
  <c r="P23"/>
  <c r="P21"/>
  <c r="P22"/>
  <c r="H7" i="33"/>
  <c r="C72" i="39"/>
  <c r="D70"/>
  <c r="O19" i="46"/>
  <c r="K17" i="4"/>
  <c r="A22" i="51" s="1"/>
  <c r="B16" i="63" s="1"/>
  <c r="H73" i="46"/>
  <c r="H74"/>
  <c r="H86"/>
  <c r="H82"/>
  <c r="H63"/>
  <c r="H59"/>
  <c r="H64"/>
  <c r="H60"/>
  <c r="H10" i="48"/>
  <c r="H87" i="46"/>
  <c r="H85"/>
  <c r="H83"/>
  <c r="O13" i="1"/>
  <c r="P13" s="1"/>
  <c r="K10"/>
  <c r="M10" s="1"/>
  <c r="O10" s="1"/>
  <c r="P10" s="1"/>
  <c r="S11"/>
  <c r="R11"/>
  <c r="S13"/>
  <c r="R13"/>
  <c r="B6"/>
  <c r="E6" s="1"/>
  <c r="B10"/>
  <c r="E10" s="1"/>
  <c r="S10"/>
  <c r="B8"/>
  <c r="E8" s="1"/>
  <c r="B12"/>
  <c r="E12" s="1"/>
  <c r="S12"/>
  <c r="K6"/>
  <c r="M6" s="1"/>
  <c r="C15" i="43" s="1"/>
  <c r="O9" i="1"/>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S43"/>
  <c r="AB42"/>
  <c r="AB14"/>
  <c r="S26"/>
  <c r="AB12"/>
  <c r="S15"/>
  <c r="S9"/>
  <c r="S39" i="21"/>
  <c r="AB25"/>
  <c r="AB45"/>
  <c r="W25"/>
  <c r="AA25"/>
  <c r="AC37"/>
  <c r="AA29"/>
  <c r="U27"/>
  <c r="W31"/>
  <c r="S27"/>
  <c r="AA15"/>
  <c r="AC27"/>
  <c r="W29"/>
  <c r="G96" i="40"/>
  <c r="J27"/>
  <c r="W37"/>
  <c r="S17"/>
  <c r="W30"/>
  <c r="S34"/>
  <c r="U17"/>
  <c r="U38"/>
  <c r="S40"/>
  <c r="S42"/>
  <c r="G105" i="39"/>
  <c r="J31"/>
  <c r="S45"/>
  <c r="W41"/>
  <c r="AB43"/>
  <c r="AB33"/>
  <c r="AC46"/>
  <c r="S34"/>
  <c r="W42"/>
  <c r="W36"/>
  <c r="W23"/>
  <c r="AC37"/>
  <c r="U14"/>
  <c r="W16"/>
  <c r="S15"/>
  <c r="W25"/>
  <c r="W45"/>
  <c r="S41"/>
  <c r="AA44"/>
  <c r="AA46"/>
  <c r="W34"/>
  <c r="W10"/>
  <c r="W11"/>
  <c r="W40"/>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M30" i="44"/>
  <c r="F26" i="15"/>
  <c r="M25" i="44"/>
  <c r="F38"/>
  <c r="L48" i="15"/>
  <c r="F40"/>
  <c r="F39" i="44"/>
  <c r="M26"/>
  <c r="M24"/>
  <c r="F18"/>
  <c r="F11"/>
  <c r="M8"/>
  <c r="M26" i="15"/>
  <c r="M29" i="44"/>
  <c r="M28" i="15"/>
  <c r="M10" i="44"/>
  <c r="F15"/>
  <c r="M6" i="15"/>
  <c r="F36"/>
  <c r="M23"/>
  <c r="F40" i="44"/>
  <c r="M9" i="15"/>
  <c r="M27"/>
  <c r="L49" i="44"/>
  <c r="F43"/>
  <c r="F28"/>
  <c r="M28"/>
  <c r="M24" i="15"/>
  <c r="J36"/>
  <c r="F43"/>
  <c r="F8"/>
  <c r="F37"/>
  <c r="F10" i="44"/>
  <c r="F13" i="15"/>
  <c r="F6"/>
  <c r="F9"/>
  <c r="M11" i="44"/>
  <c r="J15" i="15"/>
  <c r="F8" i="44"/>
  <c r="C16" i="69"/>
  <c r="L47" i="15"/>
  <c r="F45" i="44"/>
  <c r="M29" i="15"/>
  <c r="F38"/>
  <c r="M22"/>
  <c r="J17" i="44"/>
  <c r="F9"/>
  <c r="M31"/>
  <c r="F7" i="15"/>
  <c r="F16"/>
  <c r="M8"/>
  <c r="L48" i="44"/>
  <c r="F42" i="15"/>
  <c r="B73" i="39" l="1"/>
  <c r="C5" i="69"/>
  <c r="C32" s="1"/>
  <c r="J57"/>
  <c r="J55" s="1"/>
  <c r="J58" s="1"/>
  <c r="Q51" s="1"/>
  <c r="I54"/>
  <c r="J59"/>
  <c r="J60"/>
  <c r="Q49" s="1"/>
  <c r="Q61"/>
  <c r="Q74"/>
  <c r="C65"/>
  <c r="C59"/>
  <c r="H69" i="46"/>
  <c r="H77"/>
  <c r="C7"/>
  <c r="L56" i="69"/>
  <c r="J26"/>
  <c r="J18"/>
  <c r="J24"/>
  <c r="C38"/>
  <c r="J53"/>
  <c r="L59"/>
  <c r="AC25" i="33"/>
  <c r="AB32"/>
  <c r="U32"/>
  <c r="AB42" i="21"/>
  <c r="U42"/>
  <c r="AC23"/>
  <c r="AA42" i="39"/>
  <c r="S42"/>
  <c r="U42"/>
  <c r="C24" i="69"/>
  <c r="G6" i="1"/>
  <c r="L58" i="15"/>
  <c r="Q74" s="1"/>
  <c r="L59"/>
  <c r="Q75" s="1"/>
  <c r="J53"/>
  <c r="F1" s="1"/>
  <c r="I54"/>
  <c r="I55" i="44"/>
  <c r="J54"/>
  <c r="L60"/>
  <c r="Q63" s="1"/>
  <c r="L59"/>
  <c r="Q75" s="1"/>
  <c r="J60"/>
  <c r="J58"/>
  <c r="J56" s="1"/>
  <c r="J59" s="1"/>
  <c r="Q52" s="1"/>
  <c r="L57"/>
  <c r="J61"/>
  <c r="Q50" s="1"/>
  <c r="E86" i="3"/>
  <c r="AE11" i="46"/>
  <c r="AE13" s="1"/>
  <c r="F29" i="6"/>
  <c r="F28"/>
  <c r="Q73" i="44"/>
  <c r="C10" i="15"/>
  <c r="C12" i="44"/>
  <c r="AJ11" i="46"/>
  <c r="AJ13" s="1"/>
  <c r="AF11"/>
  <c r="AF13" s="1"/>
  <c r="AI11"/>
  <c r="AI13" s="1"/>
  <c r="AA11"/>
  <c r="AA13" s="1"/>
  <c r="E297" i="3"/>
  <c r="AO6"/>
  <c r="E561"/>
  <c r="E476"/>
  <c r="C23" i="46"/>
  <c r="C21" s="1"/>
  <c r="C29" s="1"/>
  <c r="E29" s="1"/>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C34"/>
  <c r="C35"/>
  <c r="C33"/>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J107"/>
  <c r="J105"/>
  <c r="C104"/>
  <c r="C105"/>
  <c r="C107"/>
  <c r="J109"/>
  <c r="F106"/>
  <c r="F107"/>
  <c r="F103"/>
  <c r="K104"/>
  <c r="K107"/>
  <c r="K105"/>
  <c r="AB39" i="40"/>
  <c r="U39"/>
  <c r="AC39"/>
  <c r="W39"/>
  <c r="AA39"/>
  <c r="S39"/>
  <c r="U37"/>
  <c r="AB37"/>
  <c r="AA37"/>
  <c r="S37"/>
  <c r="U29"/>
  <c r="AB29"/>
  <c r="AC29"/>
  <c r="W29"/>
  <c r="AA29"/>
  <c r="S29"/>
  <c r="W19"/>
  <c r="AC19"/>
  <c r="AA19"/>
  <c r="S19"/>
  <c r="AB19"/>
  <c r="U19"/>
  <c r="AC27"/>
  <c r="W27"/>
  <c r="W31" i="39"/>
  <c r="AC3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C15" i="12"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G16"/>
  <c r="J12" i="40" s="1"/>
  <c r="F30" i="6"/>
  <c r="E28"/>
  <c r="E13"/>
  <c r="E11"/>
  <c r="H70" i="46"/>
  <c r="H72"/>
  <c r="F24" i="15"/>
  <c r="C24" s="1"/>
  <c r="F26" i="44"/>
  <c r="C26" s="1"/>
  <c r="F26" i="12"/>
  <c r="F21" i="43"/>
  <c r="C23" s="1"/>
  <c r="D21" s="1"/>
  <c r="J12" i="44"/>
  <c r="A9" i="64"/>
  <c r="A9" i="51"/>
  <c r="B9" i="63" s="1"/>
  <c r="T8" i="46"/>
  <c r="V8" s="1"/>
  <c r="T10"/>
  <c r="V10" s="1"/>
  <c r="T12"/>
  <c r="V12" s="1"/>
  <c r="T14"/>
  <c r="V14" s="1"/>
  <c r="T16"/>
  <c r="V16" s="1"/>
  <c r="T9"/>
  <c r="V9" s="1"/>
  <c r="T11"/>
  <c r="V11" s="1"/>
  <c r="T13"/>
  <c r="V13" s="1"/>
  <c r="T15"/>
  <c r="V15" s="1"/>
  <c r="E34"/>
  <c r="E35"/>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F7"/>
  <c r="E48" i="35"/>
  <c r="F48" s="1"/>
  <c r="G48" s="1"/>
  <c r="H48" s="1"/>
  <c r="I48" s="1"/>
  <c r="J48" s="1"/>
  <c r="K48" s="1"/>
  <c r="L48" s="1"/>
  <c r="M48" s="1"/>
  <c r="N48" s="1"/>
  <c r="O48" s="1"/>
  <c r="J7"/>
  <c r="AC7" s="1"/>
  <c r="V38" s="1"/>
  <c r="I38" s="1"/>
  <c r="E46" i="36"/>
  <c r="F46" s="1"/>
  <c r="G46" s="1"/>
  <c r="H46" s="1"/>
  <c r="I46" s="1"/>
  <c r="J46" s="1"/>
  <c r="K46" s="1"/>
  <c r="L46" s="1"/>
  <c r="M46" s="1"/>
  <c r="N46" s="1"/>
  <c r="O46" s="1"/>
  <c r="D72" i="39"/>
  <c r="E70"/>
  <c r="W7" i="33"/>
  <c r="AC7"/>
  <c r="V48" s="1"/>
  <c r="I48" s="1"/>
  <c r="I52" s="1"/>
  <c r="J52" s="1"/>
  <c r="U7"/>
  <c r="AB7"/>
  <c r="T48" s="1"/>
  <c r="G48" s="1"/>
  <c r="D67" i="40"/>
  <c r="E65"/>
  <c r="S7" i="33"/>
  <c r="AA7"/>
  <c r="R48" s="1"/>
  <c r="R49" s="1"/>
  <c r="C39" i="46"/>
  <c r="G39" s="1"/>
  <c r="I39" s="1"/>
  <c r="E36"/>
  <c r="G33"/>
  <c r="I33" s="1"/>
  <c r="C37"/>
  <c r="G37" s="1"/>
  <c r="I37" s="1"/>
  <c r="Q16" i="1"/>
  <c r="F18" i="11" s="1"/>
  <c r="C18" s="1"/>
  <c r="C19" s="1"/>
  <c r="AP16" i="1"/>
  <c r="F22" i="11" s="1"/>
  <c r="E4" i="4"/>
  <c r="C4"/>
  <c r="F64" i="15"/>
  <c r="C27"/>
  <c r="Q72"/>
  <c r="F50"/>
  <c r="F63"/>
  <c r="F67"/>
  <c r="M7"/>
  <c r="F49"/>
  <c r="F70"/>
  <c r="C6"/>
  <c r="L56"/>
  <c r="J57"/>
  <c r="J55" s="1"/>
  <c r="J58" s="1"/>
  <c r="Q51" s="1"/>
  <c r="F65"/>
  <c r="G66" i="36"/>
  <c r="J18"/>
  <c r="AE6" i="1"/>
  <c r="F33" i="44"/>
  <c r="F58" i="15"/>
  <c r="F31"/>
  <c r="M19" i="44"/>
  <c r="M17" i="15"/>
  <c r="AE8" i="1"/>
  <c r="C16" i="15"/>
  <c r="AE9" i="1"/>
  <c r="C18" i="44"/>
  <c r="AE7" i="1"/>
  <c r="F46" i="44"/>
  <c r="H7" i="36" l="1"/>
  <c r="AB7" s="1"/>
  <c r="T36" s="1"/>
  <c r="G36" s="1"/>
  <c r="G40" s="1"/>
  <c r="H40" s="1"/>
  <c r="Q62" i="69"/>
  <c r="Q75"/>
  <c r="F1"/>
  <c r="Q53"/>
  <c r="J7" i="36"/>
  <c r="W7" s="1"/>
  <c r="F7"/>
  <c r="H7" i="35"/>
  <c r="AB7" s="1"/>
  <c r="T38" s="1"/>
  <c r="G38" s="1"/>
  <c r="G42" s="1"/>
  <c r="H42" s="1"/>
  <c r="F7"/>
  <c r="H7" i="34"/>
  <c r="AB7" s="1"/>
  <c r="T49" s="1"/>
  <c r="G49" s="1"/>
  <c r="G53" s="1"/>
  <c r="H53" s="1"/>
  <c r="J7"/>
  <c r="I116" i="46"/>
  <c r="J116" s="1"/>
  <c r="K116" s="1"/>
  <c r="L116" s="1"/>
  <c r="M116" s="1"/>
  <c r="K102"/>
  <c r="K103"/>
  <c r="K106"/>
  <c r="F105"/>
  <c r="F104"/>
  <c r="F102"/>
  <c r="C109"/>
  <c r="C102"/>
  <c r="C103"/>
  <c r="J102"/>
  <c r="J106"/>
  <c r="H7" i="37"/>
  <c r="Q62" i="44"/>
  <c r="Q76"/>
  <c r="J7" i="37"/>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G41"/>
  <c r="H41" s="1"/>
  <c r="W7" i="35"/>
  <c r="S7" i="37"/>
  <c r="U7" i="34"/>
  <c r="J6" i="15"/>
  <c r="J5" s="1"/>
  <c r="J18" s="1"/>
  <c r="J8" i="44"/>
  <c r="J7" s="1"/>
  <c r="E48" i="33"/>
  <c r="E52" s="1"/>
  <c r="F52" s="1"/>
  <c r="C115" i="46"/>
  <c r="H12" i="40"/>
  <c r="AB12" s="1"/>
  <c r="AG6" i="1"/>
  <c r="H12" i="39"/>
  <c r="U12" s="1"/>
  <c r="F12"/>
  <c r="AA12" s="1"/>
  <c r="F31" i="6"/>
  <c r="F12" i="40"/>
  <c r="AA12" s="1"/>
  <c r="J12" i="39"/>
  <c r="AC12" s="1"/>
  <c r="AC6" i="3"/>
  <c r="D21" i="12"/>
  <c r="C21" s="1"/>
  <c r="D12" i="11"/>
  <c r="C12" s="1"/>
  <c r="C27" i="12"/>
  <c r="D26" s="1"/>
  <c r="E59" i="40"/>
  <c r="E29" i="6"/>
  <c r="L20" s="1"/>
  <c r="E58" i="40"/>
  <c r="E63" i="39"/>
  <c r="E16" i="6"/>
  <c r="AZ5" i="3"/>
  <c r="F33" i="12"/>
  <c r="C34" s="1"/>
  <c r="F24" i="43"/>
  <c r="E60" i="40"/>
  <c r="E65" i="39"/>
  <c r="K19" i="6"/>
  <c r="K26"/>
  <c r="M26" s="1"/>
  <c r="I26" s="1"/>
  <c r="S26" s="1"/>
  <c r="K24"/>
  <c r="M24" s="1"/>
  <c r="I24" s="1"/>
  <c r="S24" s="1"/>
  <c r="K22"/>
  <c r="K20"/>
  <c r="K23"/>
  <c r="M23" s="1"/>
  <c r="I23" s="1"/>
  <c r="S23" s="1"/>
  <c r="K25"/>
  <c r="M25" s="1"/>
  <c r="I25" s="1"/>
  <c r="S25" s="1"/>
  <c r="K21"/>
  <c r="K14" i="1"/>
  <c r="E30" i="6"/>
  <c r="E31" s="1"/>
  <c r="L19"/>
  <c r="K15" i="1"/>
  <c r="E62" i="40"/>
  <c r="E67" i="39"/>
  <c r="E66"/>
  <c r="E61" i="40"/>
  <c r="E37" i="46"/>
  <c r="G35"/>
  <c r="I35" s="1"/>
  <c r="E38"/>
  <c r="G36"/>
  <c r="I36" s="1"/>
  <c r="E33"/>
  <c r="C30"/>
  <c r="E30" s="1"/>
  <c r="G34"/>
  <c r="I34" s="1"/>
  <c r="B21" i="55"/>
  <c r="B72" i="63" s="1"/>
  <c r="B20" i="55"/>
  <c r="B70" i="63" s="1"/>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G52" i="33"/>
  <c r="H52" s="1"/>
  <c r="G53"/>
  <c r="H53" s="1"/>
  <c r="E67" i="40"/>
  <c r="F65"/>
  <c r="E72" i="39"/>
  <c r="F70"/>
  <c r="E39" i="46"/>
  <c r="C5" i="15"/>
  <c r="Q61"/>
  <c r="Q62"/>
  <c r="Q53"/>
  <c r="C48"/>
  <c r="AB12" i="39"/>
  <c r="C20" i="11"/>
  <c r="C21" s="1"/>
  <c r="C22" s="1"/>
  <c r="C23" s="1"/>
  <c r="B2" s="1"/>
  <c r="AC12" i="40"/>
  <c r="W12"/>
  <c r="E46" i="37"/>
  <c r="F46" s="1"/>
  <c r="C48" i="33"/>
  <c r="C49"/>
  <c r="B3" s="1"/>
  <c r="D8" i="12" s="1"/>
  <c r="F41" i="69"/>
  <c r="L52" i="44"/>
  <c r="F41" i="15"/>
  <c r="F7" i="67"/>
  <c r="F68" i="15" l="1"/>
  <c r="J29" i="69"/>
  <c r="F68"/>
  <c r="B2" i="33"/>
  <c r="R24" i="31"/>
  <c r="I53" i="34"/>
  <c r="J53" s="1"/>
  <c r="S6" i="46"/>
  <c r="T6" s="1"/>
  <c r="V6" s="1"/>
  <c r="S7"/>
  <c r="T7" s="1"/>
  <c r="V7" s="1"/>
  <c r="S4"/>
  <c r="T4" s="1"/>
  <c r="V4" s="1"/>
  <c r="S5"/>
  <c r="T5" s="1"/>
  <c r="V5" s="1"/>
  <c r="S2"/>
  <c r="T2" s="1"/>
  <c r="V2" s="1"/>
  <c r="S3"/>
  <c r="T3" s="1"/>
  <c r="V3" s="1"/>
  <c r="C34" i="44"/>
  <c r="U7" i="37"/>
  <c r="AB7"/>
  <c r="T42" s="1"/>
  <c r="G42" s="1"/>
  <c r="S12" i="40"/>
  <c r="S12" i="39"/>
  <c r="E6" i="3"/>
  <c r="Q69" i="44"/>
  <c r="L58"/>
  <c r="L61" s="1"/>
  <c r="D113" i="46"/>
  <c r="J22" s="1"/>
  <c r="W12" i="39"/>
  <c r="U12" i="40"/>
  <c r="E4" i="67"/>
  <c r="E41" i="36"/>
  <c r="F41" s="1"/>
  <c r="I47" i="37"/>
  <c r="J47" s="1"/>
  <c r="G47"/>
  <c r="H47" s="1"/>
  <c r="E53" i="33"/>
  <c r="F53" s="1"/>
  <c r="I53"/>
  <c r="J53" s="1"/>
  <c r="L27" i="6"/>
  <c r="E38" i="35"/>
  <c r="I43" s="1"/>
  <c r="J43" s="1"/>
  <c r="I41" i="36"/>
  <c r="J41" s="1"/>
  <c r="R37"/>
  <c r="C26" i="46"/>
  <c r="C26" i="43"/>
  <c r="D24" s="1"/>
  <c r="C32" i="12"/>
  <c r="D30" s="1"/>
  <c r="D33"/>
  <c r="M14" i="1"/>
  <c r="K16"/>
  <c r="M20" i="6"/>
  <c r="I20" s="1"/>
  <c r="S20" s="1"/>
  <c r="S7" i="1"/>
  <c r="K27" i="6"/>
  <c r="M19"/>
  <c r="S6" i="1"/>
  <c r="M21" i="6"/>
  <c r="I21" s="1"/>
  <c r="S21" s="1"/>
  <c r="S8" i="1"/>
  <c r="M22" i="6"/>
  <c r="I22" s="1"/>
  <c r="S22" s="1"/>
  <c r="S9" i="1"/>
  <c r="E3" i="6"/>
  <c r="AY6" i="3"/>
  <c r="R43" i="37"/>
  <c r="C27" i="46"/>
  <c r="R50" i="34"/>
  <c r="C50" s="1"/>
  <c r="B3" s="1"/>
  <c r="E49"/>
  <c r="C39" i="35"/>
  <c r="B3" s="1"/>
  <c r="B2" s="1"/>
  <c r="AC7" i="21"/>
  <c r="V48" s="1"/>
  <c r="I48" s="1"/>
  <c r="W7"/>
  <c r="U7"/>
  <c r="AB7"/>
  <c r="T48" s="1"/>
  <c r="G48" s="1"/>
  <c r="S7"/>
  <c r="AA7"/>
  <c r="R48" s="1"/>
  <c r="F72" i="39"/>
  <c r="G70"/>
  <c r="F67" i="40"/>
  <c r="G65"/>
  <c r="J24" i="15"/>
  <c r="C32"/>
  <c r="C38"/>
  <c r="J20" i="44"/>
  <c r="J26"/>
  <c r="B3" i="11"/>
  <c r="E7" i="67"/>
  <c r="C19" i="44"/>
  <c r="C17" i="69"/>
  <c r="C17" i="15"/>
  <c r="B2" i="34" l="1"/>
  <c r="F10" i="12" s="1"/>
  <c r="F8"/>
  <c r="S24" i="31"/>
  <c r="R28"/>
  <c r="S28" s="1"/>
  <c r="R27"/>
  <c r="S27" s="1"/>
  <c r="R26"/>
  <c r="S26" s="1"/>
  <c r="R25"/>
  <c r="S25" s="1"/>
  <c r="G46" i="37"/>
  <c r="H46" s="1"/>
  <c r="E47"/>
  <c r="F47" s="1"/>
  <c r="L47" i="44"/>
  <c r="Q59"/>
  <c r="Q68"/>
  <c r="E3" i="67"/>
  <c r="B2" i="46"/>
  <c r="D4" s="1"/>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D16" i="12"/>
  <c r="C21" i="4"/>
  <c r="O5" i="54" s="1"/>
  <c r="B45" i="63" s="1"/>
  <c r="E6" i="6"/>
  <c r="D10" i="11"/>
  <c r="L38" i="9"/>
  <c r="B14" i="66" s="1"/>
  <c r="B1" s="1"/>
  <c r="O14" i="1"/>
  <c r="M16"/>
  <c r="T7"/>
  <c r="C43" i="37"/>
  <c r="B3" s="1"/>
  <c r="B2" s="1"/>
  <c r="C42"/>
  <c r="C49" i="34"/>
  <c r="E54"/>
  <c r="F54" s="1"/>
  <c r="I54"/>
  <c r="J54" s="1"/>
  <c r="E53"/>
  <c r="F53" s="1"/>
  <c r="I52" i="21"/>
  <c r="J52" s="1"/>
  <c r="E48"/>
  <c r="R49"/>
  <c r="G52"/>
  <c r="H52" s="1"/>
  <c r="G53"/>
  <c r="H53" s="1"/>
  <c r="G67" i="40"/>
  <c r="H65"/>
  <c r="G72" i="39"/>
  <c r="H70"/>
  <c r="B7" i="67"/>
  <c r="S22" i="31" l="1"/>
  <c r="L57" i="69"/>
  <c r="L60" s="1"/>
  <c r="Q67" s="1"/>
  <c r="E68" i="39"/>
  <c r="E63" i="40"/>
  <c r="B2" i="67"/>
  <c r="B4" i="46"/>
  <c r="B3"/>
  <c r="T10" i="1"/>
  <c r="T9"/>
  <c r="T6"/>
  <c r="T11"/>
  <c r="T8"/>
  <c r="T12"/>
  <c r="O16"/>
  <c r="P14"/>
  <c r="P16" s="1"/>
  <c r="C13" i="12" s="1"/>
  <c r="C13" i="43"/>
  <c r="L16" i="1"/>
  <c r="N16"/>
  <c r="C29" i="43" s="1"/>
  <c r="D22" i="12"/>
  <c r="C22" s="1"/>
  <c r="C20" s="1"/>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R9" i="1" s="1"/>
  <c r="D20" i="6"/>
  <c r="D15"/>
  <c r="D8"/>
  <c r="H26"/>
  <c r="H23"/>
  <c r="B4" i="11"/>
  <c r="B5"/>
  <c r="E53" i="21"/>
  <c r="F53" s="1"/>
  <c r="E52"/>
  <c r="F52" s="1"/>
  <c r="C48"/>
  <c r="C49"/>
  <c r="B3" s="1"/>
  <c r="I53"/>
  <c r="J53" s="1"/>
  <c r="I70" i="39"/>
  <c r="H72"/>
  <c r="I65" i="40"/>
  <c r="H67"/>
  <c r="M21" i="69"/>
  <c r="F35"/>
  <c r="C14"/>
  <c r="C16" i="44"/>
  <c r="C14" i="15"/>
  <c r="C15" i="69" l="1"/>
  <c r="C18"/>
  <c r="C34"/>
  <c r="F62"/>
  <c r="C61" s="1"/>
  <c r="J20"/>
  <c r="B2" i="21"/>
  <c r="C10" i="12" s="1"/>
  <c r="C8"/>
  <c r="E10"/>
  <c r="R22" i="31"/>
  <c r="B20"/>
  <c r="Q58" i="69"/>
  <c r="L46"/>
  <c r="C18" i="15"/>
  <c r="C15"/>
  <c r="C20" i="44"/>
  <c r="C17"/>
  <c r="B3" i="67"/>
  <c r="B4"/>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F35"/>
  <c r="M23" i="44"/>
  <c r="M21" i="15"/>
  <c r="F37" i="44"/>
  <c r="C19" i="69" l="1"/>
  <c r="C20" s="1"/>
  <c r="C26" s="1"/>
  <c r="B21" i="31"/>
  <c r="E8" i="12"/>
  <c r="C21" i="44"/>
  <c r="C22" s="1"/>
  <c r="C25" s="1"/>
  <c r="C19" i="15"/>
  <c r="J20"/>
  <c r="C36" i="44"/>
  <c r="C34" i="15"/>
  <c r="F62"/>
  <c r="C61" s="1"/>
  <c r="J22" i="44"/>
  <c r="C20" i="15"/>
  <c r="C23" s="1"/>
  <c r="C18" i="12"/>
  <c r="R16" i="1"/>
  <c r="D31" i="6"/>
  <c r="I6" s="1"/>
  <c r="R27"/>
  <c r="C18" i="43"/>
  <c r="K70" i="39"/>
  <c r="J72"/>
  <c r="K65" i="40"/>
  <c r="J67"/>
  <c r="C65" i="15"/>
  <c r="C59"/>
  <c r="C23" i="69" l="1"/>
  <c r="C29" s="1"/>
  <c r="C28" i="44"/>
  <c r="C31" s="1"/>
  <c r="C35" s="1"/>
  <c r="I5" i="6"/>
  <c r="C26" i="15"/>
  <c r="C29" s="1"/>
  <c r="J59" s="1"/>
  <c r="J60" s="1"/>
  <c r="Q49" s="1"/>
  <c r="C23" i="12"/>
  <c r="C19" i="43"/>
  <c r="C22" s="1"/>
  <c r="C21" s="1"/>
  <c r="K67" i="40"/>
  <c r="L65"/>
  <c r="K72" i="39"/>
  <c r="L70"/>
  <c r="C56" i="69" l="1"/>
  <c r="C13"/>
  <c r="J19"/>
  <c r="J17" s="1"/>
  <c r="Q50"/>
  <c r="J14"/>
  <c r="C33"/>
  <c r="C31" s="1"/>
  <c r="C36"/>
  <c r="C33" i="44"/>
  <c r="J21"/>
  <c r="J19" s="1"/>
  <c r="Q51"/>
  <c r="C15"/>
  <c r="C38"/>
  <c r="J16"/>
  <c r="J15" s="1"/>
  <c r="J25" s="1"/>
  <c r="J19" i="15"/>
  <c r="J17" s="1"/>
  <c r="J14"/>
  <c r="J22" s="1"/>
  <c r="C56"/>
  <c r="C63" s="1"/>
  <c r="Q50"/>
  <c r="C13"/>
  <c r="J35" s="1"/>
  <c r="C36"/>
  <c r="C25" i="43"/>
  <c r="C24" s="1"/>
  <c r="C28" s="1"/>
  <c r="C30" s="1"/>
  <c r="L72" i="39"/>
  <c r="M70"/>
  <c r="M65" i="40"/>
  <c r="L67"/>
  <c r="C33" i="15"/>
  <c r="J22" i="69" l="1"/>
  <c r="J13"/>
  <c r="J23" s="1"/>
  <c r="C60"/>
  <c r="C58" s="1"/>
  <c r="C57" s="1"/>
  <c r="C66" s="1"/>
  <c r="C67" s="1"/>
  <c r="C70" s="1"/>
  <c r="C63"/>
  <c r="J16"/>
  <c r="J25" s="1"/>
  <c r="C55"/>
  <c r="C64" s="1"/>
  <c r="Q71"/>
  <c r="C37"/>
  <c r="J35"/>
  <c r="C30"/>
  <c r="C39" s="1"/>
  <c r="J24" i="44"/>
  <c r="J18" s="1"/>
  <c r="J27" s="1"/>
  <c r="J28" s="1"/>
  <c r="J31" s="1"/>
  <c r="Q67" s="1"/>
  <c r="Q77" s="1"/>
  <c r="C31" i="15"/>
  <c r="C43" i="44"/>
  <c r="Q72"/>
  <c r="C39"/>
  <c r="C32" s="1"/>
  <c r="C42" s="1"/>
  <c r="Q71" s="1"/>
  <c r="C55" i="15"/>
  <c r="C64" s="1"/>
  <c r="C37"/>
  <c r="J13"/>
  <c r="J23" s="1"/>
  <c r="J16" s="1"/>
  <c r="J25" s="1"/>
  <c r="J26" s="1"/>
  <c r="J29" s="1"/>
  <c r="Q71"/>
  <c r="C32" i="43"/>
  <c r="B2" s="1"/>
  <c r="N70" i="39"/>
  <c r="N72" s="1"/>
  <c r="M72"/>
  <c r="N65" i="40"/>
  <c r="N67" s="1"/>
  <c r="M67"/>
  <c r="C60" i="15"/>
  <c r="L51" i="69"/>
  <c r="Q68" l="1"/>
  <c r="C40"/>
  <c r="Q70"/>
  <c r="Q69" s="1"/>
  <c r="J39"/>
  <c r="J40" s="1"/>
  <c r="C44" i="44"/>
  <c r="C45" s="1"/>
  <c r="B2" s="1"/>
  <c r="B4" s="1"/>
  <c r="C30" i="15"/>
  <c r="C39" s="1"/>
  <c r="C58"/>
  <c r="Q70" i="44"/>
  <c r="Q49"/>
  <c r="Q55" s="1"/>
  <c r="Q58"/>
  <c r="Q64" s="1"/>
  <c r="C57" i="15"/>
  <c r="C66" s="1"/>
  <c r="C67" s="1"/>
  <c r="C70" s="1"/>
  <c r="Q70"/>
  <c r="Q69" s="1"/>
  <c r="B3" i="43"/>
  <c r="B5"/>
  <c r="B4"/>
  <c r="J9" i="40"/>
  <c r="F9"/>
  <c r="H9"/>
  <c r="J9" i="39"/>
  <c r="H9"/>
  <c r="F9"/>
  <c r="C46" i="69" l="1"/>
  <c r="Q57"/>
  <c r="Q63" s="1"/>
  <c r="C43"/>
  <c r="Q66"/>
  <c r="Q76" s="1"/>
  <c r="Q48"/>
  <c r="Q54" s="1"/>
  <c r="B2"/>
  <c r="B3" s="1"/>
  <c r="J42"/>
  <c r="J43" s="1"/>
  <c r="C40" i="15"/>
  <c r="Q48" s="1"/>
  <c r="Q54" s="1"/>
  <c r="J39"/>
  <c r="J40" s="1"/>
  <c r="B5" i="44"/>
  <c r="B3"/>
  <c r="S9" i="39"/>
  <c r="AA9"/>
  <c r="R49" s="1"/>
  <c r="W9"/>
  <c r="AC9"/>
  <c r="V49" s="1"/>
  <c r="I49" s="1"/>
  <c r="AA9" i="40"/>
  <c r="R44" s="1"/>
  <c r="S9"/>
  <c r="U9" i="39"/>
  <c r="AB9"/>
  <c r="T49" s="1"/>
  <c r="G49" s="1"/>
  <c r="AB9" i="40"/>
  <c r="T44" s="1"/>
  <c r="G44" s="1"/>
  <c r="U9"/>
  <c r="AC9"/>
  <c r="V44" s="1"/>
  <c r="I44" s="1"/>
  <c r="W9"/>
  <c r="L51" i="15"/>
  <c r="C46" l="1"/>
  <c r="Q66"/>
  <c r="L57"/>
  <c r="L60" s="1"/>
  <c r="Q67" s="1"/>
  <c r="Q68"/>
  <c r="Q57"/>
  <c r="C43"/>
  <c r="J42"/>
  <c r="J43" s="1"/>
  <c r="I48" i="40"/>
  <c r="J48" s="1"/>
  <c r="G48"/>
  <c r="H48" s="1"/>
  <c r="G49"/>
  <c r="H49" s="1"/>
  <c r="E44"/>
  <c r="R45"/>
  <c r="G53" i="39"/>
  <c r="H53" s="1"/>
  <c r="G54"/>
  <c r="H54" s="1"/>
  <c r="I53"/>
  <c r="J53" s="1"/>
  <c r="E49"/>
  <c r="R50"/>
  <c r="L46" i="15" l="1"/>
  <c r="B2" s="1"/>
  <c r="Q76"/>
  <c r="Q58"/>
  <c r="Q63" s="1"/>
  <c r="E54" i="39"/>
  <c r="F54" s="1"/>
  <c r="E53"/>
  <c r="F53" s="1"/>
  <c r="E48" i="40"/>
  <c r="F48" s="1"/>
  <c r="E49"/>
  <c r="F49" s="1"/>
  <c r="C50" i="39"/>
  <c r="C49"/>
  <c r="I54"/>
  <c r="J54" s="1"/>
  <c r="C45" i="40"/>
  <c r="C44"/>
  <c r="I49"/>
  <c r="J49" s="1"/>
  <c r="B3" i="15" l="1"/>
  <c r="D10" i="12"/>
  <c r="C6" s="1"/>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C29" i="12" l="1"/>
  <c r="C24"/>
  <c r="F68" i="39"/>
  <c r="B2" s="1"/>
  <c r="F63" i="40"/>
  <c r="B2" s="1"/>
  <c r="C19" i="9"/>
  <c r="C28" i="12" l="1"/>
  <c r="C26" s="1"/>
  <c r="C31" s="1"/>
  <c r="C30" s="1"/>
  <c r="C35"/>
  <c r="C33" s="1"/>
  <c r="L43" i="9"/>
  <c r="B3" i="40"/>
  <c r="B4"/>
  <c r="B5"/>
  <c r="B3" i="39"/>
  <c r="B4"/>
  <c r="B5"/>
  <c r="C20" i="9"/>
  <c r="C21"/>
  <c r="C36" i="12" l="1"/>
  <c r="B2" s="1"/>
  <c r="B4" s="1"/>
  <c r="C45" i="9"/>
  <c r="H14" i="66" s="1"/>
  <c r="B7" s="1"/>
  <c r="D21" i="9"/>
  <c r="D19"/>
  <c r="B5" i="12" l="1"/>
  <c r="B3"/>
  <c r="L44" i="9"/>
  <c r="D22"/>
  <c r="G19"/>
  <c r="G21"/>
  <c r="D7" i="66"/>
  <c r="C7"/>
  <c r="D20" i="9"/>
  <c r="G20" l="1"/>
  <c r="C32"/>
  <c r="N43"/>
  <c r="G22"/>
  <c r="D45"/>
  <c r="E45"/>
  <c r="O40"/>
  <c r="F45"/>
  <c r="C42" l="1"/>
  <c r="C34"/>
  <c r="O43"/>
  <c r="O38"/>
  <c r="C33"/>
  <c r="C35"/>
  <c r="F42" s="1"/>
  <c r="K31"/>
  <c r="K32" s="1"/>
  <c r="R7" i="54"/>
  <c r="B52" i="63" s="1"/>
  <c r="D42" i="9" l="1"/>
  <c r="Q5" i="54" s="1"/>
  <c r="B47" i="63" s="1"/>
  <c r="N38" i="9"/>
  <c r="K28" s="1"/>
  <c r="C44"/>
  <c r="R5" i="54"/>
  <c r="B48" i="63" s="1"/>
  <c r="D63" i="9"/>
  <c r="D14" i="66"/>
  <c r="N68" i="9"/>
  <c r="K25"/>
  <c r="K26"/>
  <c r="E42"/>
  <c r="P5" i="54" s="1"/>
  <c r="B46" i="63" s="1"/>
  <c r="M38" i="9"/>
  <c r="K27" s="1"/>
  <c r="C111" l="1"/>
  <c r="C104" s="1"/>
  <c r="C103"/>
  <c r="C90"/>
  <c r="D70"/>
  <c r="C82"/>
  <c r="C81" s="1"/>
  <c r="C85" s="1"/>
  <c r="C86" s="1"/>
  <c r="D72" s="1"/>
  <c r="C96"/>
  <c r="C91" s="1"/>
  <c r="D71"/>
  <c r="D66" s="1"/>
  <c r="N72" s="1"/>
  <c r="D77"/>
  <c r="N75" s="1"/>
  <c r="G14" i="66"/>
  <c r="B6" s="1"/>
  <c r="O39" i="9"/>
  <c r="E44"/>
  <c r="N69"/>
  <c r="D44"/>
  <c r="F44"/>
  <c r="F14" i="66"/>
  <c r="B5"/>
  <c r="E14"/>
  <c r="C97" i="9" l="1"/>
  <c r="C98" s="1"/>
  <c r="E98" s="1"/>
  <c r="E99" s="1"/>
  <c r="C6" i="66"/>
  <c r="D6"/>
  <c r="C5"/>
  <c r="D5"/>
  <c r="M84" i="9"/>
  <c r="N84" s="1"/>
  <c r="M87"/>
  <c r="N87" s="1"/>
  <c r="M83"/>
  <c r="N83" s="1"/>
  <c r="M86"/>
  <c r="N86" s="1"/>
  <c r="M88"/>
  <c r="N88" s="1"/>
  <c r="M85"/>
  <c r="N85" s="1"/>
  <c r="K29"/>
  <c r="K30" s="1"/>
  <c r="R6" i="54"/>
  <c r="B50" i="63" s="1"/>
  <c r="C113" i="9"/>
  <c r="N76"/>
  <c r="C99" l="1"/>
  <c r="N89"/>
  <c r="O89" s="1"/>
  <c r="C114"/>
  <c r="E114" s="1"/>
  <c r="E115" s="1"/>
  <c r="C115" l="1"/>
  <c r="D76" s="1"/>
  <c r="D74" s="1"/>
  <c r="N74" s="1"/>
  <c r="O77" s="1"/>
  <c r="O78" s="1"/>
  <c r="Q77" l="1"/>
  <c r="O79"/>
  <c r="C46" l="1"/>
  <c r="O80"/>
  <c r="O81"/>
  <c r="K33" l="1"/>
  <c r="K34" s="1"/>
  <c r="F46"/>
  <c r="I14" i="66"/>
  <c r="B8" s="1"/>
  <c r="D46" i="9"/>
  <c r="O41"/>
  <c r="R8" i="54" s="1"/>
  <c r="B54" i="63" s="1"/>
  <c r="E46" i="9"/>
  <c r="C8" i="66" l="1"/>
  <c r="D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<sst xmlns="http://schemas.openxmlformats.org/spreadsheetml/2006/main" count="7688" uniqueCount="3185">
  <si>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</si>
  <si>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</si>
  <si>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</si>
  <si>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</si>
  <si>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</si>
  <si>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</si>
  <si>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</si>
  <si>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</si>
  <si>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</si>
  <si>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</si>
  <si>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</si>
  <si>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</si>
  <si>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</si>
  <si>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</si>
  <si>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</si>
  <si>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</si>
  <si>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</si>
  <si>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</si>
  <si>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</si>
  <si>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</si>
  <si>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</si>
  <si>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</si>
  <si>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</si>
  <si>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</si>
  <si>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</si>
  <si>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</si>
  <si>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</si>
  <si>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</si>
  <si>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</si>
  <si>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</si>
  <si>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</si>
  <si>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</si>
  <si>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</si>
  <si>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</si>
  <si>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</si>
  <si>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</si>
  <si>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</si>
  <si>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</si>
  <si>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</si>
  <si>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</si>
  <si>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</si>
  <si>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</si>
  <si>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</si>
  <si>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</si>
  <si>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</si>
  <si>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</si>
  <si>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</si>
  <si>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</si>
  <si>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</si>
  <si>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</si>
  <si>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</si>
  <si>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</si>
  <si>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</si>
  <si>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</si>
  <si>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</si>
  <si>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</si>
  <si>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</si>
  <si>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</si>
  <si>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</si>
  <si>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</si>
  <si>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</si>
  <si>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</si>
  <si>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</si>
  <si>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</si>
  <si>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</si>
  <si>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</si>
  <si>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</si>
  <si>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</si>
  <si>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</si>
  <si>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</si>
  <si>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</si>
  <si>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</si>
  <si>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</si>
  <si>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</si>
  <si>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</si>
  <si>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</si>
  <si>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</si>
  <si>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</si>
  <si>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</si>
  <si>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</si>
  <si>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</si>
  <si>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</si>
  <si>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</si>
  <si>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</si>
  <si>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</si>
  <si>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</si>
  <si>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</si>
  <si>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</si>
  <si>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</si>
  <si>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</si>
  <si>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</si>
  <si>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</si>
  <si>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</si>
  <si>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</si>
  <si>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</si>
  <si>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</si>
  <si>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</si>
  <si>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</si>
  <si>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</si>
  <si>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</si>
  <si>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</si>
  <si>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</si>
  <si>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</si>
  <si>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</si>
  <si>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</si>
  <si>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</si>
  <si>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</si>
  <si>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</si>
  <si>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</si>
  <si>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</si>
  <si>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</si>
  <si>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</si>
  <si>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</si>
  <si>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</si>
  <si>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</si>
  <si>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</si>
  <si>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</si>
  <si>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</si>
  <si>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</si>
  <si>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</si>
  <si>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</si>
  <si>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</si>
  <si>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</si>
  <si>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</si>
  <si>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</si>
  <si>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</si>
  <si>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</si>
  <si>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</si>
  <si>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</si>
  <si>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</si>
  <si>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</si>
  <si>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</si>
  <si>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</si>
  <si>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</si>
  <si>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</si>
  <si>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</si>
  <si>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</si>
  <si>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</si>
  <si>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</si>
  <si>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</si>
  <si>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</si>
  <si>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</si>
  <si>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</si>
  <si>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</si>
  <si>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</si>
  <si>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</si>
  <si>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</si>
  <si>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</si>
  <si>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</si>
  <si>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</si>
  <si>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</si>
  <si>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</si>
  <si>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</si>
  <si>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</si>
  <si>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</si>
  <si>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</si>
  <si>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</si>
  <si>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</si>
  <si>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</si>
  <si>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</si>
  <si>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</si>
  <si>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</si>
  <si>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</si>
  <si>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</si>
  <si>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</si>
  <si>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</si>
  <si>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</si>
  <si>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</si>
  <si>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</si>
  <si>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</si>
  <si>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</si>
  <si>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</si>
  <si>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</si>
  <si>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</si>
  <si>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</si>
  <si>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</si>
  <si>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</si>
  <si>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</si>
  <si>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</si>
  <si>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</si>
  <si>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</si>
  <si>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</si>
  <si>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</si>
  <si>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</si>
  <si>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</si>
  <si>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</si>
  <si>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</si>
  <si>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</si>
  <si>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</si>
  <si>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</si>
  <si>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</si>
  <si>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</si>
  <si>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</si>
  <si>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</si>
  <si>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</si>
  <si>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</si>
  <si>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</si>
  <si>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</si>
  <si>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</si>
  <si>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</si>
  <si>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</si>
  <si>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</si>
  <si>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</si>
  <si>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</si>
  <si>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</si>
  <si>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</si>
  <si>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</si>
  <si>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</si>
  <si>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</si>
  <si>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</si>
  <si>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</si>
  <si>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</si>
  <si>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</si>
  <si>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</si>
  <si>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</si>
  <si>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</si>
  <si>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</si>
  <si>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</si>
  <si>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</si>
  <si>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</si>
  <si>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</si>
  <si>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</si>
  <si>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</si>
  <si>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</si>
  <si>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</si>
  <si>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</si>
  <si>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</si>
  <si>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</si>
  <si>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</si>
  <si>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</si>
  <si>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</si>
  <si>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</si>
  <si>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</si>
  <si>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</si>
  <si>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</si>
  <si>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</si>
  <si>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</si>
  <si>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</si>
  <si>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</si>
  <si>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</si>
  <si>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</si>
  <si>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</si>
  <si>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</si>
  <si>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</si>
  <si>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</si>
  <si>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</si>
  <si>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</si>
  <si>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</si>
  <si>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</si>
  <si>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</si>
  <si>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</si>
  <si>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</si>
  <si>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</si>
  <si>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</si>
  <si>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</si>
  <si>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</si>
  <si>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</si>
  <si>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</si>
  <si>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</si>
  <si>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</si>
  <si>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</si>
  <si>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</si>
  <si>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</si>
  <si>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</si>
  <si>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</si>
  <si>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</si>
  <si>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</si>
  <si>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</si>
  <si>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</si>
  <si>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</si>
  <si>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</si>
  <si>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</si>
  <si>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</si>
  <si>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</si>
  <si>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</si>
  <si>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</si>
  <si>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</si>
  <si>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</si>
  <si>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</si>
  <si>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</si>
  <si>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</si>
  <si>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</si>
  <si>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</si>
  <si>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</si>
  <si>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</si>
  <si>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</si>
  <si>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</si>
  <si>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</si>
  <si>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</si>
  <si>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</si>
  <si>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</si>
  <si>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</si>
  <si>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</si>
  <si>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</si>
  <si>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</si>
  <si>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</si>
  <si>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</si>
  <si>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</si>
  <si>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</si>
  <si>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</si>
  <si>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</si>
  <si>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</si>
  <si>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</si>
  <si>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</si>
  <si>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</si>
  <si>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</si>
  <si>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</si>
  <si>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</si>
  <si>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</si>
  <si>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</si>
  <si>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</si>
  <si>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</si>
  <si>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</si>
  <si>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</si>
  <si>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</si>
  <si>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</si>
  <si>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</si>
  <si>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</si>
  <si>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</si>
  <si>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</si>
  <si>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</si>
  <si>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</si>
  <si>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</si>
  <si>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</si>
  <si>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</si>
  <si>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</si>
  <si>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</si>
  <si>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</si>
  <si>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</si>
  <si>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</si>
  <si>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</si>
  <si>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</si>
  <si>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</si>
  <si>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</si>
  <si>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</si>
  <si>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</si>
  <si>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</si>
  <si>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</si>
  <si>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</si>
  <si>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</si>
  <si>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</si>
  <si>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</si>
  <si>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</si>
  <si>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</si>
  <si>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</si>
  <si>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</si>
  <si>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</si>
  <si>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</si>
  <si>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</si>
  <si>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</si>
  <si>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</si>
  <si>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</si>
  <si>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</si>
  <si>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</si>
  <si>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</si>
  <si>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</si>
  <si>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</si>
  <si>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</si>
  <si>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</si>
  <si>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</si>
  <si>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</si>
  <si>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</si>
  <si>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</si>
  <si>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</si>
  <si>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</si>
  <si>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</si>
  <si>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</si>
  <si>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</si>
  <si>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</si>
  <si>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</si>
  <si>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</si>
  <si>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</si>
  <si>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</si>
  <si>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</si>
  <si>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</si>
  <si>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</si>
  <si>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</si>
  <si>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</si>
  <si>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</si>
  <si>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</si>
  <si>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</si>
  <si>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</si>
  <si>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</si>
  <si>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</si>
  <si>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</si>
  <si>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</si>
  <si>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</si>
  <si>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</si>
  <si>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</si>
  <si>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</si>
  <si>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</si>
  <si>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</si>
  <si>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</si>
  <si>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</si>
  <si>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</si>
  <si>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</si>
  <si>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</si>
  <si>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</si>
  <si>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</si>
  <si>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</si>
  <si>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</si>
  <si>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</si>
  <si>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</si>
  <si>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</si>
  <si>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</si>
  <si>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</si>
  <si>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</si>
  <si>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</si>
  <si>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</si>
  <si>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</si>
  <si>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</si>
  <si>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</si>
  <si>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</si>
  <si>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</si>
  <si>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</si>
  <si>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</si>
  <si>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</si>
  <si>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</si>
  <si>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</si>
  <si>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</si>
  <si>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</si>
  <si>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</si>
  <si>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</si>
  <si>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</si>
  <si>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</si>
  <si>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</si>
  <si>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</si>
  <si>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</si>
  <si>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</si>
  <si>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</si>
  <si>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</si>
  <si>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</si>
  <si>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</si>
  <si>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</si>
  <si>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</si>
  <si>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</si>
  <si>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</si>
  <si>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</si>
  <si>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</si>
  <si>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</si>
  <si>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</si>
  <si>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</si>
  <si>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</si>
  <si>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</si>
  <si>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</si>
  <si>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</si>
  <si>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</si>
  <si>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</si>
  <si>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</si>
  <si>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</si>
  <si>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</si>
  <si>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</si>
  <si>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</si>
  <si>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</si>
  <si>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</si>
  <si>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</si>
  <si>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</si>
  <si>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</si>
  <si>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</si>
  <si>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</si>
  <si>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</si>
  <si>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</si>
  <si>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</si>
  <si>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</si>
  <si>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</si>
  <si>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</si>
  <si>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</si>
  <si>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</si>
  <si>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</si>
  <si>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</si>
  <si>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</si>
  <si>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</si>
  <si>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</si>
  <si>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</si>
  <si>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</si>
  <si>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</si>
  <si>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</si>
  <si>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</si>
  <si>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</si>
  <si>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</si>
  <si>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</si>
  <si>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</si>
  <si>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</si>
  <si>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</si>
  <si>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</si>
  <si>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</si>
  <si>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</si>
  <si>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</si>
  <si>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</si>
  <si>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</si>
  <si>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</si>
  <si>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</si>
  <si>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</si>
  <si>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</si>
  <si>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</si>
  <si>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</si>
  <si>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</si>
  <si>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</si>
  <si>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</si>
  <si>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</si>
  <si>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</si>
  <si>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</si>
  <si>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</si>
  <si>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</si>
  <si>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</si>
  <si>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</si>
  <si>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</si>
  <si>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</si>
  <si>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</si>
  <si>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</si>
  <si>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</si>
  <si>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</si>
  <si>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</si>
  <si>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</si>
  <si>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</si>
  <si>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</si>
  <si>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</si>
  <si>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</si>
  <si>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</si>
  <si>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</si>
  <si>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</si>
  <si>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</si>
  <si>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</si>
  <si>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</si>
  <si>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</si>
  <si>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</si>
  <si>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</si>
  <si>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</si>
  <si>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</si>
  <si>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</si>
  <si>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</si>
  <si>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</si>
  <si>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</si>
  <si>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</si>
  <si>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</si>
  <si>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</si>
  <si>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</si>
  <si>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</si>
  <si>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</si>
  <si>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</si>
  <si>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</si>
  <si>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</si>
  <si>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</si>
  <si>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</si>
  <si>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</si>
  <si>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</si>
  <si>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</si>
  <si>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</si>
  <si>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</si>
  <si>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</si>
  <si>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</si>
  <si>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</si>
  <si>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</si>
  <si>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</si>
  <si>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</si>
  <si>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</si>
  <si>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</si>
  <si>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</si>
  <si>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</si>
  <si>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</si>
  <si>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</si>
  <si>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</si>
  <si>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</si>
  <si>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</si>
  <si>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</si>
  <si>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</si>
  <si>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</si>
  <si>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</si>
  <si>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</si>
  <si>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</si>
  <si>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</si>
  <si>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</si>
  <si>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</si>
  <si>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</si>
  <si>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</si>
  <si>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</si>
  <si>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</si>
  <si>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</si>
  <si>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</si>
  <si>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</si>
  <si>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</si>
  <si>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</si>
  <si>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</si>
  <si>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</si>
  <si>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</si>
  <si>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</si>
  <si>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</si>
  <si>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</si>
  <si>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</si>
  <si>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</si>
  <si>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</si>
  <si>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</si>
  <si>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</si>
  <si>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</si>
  <si>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</si>
  <si>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</si>
  <si>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</si>
  <si>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</si>
  <si>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</si>
  <si>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</si>
  <si>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</si>
  <si>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</si>
  <si>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</si>
  <si>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</si>
  <si>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</si>
  <si>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</si>
  <si>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</si>
  <si>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</si>
  <si>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</si>
  <si>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</si>
  <si>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</si>
  <si>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</si>
  <si>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</si>
  <si>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</si>
  <si>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</si>
  <si>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</si>
  <si>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</si>
  <si>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</si>
  <si>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</si>
  <si>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</si>
  <si>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</si>
  <si>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</si>
  <si>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</si>
  <si>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</si>
  <si>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</si>
  <si>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</si>
  <si>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</si>
  <si>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</si>
  <si>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</si>
  <si>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</si>
  <si>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</si>
  <si>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</si>
  <si>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</si>
  <si>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</si>
  <si>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</si>
  <si>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</si>
  <si>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</si>
  <si>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</si>
  <si>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</si>
  <si>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</si>
  <si>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</si>
  <si>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</si>
  <si>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</si>
  <si>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</si>
  <si>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</si>
  <si>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</si>
  <si>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</si>
  <si>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</si>
  <si>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</si>
  <si>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</si>
  <si>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</si>
  <si>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</si>
  <si>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</si>
  <si>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</si>
  <si>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</si>
  <si>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</si>
  <si>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</si>
  <si>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</si>
  <si>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</si>
  <si>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</si>
  <si>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</si>
  <si>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</si>
  <si>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</si>
  <si>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</si>
  <si>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</si>
  <si>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</si>
  <si>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</si>
  <si>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</si>
  <si>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</si>
  <si>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</si>
  <si>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</si>
  <si>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</si>
  <si>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</si>
  <si>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</si>
  <si>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</si>
  <si>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</si>
  <si>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</si>
  <si>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</si>
  <si>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</si>
  <si>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</si>
  <si>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</si>
  <si>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</si>
  <si>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</si>
  <si>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</si>
  <si>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</si>
  <si>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</si>
  <si>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</si>
  <si>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</si>
  <si>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</si>
  <si>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</si>
  <si>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</si>
  <si>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</si>
  <si>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</si>
  <si>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</si>
  <si>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</si>
  <si>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</si>
  <si>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</si>
  <si>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</si>
  <si>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</si>
  <si>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</si>
  <si>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</si>
  <si>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</si>
  <si>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</si>
  <si>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</si>
  <si>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</si>
  <si>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</si>
  <si>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</si>
  <si>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</si>
  <si>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</si>
  <si>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</si>
  <si>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</si>
  <si>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</si>
  <si>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</si>
  <si>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</si>
  <si>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</si>
  <si>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</si>
  <si>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</si>
  <si>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</si>
  <si>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</si>
  <si>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</si>
  <si>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</si>
  <si>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</si>
  <si>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</si>
  <si>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</si>
  <si>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</si>
  <si>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</si>
  <si>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</si>
  <si>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</si>
  <si>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</si>
  <si>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</si>
  <si>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</si>
  <si>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</si>
  <si>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</si>
  <si>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</si>
  <si>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</si>
  <si>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</si>
  <si>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</si>
  <si>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</si>
  <si>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</si>
  <si>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</si>
  <si>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</si>
  <si>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</si>
  <si>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</si>
  <si>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</si>
  <si>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</si>
  <si>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</si>
  <si>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</si>
  <si>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</si>
  <si>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</si>
  <si>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</si>
  <si>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</si>
  <si>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</si>
  <si>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</si>
  <si>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</si>
  <si>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</si>
  <si>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</si>
  <si>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</si>
  <si>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</si>
  <si>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</si>
  <si>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</si>
  <si>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</si>
  <si>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</si>
  <si>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</si>
  <si>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</si>
  <si>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</si>
  <si>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</si>
  <si>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</si>
  <si>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</si>
  <si>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</si>
  <si>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</si>
  <si>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</si>
  <si>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</si>
  <si>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</si>
  <si>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</si>
  <si>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</si>
  <si>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</si>
  <si>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</si>
  <si>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</si>
  <si>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</si>
  <si>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</si>
  <si>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</si>
  <si>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</si>
  <si>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</si>
  <si>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</si>
  <si>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</si>
  <si>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</si>
  <si>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</si>
  <si>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</si>
  <si>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</si>
  <si>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</si>
  <si>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</si>
  <si>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</si>
  <si>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</si>
  <si>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</si>
  <si>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</si>
  <si>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</si>
  <si>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</si>
  <si>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</si>
  <si>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</si>
  <si>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</si>
  <si>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</si>
  <si>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</si>
  <si>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</si>
  <si>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</si>
  <si>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</si>
  <si>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</si>
  <si>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</si>
  <si>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</si>
  <si>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</si>
  <si>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</si>
  <si>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</si>
  <si>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</si>
  <si>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</si>
  <si>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</si>
  <si>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</si>
  <si>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</si>
  <si>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</si>
  <si>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</si>
  <si>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</si>
  <si>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</si>
  <si>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</si>
  <si>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</si>
  <si>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</si>
  <si>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</si>
  <si>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</si>
  <si>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</si>
  <si>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</si>
  <si>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</si>
  <si>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</si>
  <si>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</si>
  <si>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</si>
  <si>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</si>
  <si>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</si>
  <si>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</si>
  <si>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</si>
  <si>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</si>
  <si>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</si>
  <si>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</si>
  <si>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</si>
  <si>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</si>
  <si>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</si>
  <si>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</si>
  <si>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</si>
  <si>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</si>
  <si>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</si>
  <si>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</si>
  <si>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</si>
  <si>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</si>
  <si>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</si>
  <si>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</si>
  <si>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</si>
  <si>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</si>
  <si>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</si>
  <si>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</si>
  <si>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</si>
  <si>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</si>
  <si>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</si>
  <si>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</si>
  <si>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</si>
  <si>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</si>
  <si>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</si>
  <si>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</si>
  <si>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</si>
  <si>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</si>
  <si>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</si>
  <si>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</si>
  <si>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</si>
  <si>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</si>
  <si>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</si>
  <si>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</si>
  <si>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</si>
  <si>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</si>
  <si>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</si>
  <si>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</si>
  <si>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</si>
  <si>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</si>
  <si>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</si>
  <si>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</si>
  <si>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</si>
  <si>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</si>
  <si>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</si>
  <si>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</si>
  <si>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</si>
  <si>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</si>
  <si>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</si>
  <si>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</si>
  <si>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</si>
  <si>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</si>
  <si>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</si>
  <si>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</si>
  <si>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</si>
  <si>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</si>
  <si>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</si>
  <si>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</si>
  <si>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</si>
  <si>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</si>
  <si>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</si>
  <si>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</si>
  <si>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</si>
  <si>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</si>
  <si>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</si>
  <si>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</si>
  <si>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</si>
  <si>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</si>
  <si>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</si>
  <si>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</si>
  <si>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</si>
  <si>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</si>
  <si>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</si>
  <si>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</si>
  <si>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</si>
  <si>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</si>
  <si>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</si>
  <si>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</si>
  <si>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</si>
  <si>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</si>
  <si>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</si>
  <si>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</si>
  <si>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</si>
  <si>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</si>
  <si>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</si>
  <si>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</si>
  <si>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</si>
  <si>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</si>
  <si>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</si>
  <si>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</si>
  <si>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</si>
  <si>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</si>
  <si>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</si>
  <si>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</si>
  <si>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</si>
  <si>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</si>
  <si>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</si>
  <si>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</si>
  <si>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</si>
  <si>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</si>
  <si>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</si>
  <si>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</si>
  <si>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</si>
  <si>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</si>
  <si>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</si>
  <si>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</si>
  <si>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</si>
  <si>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</si>
  <si>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</si>
  <si>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</si>
  <si>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</si>
  <si>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</si>
  <si>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</si>
  <si>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</si>
  <si>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</si>
  <si>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</si>
  <si>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</si>
  <si>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</si>
  <si>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</si>
  <si>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</si>
  <si>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</si>
  <si>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</si>
  <si>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</si>
  <si>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</si>
  <si>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</si>
  <si>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</si>
  <si>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</si>
  <si>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</si>
  <si>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</si>
  <si>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</si>
  <si>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</si>
  <si>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</si>
  <si>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</si>
  <si>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</si>
  <si>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</si>
  <si>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</si>
  <si>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</si>
  <si>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</si>
  <si>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</si>
  <si>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</si>
  <si>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</si>
  <si>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</si>
  <si>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</si>
  <si>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</si>
  <si>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</si>
  <si>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</si>
  <si>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</si>
  <si>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</si>
  <si>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</si>
  <si>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</si>
  <si>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</si>
  <si>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</si>
  <si>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</si>
  <si>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</si>
  <si>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</si>
  <si>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</si>
  <si>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</si>
  <si>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</si>
  <si>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</si>
  <si>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</si>
  <si>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</si>
  <si>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</si>
  <si>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</si>
  <si>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</si>
  <si>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</si>
  <si>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</si>
  <si>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</si>
  <si>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</si>
  <si>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</si>
  <si>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</si>
  <si>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</si>
  <si>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</si>
  <si>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</si>
  <si>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</si>
  <si>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</si>
  <si>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</si>
  <si>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</si>
  <si>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</si>
  <si>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</si>
  <si>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</si>
  <si>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</si>
  <si>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</si>
  <si>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</si>
  <si>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</si>
  <si>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</si>
  <si>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</si>
  <si>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</si>
  <si>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</si>
  <si>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</si>
  <si>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</si>
  <si>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</si>
  <si>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</si>
  <si>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</si>
  <si>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</si>
  <si>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</si>
  <si>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</si>
  <si>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</si>
  <si>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</si>
  <si>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</si>
  <si>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</si>
  <si>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</si>
  <si>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</si>
  <si>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</si>
  <si>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</si>
  <si>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</si>
  <si>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</si>
  <si>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</si>
  <si>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</si>
  <si>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</si>
  <si>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</si>
  <si>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</si>
  <si>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</si>
  <si>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</si>
  <si>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</si>
  <si>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</si>
  <si>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</si>
  <si>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</si>
  <si>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</si>
  <si>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</si>
  <si>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</si>
  <si>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</si>
  <si>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</si>
  <si>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</si>
  <si>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</si>
  <si>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</si>
  <si>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</si>
  <si>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</si>
  <si>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</si>
  <si>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</si>
  <si>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</si>
  <si>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</si>
  <si>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</si>
  <si>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</si>
  <si>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</si>
  <si>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</si>
  <si>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</si>
  <si>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</si>
  <si>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</si>
  <si>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</si>
  <si>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</si>
  <si>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</si>
  <si>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</si>
  <si>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</si>
  <si>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</si>
  <si>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</si>
  <si>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</si>
  <si>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</si>
  <si>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</si>
  <si>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</si>
  <si>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</si>
  <si>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</si>
  <si>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</si>
  <si>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</si>
  <si>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</si>
  <si>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</si>
  <si>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</si>
  <si>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</si>
  <si>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</si>
  <si>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</si>
  <si>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</si>
  <si>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</si>
  <si>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</si>
  <si>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</si>
  <si>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</si>
  <si>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</si>
  <si>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</si>
  <si>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</si>
  <si>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</si>
  <si>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</si>
  <si>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</si>
  <si>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</si>
  <si>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</si>
  <si>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</si>
  <si>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</si>
  <si>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</si>
  <si>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</si>
  <si>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</si>
  <si>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</si>
  <si>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</si>
  <si>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</si>
  <si>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</si>
  <si>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</si>
  <si>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</si>
  <si>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</si>
  <si>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</si>
  <si>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</si>
  <si>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</si>
  <si>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</si>
  <si>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</si>
  <si>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</si>
  <si>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</si>
  <si>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</si>
  <si>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</si>
  <si>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</si>
  <si>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</si>
  <si>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</si>
  <si>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</si>
  <si>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</si>
  <si>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</si>
  <si>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</si>
  <si>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</si>
  <si>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</si>
  <si>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</si>
  <si>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</si>
  <si>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</si>
  <si>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</si>
  <si>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</si>
  <si>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</si>
  <si>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</si>
  <si>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</si>
  <si>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</si>
  <si>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</si>
  <si>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</si>
  <si>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</si>
  <si>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</si>
  <si>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</si>
  <si>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</si>
  <si>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</si>
  <si>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</si>
  <si>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</si>
  <si>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</si>
  <si>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</si>
  <si>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</si>
  <si>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</si>
  <si>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</si>
  <si>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</si>
  <si>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</si>
  <si>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</si>
  <si>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</si>
  <si>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</si>
  <si>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</si>
  <si>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</si>
  <si>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</si>
  <si>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</si>
  <si>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</si>
  <si>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</si>
  <si>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</si>
  <si>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</si>
  <si>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</si>
  <si>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</si>
  <si>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</si>
  <si>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</si>
  <si>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</si>
  <si>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</si>
  <si>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</si>
  <si>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</si>
  <si>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</si>
  <si>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</si>
  <si>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</si>
  <si>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</si>
  <si>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</si>
  <si>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</si>
  <si>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</si>
  <si>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</si>
  <si>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</si>
  <si>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</si>
  <si>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</si>
  <si>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</si>
  <si>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</si>
  <si>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</si>
  <si>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</si>
  <si>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</si>
  <si>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</si>
  <si>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</si>
  <si>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</si>
  <si>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</si>
  <si>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</si>
  <si>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</si>
  <si>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</si>
  <si>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</si>
  <si>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</si>
  <si>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</si>
  <si>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</si>
  <si>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</si>
  <si>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</si>
  <si>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</si>
  <si>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</si>
  <si>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</si>
  <si>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</si>
  <si>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</si>
  <si>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</si>
  <si>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</si>
  <si>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</si>
  <si>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</si>
  <si>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</si>
  <si>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</si>
  <si>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</si>
  <si>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</si>
  <si>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</si>
  <si>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</si>
  <si>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</si>
  <si>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</si>
  <si>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</si>
  <si>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</si>
  <si>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</si>
  <si>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</si>
  <si>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</si>
  <si>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</si>
  <si>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</si>
  <si>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</si>
  <si>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</si>
  <si>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</si>
  <si>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</si>
  <si>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</si>
  <si>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</si>
  <si>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</si>
  <si>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</si>
  <si>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</si>
  <si>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</si>
  <si>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</si>
  <si>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</si>
  <si>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</si>
  <si>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</si>
  <si>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</si>
  <si>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</si>
  <si>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</si>
  <si>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</si>
  <si>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</si>
  <si>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</si>
  <si>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</si>
  <si>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</si>
  <si>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</si>
  <si>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</si>
  <si>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</si>
  <si>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</si>
  <si>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</si>
  <si>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</si>
  <si>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</si>
  <si>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</si>
  <si>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</si>
  <si>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</si>
  <si>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</si>
  <si>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</si>
  <si>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</si>
  <si>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</si>
  <si>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</si>
  <si>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</si>
  <si>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</si>
  <si>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</si>
  <si>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</si>
  <si>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</si>
  <si>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</si>
  <si>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</si>
  <si>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</si>
  <si>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</si>
  <si>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</si>
  <si>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</si>
  <si>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</si>
  <si>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</si>
  <si>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</si>
  <si>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</si>
  <si>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</si>
  <si>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</si>
  <si>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</si>
  <si>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</si>
  <si>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</si>
  <si>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</si>
  <si>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</si>
  <si>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</si>
  <si>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</si>
  <si>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</si>
  <si>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</si>
  <si>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</si>
  <si>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</si>
  <si>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</si>
  <si>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</si>
  <si>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</si>
  <si>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</si>
  <si>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</si>
  <si>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</si>
  <si>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</si>
  <si>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</si>
  <si>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</si>
  <si>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</si>
  <si>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</si>
  <si>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</si>
  <si>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</si>
  <si>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</si>
  <si>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</si>
  <si>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</si>
  <si>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</si>
  <si>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</si>
  <si>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</si>
  <si>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</si>
  <si>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</si>
  <si>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</si>
  <si>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</si>
  <si>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</si>
  <si>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</si>
  <si>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</si>
  <si>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</si>
  <si>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</si>
  <si>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</si>
  <si>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</si>
  <si>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</si>
  <si>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</si>
  <si>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</si>
  <si>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</si>
  <si>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</si>
  <si>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</si>
  <si>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</si>
  <si>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</si>
  <si>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</si>
  <si>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</si>
  <si>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</si>
  <si>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</si>
  <si>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</si>
  <si>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</si>
  <si>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</si>
  <si>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</si>
  <si>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</si>
  <si>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</si>
  <si>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</si>
  <si>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</si>
  <si>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</si>
  <si>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</si>
  <si>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</si>
  <si>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</si>
  <si>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</si>
  <si>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</si>
  <si>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</si>
  <si>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</si>
  <si>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</si>
  <si>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</si>
  <si>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</si>
  <si>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</si>
  <si>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</si>
  <si>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</si>
  <si>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</si>
  <si>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</si>
  <si>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</si>
  <si>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</si>
  <si>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</si>
  <si>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</si>
  <si>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</si>
  <si>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</si>
  <si>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</si>
  <si>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</si>
  <si>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</si>
  <si>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</si>
  <si>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</si>
  <si>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</si>
  <si>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</si>
  <si>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</si>
  <si>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</si>
  <si>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</si>
  <si>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</si>
  <si>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</si>
  <si>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</si>
  <si>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</si>
  <si>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</si>
  <si>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</si>
  <si>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</si>
  <si>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</si>
  <si>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</si>
  <si>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</si>
  <si>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</si>
  <si>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</si>
  <si>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</si>
  <si>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</si>
  <si>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</si>
  <si>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</si>
  <si>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</si>
  <si>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</si>
  <si>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</si>
  <si>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</si>
  <si>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</si>
  <si>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</si>
  <si>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</si>
  <si>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</si>
  <si>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</si>
  <si>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</si>
  <si>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</si>
  <si>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</si>
  <si>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</si>
  <si>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</si>
  <si>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</si>
  <si>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</si>
  <si>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</si>
  <si>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</si>
  <si>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</si>
  <si>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</si>
  <si>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</si>
  <si>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</si>
  <si>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</si>
  <si>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</si>
  <si>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</si>
  <si>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</si>
  <si>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</si>
  <si>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</si>
  <si>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</si>
  <si>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</si>
  <si>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</si>
  <si>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</si>
  <si>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</si>
  <si>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</si>
  <si>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</si>
  <si>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</si>
  <si>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</si>
  <si>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</si>
  <si>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</si>
  <si>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</si>
  <si>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</si>
  <si>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</si>
  <si>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</si>
  <si>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</si>
  <si>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</si>
  <si>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</si>
  <si>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</si>
  <si>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</si>
  <si>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</si>
  <si>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</si>
  <si>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</si>
  <si>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</si>
  <si>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</si>
  <si>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</si>
  <si>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</si>
  <si>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</si>
  <si>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</si>
  <si>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</si>
  <si>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</si>
  <si>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</si>
  <si>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</si>
  <si>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</si>
  <si>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</si>
  <si>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</si>
  <si>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</si>
  <si>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</si>
  <si>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</si>
  <si>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</si>
  <si>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</si>
  <si>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</si>
  <si>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</si>
  <si>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</si>
  <si>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</si>
  <si>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</si>
  <si>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</si>
  <si>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</si>
  <si>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</si>
  <si>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</si>
  <si>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</si>
  <si>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</si>
  <si>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</si>
  <si>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</si>
  <si>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</si>
  <si>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</si>
  <si>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</si>
  <si>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</si>
  <si>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</si>
  <si>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</si>
  <si>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</si>
  <si>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</si>
  <si>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</si>
  <si>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</si>
  <si>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</si>
  <si>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</si>
  <si>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</si>
  <si>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</si>
  <si>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</si>
  <si>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</si>
  <si>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</si>
  <si>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</si>
  <si>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</si>
  <si>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</si>
  <si>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</si>
  <si>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</si>
  <si>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</si>
  <si>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</si>
  <si>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</si>
  <si>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</si>
  <si>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</si>
  <si>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</si>
  <si>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</si>
  <si>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</si>
  <si>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</si>
  <si>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</si>
  <si>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</si>
  <si>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</si>
  <si>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</si>
  <si>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</si>
  <si>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</si>
  <si>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</si>
  <si>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</si>
  <si>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</si>
  <si>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</si>
  <si>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</si>
  <si>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</si>
  <si>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</si>
  <si>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</si>
  <si>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</si>
  <si>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</si>
  <si>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</si>
  <si>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</si>
  <si>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</si>
  <si>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</si>
  <si>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</si>
  <si>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</si>
  <si>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</si>
  <si>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</si>
  <si>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</si>
  <si>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</si>
  <si>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</si>
  <si>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</si>
  <si>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</si>
  <si>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</si>
  <si>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</si>
  <si>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</si>
  <si>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</si>
  <si>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</si>
  <si>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</si>
  <si>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</si>
  <si>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</si>
  <si>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</si>
  <si>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</si>
  <si>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</si>
  <si>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</si>
  <si>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</si>
  <si>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</si>
  <si>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</si>
  <si>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</si>
  <si>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</si>
  <si>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</si>
  <si>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</si>
  <si>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</si>
  <si>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</si>
  <si>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</si>
  <si>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</si>
  <si>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</si>
  <si>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</si>
  <si>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</si>
  <si>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</si>
  <si>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</si>
  <si>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</si>
  <si>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</si>
  <si>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</si>
  <si>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</si>
  <si>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</si>
  <si>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</si>
  <si>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</si>
  <si>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</si>
  <si>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</si>
  <si>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</si>
  <si>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</si>
  <si>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</si>
  <si>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</si>
  <si>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</si>
  <si>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</si>
  <si>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</si>
  <si>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</si>
  <si>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</si>
  <si>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</si>
  <si>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</si>
  <si>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</si>
  <si>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</si>
  <si>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</si>
  <si>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</si>
  <si>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</si>
  <si>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</si>
  <si>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</si>
  <si>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</si>
  <si>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</si>
  <si>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</si>
  <si>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</si>
  <si>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</si>
  <si>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</si>
  <si>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</si>
  <si>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</si>
  <si>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</si>
  <si>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</si>
  <si>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</si>
  <si>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</si>
  <si>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</si>
  <si>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</si>
  <si>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</si>
  <si>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</si>
  <si>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</si>
  <si>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</si>
  <si>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</si>
  <si>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</si>
  <si>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</si>
  <si>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</si>
  <si>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</si>
  <si>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</si>
  <si>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</si>
  <si>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</si>
  <si>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</si>
  <si>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</si>
  <si>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</si>
  <si>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</si>
  <si>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</si>
  <si>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</si>
  <si>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</si>
  <si>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</si>
  <si>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</si>
  <si>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</si>
  <si>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</si>
  <si>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</si>
  <si>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</si>
  <si>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</si>
  <si>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</si>
  <si>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</si>
  <si>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</si>
  <si>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</si>
  <si>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</si>
  <si>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</si>
  <si>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</si>
  <si>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</si>
  <si>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</si>
  <si>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</si>
  <si>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</si>
  <si>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</si>
  <si>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</si>
  <si>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</si>
  <si>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</si>
  <si>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</si>
  <si>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</si>
  <si>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</si>
  <si>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</si>
  <si>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</si>
  <si>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</si>
  <si>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</si>
  <si>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</si>
  <si>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</si>
  <si>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</si>
  <si>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</si>
  <si>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</si>
  <si>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</si>
  <si>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</si>
  <si>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</si>
  <si>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</si>
  <si>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</si>
  <si>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</si>
  <si>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</si>
  <si>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</si>
  <si>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</si>
  <si>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</si>
  <si>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</si>
  <si>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</si>
  <si>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</si>
  <si>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</si>
  <si>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</si>
  <si>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</si>
  <si>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</si>
  <si>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</si>
  <si>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</si>
  <si>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</si>
  <si>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</si>
  <si>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</si>
  <si>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</si>
  <si>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</si>
  <si>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</si>
  <si>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</si>
  <si>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</si>
  <si>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</si>
  <si>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</si>
  <si>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</si>
  <si>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</si>
  <si>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</si>
  <si>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</si>
  <si>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</si>
  <si>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</si>
  <si>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</si>
  <si>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</si>
  <si>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</si>
  <si>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</si>
  <si>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</si>
  <si>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</si>
  <si>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</si>
  <si>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</si>
  <si>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</si>
  <si>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</si>
  <si>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</si>
  <si>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</si>
  <si>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</si>
  <si>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</si>
  <si>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</si>
  <si>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</si>
  <si>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</si>
  <si>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</si>
  <si>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</si>
  <si>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</si>
  <si>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</si>
  <si>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</si>
  <si>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</si>
  <si>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</si>
  <si>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</si>
  <si>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</si>
  <si>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</si>
  <si>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</si>
  <si>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</si>
  <si>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</si>
  <si>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</si>
  <si>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</si>
  <si>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</si>
  <si>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</si>
  <si>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</si>
  <si>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</si>
  <si>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</si>
  <si>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</si>
  <si>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</si>
  <si>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</si>
  <si>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</si>
  <si>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</si>
  <si>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</si>
  <si>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</si>
  <si>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</si>
  <si>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</si>
  <si>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</si>
  <si>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</si>
  <si>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</si>
  <si>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</si>
  <si>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</si>
  <si>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</si>
  <si>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</si>
  <si>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</si>
  <si>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</si>
  <si>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</si>
  <si>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</si>
  <si>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</si>
  <si>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</si>
  <si>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</si>
  <si>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</si>
  <si>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</si>
  <si>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</si>
  <si>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</si>
  <si>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</si>
  <si>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</si>
  <si>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</si>
  <si>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</si>
  <si>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</si>
  <si>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</si>
  <si>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</si>
  <si>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</si>
  <si>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</si>
  <si>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</si>
  <si>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</si>
  <si>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</si>
  <si>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</si>
  <si>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</si>
  <si>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</si>
  <si>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</si>
  <si>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</si>
  <si>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</si>
  <si>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</si>
  <si>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</si>
  <si>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</si>
  <si>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</si>
  <si>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</si>
  <si>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</si>
  <si>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</si>
  <si>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</si>
  <si>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</si>
  <si>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</si>
  <si>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</si>
  <si>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</si>
  <si>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</si>
  <si>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</si>
  <si>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</si>
  <si>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</si>
  <si>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</si>
  <si>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</si>
  <si>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</si>
  <si>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</si>
  <si>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</si>
  <si>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</si>
  <si>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</si>
  <si>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</si>
  <si>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</si>
  <si>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</si>
  <si>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</si>
  <si>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</si>
  <si>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</si>
  <si>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</si>
  <si>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</si>
  <si>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</si>
  <si>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</si>
  <si>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</si>
  <si>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</si>
  <si>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</si>
  <si>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</si>
  <si>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</si>
  <si>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</si>
  <si>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</si>
  <si>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</si>
  <si>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</si>
  <si>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</si>
  <si>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</si>
  <si>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</si>
  <si>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</si>
  <si>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</si>
  <si>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</si>
  <si>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</si>
  <si>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</si>
  <si>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</si>
  <si>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</si>
  <si>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</si>
  <si>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</si>
  <si>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</si>
  <si>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</si>
  <si>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</si>
  <si>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</si>
  <si>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</si>
  <si>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</si>
  <si>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</si>
  <si>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</si>
  <si>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</si>
  <si>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</si>
  <si>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</si>
  <si>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</si>
  <si>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</si>
  <si>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</si>
  <si>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</si>
  <si>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</si>
  <si>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</si>
  <si>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</si>
  <si>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</si>
  <si>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</si>
  <si>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</si>
  <si>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</si>
  <si>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</si>
  <si>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</si>
  <si>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</si>
  <si>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</si>
  <si>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</si>
  <si>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</si>
  <si>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</si>
  <si>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</si>
  <si>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</si>
  <si>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</si>
  <si>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</si>
  <si>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</si>
  <si>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</si>
  <si>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</si>
  <si>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</si>
  <si>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</si>
  <si>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</si>
  <si>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</si>
  <si>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</si>
  <si>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</si>
  <si>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</si>
  <si>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</si>
  <si>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</si>
  <si>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</si>
  <si>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</si>
  <si>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</si>
  <si>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</si>
  <si>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</si>
  <si>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</si>
  <si>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</si>
  <si>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</si>
  <si>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</si>
  <si>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</si>
  <si>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</si>
  <si>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</si>
  <si>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</si>
  <si>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</si>
  <si>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</si>
  <si>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</si>
  <si>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</si>
  <si>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</si>
  <si>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</si>
  <si>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</si>
  <si>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</si>
  <si>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</si>
  <si>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</si>
  <si>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</si>
  <si>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</si>
  <si>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</si>
  <si>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</si>
  <si>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</si>
  <si>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</si>
  <si>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</si>
  <si>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</si>
  <si>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</si>
  <si>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</si>
  <si>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</si>
  <si>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</si>
  <si>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</si>
  <si>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</si>
  <si>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</si>
  <si>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</si>
  <si>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</si>
  <si>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</si>
  <si>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</si>
  <si>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</si>
  <si>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</si>
  <si>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</si>
  <si>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</si>
  <si>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</si>
  <si>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</si>
  <si>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</si>
  <si>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</si>
  <si>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</si>
  <si>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</si>
  <si>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</si>
  <si>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</si>
  <si>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</si>
  <si>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</si>
  <si>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</si>
  <si>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</si>
  <si>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</si>
  <si>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</si>
  <si>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</si>
  <si>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</si>
  <si>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</si>
  <si>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</si>
  <si>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</si>
  <si>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</si>
  <si>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</si>
  <si>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</si>
  <si>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</si>
  <si>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</si>
  <si>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</si>
  <si>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</si>
  <si>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</si>
  <si>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</si>
  <si>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</si>
  <si>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</si>
  <si>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</si>
  <si>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</si>
  <si>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</si>
  <si>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</si>
  <si>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</si>
  <si>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</si>
  <si>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</si>
  <si>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</si>
  <si>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</si>
  <si>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</si>
  <si>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</si>
  <si>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</si>
  <si>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</si>
  <si>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</si>
  <si>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</si>
  <si>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</si>
  <si>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</si>
  <si>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</si>
  <si>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</si>
  <si>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</si>
  <si>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</si>
  <si>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</si>
  <si>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</si>
  <si>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</si>
  <si>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</si>
  <si>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</si>
  <si>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</si>
  <si>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</si>
  <si>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</si>
  <si>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</si>
  <si>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</si>
  <si>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</si>
  <si>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</si>
  <si>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</si>
  <si>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</si>
  <si>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</si>
  <si>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</si>
  <si>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</si>
  <si>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</si>
  <si>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</si>
  <si>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</si>
  <si>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</si>
  <si>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</si>
  <si>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</si>
  <si>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</si>
  <si>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</si>
  <si>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</si>
  <si>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</si>
  <si>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</si>
  <si>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</si>
  <si>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</si>
  <si>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</si>
  <si>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</si>
  <si>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</si>
  <si>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</si>
  <si>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</si>
  <si>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</si>
  <si>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</si>
  <si>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</si>
  <si>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</si>
  <si>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</si>
  <si>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</si>
  <si>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</si>
  <si>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</si>
  <si>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</si>
  <si>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</si>
  <si>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</si>
  <si>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</si>
  <si>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</si>
  <si>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</si>
  <si>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</si>
  <si>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</si>
  <si>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</si>
  <si>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</si>
  <si>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</si>
  <si>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</si>
  <si>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</si>
  <si>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</si>
  <si>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</si>
  <si>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</si>
  <si>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</si>
  <si>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</si>
  <si>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</si>
  <si>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</si>
  <si>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</si>
  <si>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</si>
  <si>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</si>
  <si>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</si>
  <si>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</si>
  <si>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</si>
  <si>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</si>
  <si>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</si>
  <si>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</si>
  <si>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</si>
  <si>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</si>
  <si>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</si>
  <si>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</si>
  <si>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</si>
  <si>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</si>
  <si>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</si>
  <si>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</si>
  <si>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</si>
  <si>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</si>
  <si>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</si>
  <si>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</si>
  <si>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</si>
  <si>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</si>
  <si>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</si>
  <si>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</si>
  <si>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</si>
  <si>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</si>
  <si>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</si>
  <si>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</si>
  <si>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</si>
  <si>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</si>
  <si>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</si>
  <si>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</si>
  <si>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</si>
  <si>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</si>
  <si>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</si>
  <si>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</si>
  <si>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</si>
  <si>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</si>
  <si>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</si>
  <si>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</si>
  <si>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</si>
  <si>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</si>
  <si>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</si>
  <si>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</si>
  <si>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</si>
  <si>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</si>
  <si>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</si>
  <si>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</si>
  <si>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</si>
  <si>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</si>
  <si>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</si>
  <si>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</si>
  <si>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</si>
  <si>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</si>
  <si>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</si>
  <si>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</si>
  <si>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</si>
  <si>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</si>
  <si>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</si>
  <si>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</si>
  <si>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</si>
  <si>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</si>
  <si>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</si>
  <si>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</si>
  <si>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</si>
  <si>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</si>
  <si>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</si>
  <si>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</si>
  <si>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</si>
  <si>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</si>
  <si>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</si>
  <si>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</si>
  <si>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</si>
  <si>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</si>
  <si>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</si>
  <si>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</si>
  <si>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</si>
  <si>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</si>
  <si>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</si>
  <si>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</si>
  <si>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</si>
  <si>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</si>
  <si>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</si>
  <si>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</si>
  <si>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</si>
  <si>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</si>
  <si>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</si>
  <si>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</si>
  <si>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</si>
  <si>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</si>
  <si>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</si>
  <si>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</si>
  <si>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</si>
  <si>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</si>
  <si>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</si>
  <si>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</si>
  <si>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</si>
  <si>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</si>
  <si>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</si>
  <si>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</si>
  <si>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</si>
  <si>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</si>
  <si>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</si>
  <si>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</si>
  <si>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</si>
  <si>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</si>
  <si>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</si>
  <si>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</si>
  <si>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</si>
  <si>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</si>
  <si>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</si>
  <si>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</si>
  <si>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</si>
  <si>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</si>
  <si>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</si>
  <si>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</si>
  <si>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</si>
  <si>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</si>
  <si>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</si>
  <si>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</si>
  <si>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</si>
  <si>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</si>
  <si>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</si>
  <si>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</si>
  <si>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</si>
  <si>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</si>
  <si>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</si>
  <si>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</si>
  <si>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</si>
  <si>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</si>
  <si>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</si>
  <si>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</si>
  <si>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</si>
  <si>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</si>
  <si>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</si>
  <si>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</si>
  <si>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</si>
  <si>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</si>
  <si>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</si>
  <si>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</si>
  <si>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</si>
  <si>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</si>
  <si>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</si>
  <si>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</si>
  <si>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</si>
  <si>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</si>
  <si>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</si>
  <si>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</si>
  <si>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</si>
  <si>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</si>
  <si>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</si>
  <si>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</si>
  <si>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</si>
  <si>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</si>
  <si>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</si>
  <si>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</si>
  <si>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</si>
  <si>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</si>
  <si>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</si>
  <si>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</si>
  <si>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</si>
  <si>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</si>
  <si>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</si>
  <si>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</si>
  <si>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</si>
  <si>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</si>
  <si>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</si>
  <si>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</si>
  <si>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</si>
  <si>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</si>
  <si>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</si>
  <si>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</si>
  <si>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</si>
  <si>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</si>
  <si>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</si>
  <si>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</si>
  <si>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</si>
  <si>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</si>
  <si>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</si>
  <si>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</si>
  <si>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</si>
  <si>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</si>
  <si>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</si>
  <si>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</si>
  <si>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</si>
  <si>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</si>
  <si>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</si>
  <si>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</si>
  <si>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</si>
  <si>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</si>
  <si>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</si>
  <si>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</si>
  <si>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</si>
  <si>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</si>
  <si>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</si>
  <si>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</si>
  <si>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</si>
  <si>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</si>
  <si>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</si>
  <si>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</si>
  <si>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</si>
  <si>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</si>
  <si>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</si>
  <si>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</si>
  <si>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</si>
  <si>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</si>
  <si>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</si>
  <si>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</si>
  <si>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</si>
  <si>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</si>
  <si>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</si>
  <si>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</si>
  <si>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</si>
  <si>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</si>
  <si>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</si>
  <si>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</si>
  <si>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</si>
  <si>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</si>
  <si>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</si>
  <si>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</si>
  <si>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</si>
  <si>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</si>
  <si>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</si>
  <si>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</si>
  <si>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</si>
  <si>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</si>
  <si>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</si>
  <si>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</si>
  <si>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</si>
  <si>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</si>
  <si>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</si>
  <si>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</si>
  <si>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</si>
  <si>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</si>
  <si>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</si>
  <si>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</si>
  <si>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</si>
  <si>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</si>
  <si>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</si>
  <si>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</si>
  <si>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</si>
  <si>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</si>
  <si>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</si>
  <si>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</si>
  <si>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</si>
  <si>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</si>
  <si>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</si>
  <si>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</si>
  <si>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</si>
  <si>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</si>
  <si>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</si>
  <si>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</si>
  <si>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</si>
  <si>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</si>
  <si>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</si>
  <si>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</si>
  <si>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</si>
  <si>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</si>
  <si>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</si>
  <si>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</si>
  <si>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</si>
  <si>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</si>
  <si>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</si>
  <si>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</si>
  <si>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</si>
  <si>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</si>
  <si>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</si>
  <si>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</si>
  <si>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</si>
  <si>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</si>
  <si>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</si>
  <si>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</si>
  <si>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</si>
  <si>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</si>
  <si>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</si>
  <si>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</si>
  <si>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</si>
  <si>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</si>
  <si>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</si>
  <si>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</si>
  <si>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</si>
  <si>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</si>
  <si>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</si>
  <si>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</si>
  <si>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</si>
  <si>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</si>
  <si>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</si>
  <si>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</si>
  <si>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</si>
  <si>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</si>
  <si>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</si>
  <si>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</si>
  <si>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</si>
  <si>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</si>
  <si>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</si>
  <si>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</si>
  <si>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</si>
  <si>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</si>
  <si>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</si>
  <si>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</si>
  <si>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</si>
  <si>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</si>
  <si>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</si>
  <si>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</si>
  <si>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</si>
  <si>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</si>
  <si>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</si>
  <si>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</si>
  <si>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</si>
  <si>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</si>
  <si>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</si>
  <si>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</si>
  <si>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</si>
  <si>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</si>
  <si>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</si>
  <si>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</si>
  <si>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</si>
  <si>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</si>
  <si>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</si>
  <si>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</si>
  <si>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</si>
  <si>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</si>
  <si>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</si>
  <si>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</si>
  <si>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</si>
  <si>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</si>
  <si>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</si>
  <si>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</si>
  <si>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</si>
  <si>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</si>
  <si>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</si>
  <si>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</si>
  <si>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</si>
  <si>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</si>
  <si>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</si>
  <si>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</si>
  <si>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</si>
  <si>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</si>
  <si>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</si>
  <si>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</si>
  <si>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</si>
  <si>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</si>
  <si>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</si>
  <si>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</si>
  <si>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</si>
  <si>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</si>
  <si>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</si>
  <si>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</si>
  <si>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</si>
  <si>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</si>
  <si>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</si>
  <si>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</si>
  <si>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</si>
  <si>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</si>
  <si>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</si>
  <si>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</si>
  <si>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</si>
  <si>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</si>
  <si>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</si>
  <si>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</si>
  <si>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</si>
  <si>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</si>
  <si>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</si>
  <si>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</si>
  <si>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</si>
  <si>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</si>
  <si>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</si>
  <si>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</si>
  <si>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</si>
  <si>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</si>
  <si>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</si>
  <si>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</si>
  <si>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</si>
  <si>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</si>
  <si>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</si>
  <si>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</si>
  <si>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</si>
  <si>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</si>
  <si>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</si>
  <si>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</si>
  <si>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</si>
  <si>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</si>
  <si>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</si>
  <si>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</si>
  <si>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</si>
  <si>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</si>
  <si>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</si>
  <si>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</si>
  <si>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</si>
  <si>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</si>
  <si>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</si>
  <si>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</si>
  <si>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</si>
  <si>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</si>
  <si>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</si>
  <si>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</si>
  <si>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</si>
  <si>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</si>
  <si>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</si>
  <si>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</si>
  <si>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</si>
  <si>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</si>
  <si>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</si>
  <si>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</si>
  <si>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</si>
  <si>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</si>
  <si>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</si>
  <si>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</si>
  <si>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</si>
  <si>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</si>
  <si>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</si>
  <si>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</si>
  <si>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</si>
  <si>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</si>
  <si>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</si>
  <si>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</si>
  <si>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</si>
  <si>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</si>
  <si>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</si>
  <si>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</si>
  <si>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</si>
  <si>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</si>
  <si>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</si>
  <si>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</si>
  <si>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</si>
  <si>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</si>
  <si>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</si>
  <si>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</si>
  <si>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</si>
  <si>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</si>
  <si>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</si>
  <si>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</si>
  <si>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</si>
  <si>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</si>
  <si>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</si>
  <si>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</si>
  <si>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</si>
  <si>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</si>
  <si>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</si>
  <si>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</si>
  <si>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</si>
  <si>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</si>
  <si>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</si>
  <si>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</si>
  <si>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</si>
  <si>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</si>
  <si>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</si>
  <si>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</si>
  <si>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</si>
  <si>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</si>
  <si>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</si>
  <si>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</si>
  <si>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</si>
  <si>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</si>
  <si>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</si>
  <si>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</si>
  <si>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</si>
  <si>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</si>
  <si>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</si>
  <si>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</si>
  <si>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</si>
  <si>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</si>
  <si>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</si>
  <si>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</si>
  <si>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</si>
  <si>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</si>
  <si>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</si>
  <si>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</si>
  <si>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</si>
  <si>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</si>
  <si>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</si>
  <si>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</si>
  <si>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</si>
  <si>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</si>
  <si>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</si>
  <si>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</si>
  <si>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</si>
  <si>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</si>
  <si>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</si>
  <si>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</si>
  <si>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</si>
  <si>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</si>
  <si>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</si>
  <si>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</si>
  <si>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</si>
  <si>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</si>
  <si>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</si>
  <si>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</si>
  <si>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</si>
  <si>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</si>
  <si>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</si>
  <si>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</si>
  <si>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</si>
  <si>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</si>
  <si>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</si>
  <si>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</si>
  <si>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</si>
  <si>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</si>
  <si>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</si>
  <si>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</si>
  <si>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</si>
  <si>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</si>
  <si>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</si>
  <si>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</si>
  <si>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</si>
  <si>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</si>
  <si>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</si>
  <si>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</si>
  <si>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</si>
  <si>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</si>
  <si>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</si>
  <si>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</si>
  <si>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</si>
  <si>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</si>
  <si>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</si>
  <si>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</si>
  <si>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</si>
  <si>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</si>
  <si>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</si>
  <si>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</si>
  <si>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</si>
  <si>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</si>
  <si>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</si>
  <si>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</si>
  <si>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</si>
  <si>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</si>
  <si>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</si>
  <si>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</si>
  <si>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</si>
  <si>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</si>
  <si>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</si>
  <si>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</si>
  <si>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</si>
  <si>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</si>
  <si>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</si>
  <si>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</si>
  <si>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</si>
  <si>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</si>
  <si>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</si>
  <si>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</si>
  <si>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</si>
  <si>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</si>
  <si>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</si>
  <si>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</si>
  <si>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</si>
  <si>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</si>
  <si>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</si>
  <si>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</si>
  <si>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</si>
  <si>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</si>
  <si>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</si>
  <si>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</si>
  <si>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</si>
  <si>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</si>
  <si>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</si>
  <si>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</si>
  <si>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</si>
  <si>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</si>
  <si>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</si>
  <si>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</si>
  <si>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</si>
  <si>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</si>
  <si>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</si>
  <si>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</si>
  <si>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</si>
  <si>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</si>
  <si>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</si>
  <si>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</si>
  <si>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</si>
  <si>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</si>
  <si>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</si>
  <si>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</si>
  <si>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</si>
  <si>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</si>
  <si>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</si>
  <si>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</si>
  <si>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</si>
  <si>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</si>
  <si>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</si>
  <si>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</si>
  <si>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</si>
  <si>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</si>
  <si>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</si>
  <si>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</si>
  <si>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</si>
  <si>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</si>
  <si>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</si>
  <si>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</si>
  <si>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</si>
  <si>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</si>
  <si>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</si>
  <si>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</si>
  <si>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</si>
  <si>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</si>
  <si>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</si>
  <si>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</si>
  <si>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</si>
  <si>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</si>
  <si>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</si>
  <si>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</si>
  <si>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</si>
  <si>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</si>
  <si>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</si>
  <si>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</si>
  <si>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</si>
  <si>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</si>
  <si>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</si>
  <si>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</si>
  <si>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</si>
  <si>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</si>
  <si>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</si>
  <si>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</si>
  <si>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</si>
  <si>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</si>
  <si>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</si>
  <si>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</si>
  <si>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</si>
  <si>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</si>
  <si>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</si>
  <si>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</si>
  <si>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</si>
  <si>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</si>
  <si>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</si>
  <si>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</si>
  <si>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</si>
  <si>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</si>
  <si>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</si>
  <si>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</si>
  <si>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</si>
  <si>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</si>
  <si>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</si>
  <si>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</si>
  <si>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</si>
  <si>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</si>
  <si>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</si>
  <si>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</si>
  <si>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</si>
  <si>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</si>
  <si>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</si>
  <si>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</si>
  <si>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</si>
  <si>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</si>
  <si>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</si>
  <si>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</si>
  <si>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</si>
  <si>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</si>
  <si>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</si>
  <si>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</si>
  <si>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</si>
  <si>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</si>
  <si>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</si>
  <si>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</si>
  <si>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</si>
  <si>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</si>
  <si>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</si>
  <si>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</si>
  <si>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</si>
  <si>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</si>
  <si>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</si>
  <si>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</si>
  <si>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</si>
  <si>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</si>
  <si>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</si>
  <si>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</si>
  <si>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</si>
  <si>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</si>
  <si>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</si>
  <si>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</si>
  <si>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</si>
  <si>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</si>
  <si>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</si>
  <si>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</si>
  <si>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</si>
  <si>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</si>
  <si>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</si>
  <si>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</si>
  <si>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</si>
  <si>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</si>
  <si>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</si>
  <si>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</si>
  <si>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</si>
  <si>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</si>
  <si>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</si>
  <si>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</si>
  <si>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</si>
  <si>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</si>
  <si>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</si>
  <si>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</si>
  <si>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</si>
  <si>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</si>
  <si>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</si>
  <si>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</si>
  <si>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</si>
  <si>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</si>
  <si>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</si>
  <si>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</si>
  <si>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</si>
  <si>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</si>
  <si>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</si>
  <si>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</si>
  <si>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</si>
  <si>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</si>
  <si>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</si>
  <si>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</si>
  <si>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</si>
  <si>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</si>
  <si>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</si>
  <si>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</si>
  <si>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</si>
  <si>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</si>
  <si>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</si>
  <si>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</si>
  <si>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</si>
  <si>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</si>
  <si>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</si>
  <si>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</si>
  <si>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</si>
  <si>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</si>
  <si>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</si>
  <si>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</si>
  <si>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</si>
  <si>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</si>
  <si>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</si>
  <si>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</si>
  <si>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</si>
  <si>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</si>
  <si>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</si>
  <si>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</si>
  <si>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</si>
  <si>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</si>
  <si>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</si>
  <si>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</si>
  <si>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</si>
  <si>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</si>
  <si>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</si>
  <si>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</si>
  <si>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</si>
  <si>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</si>
  <si>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</si>
  <si>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</si>
  <si>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</si>
  <si>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</si>
  <si>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</si>
  <si>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</si>
  <si>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</si>
  <si>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</si>
  <si>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</si>
  <si>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</si>
  <si>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</si>
  <si>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</si>
  <si>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</si>
  <si>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</si>
  <si>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</si>
  <si>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</si>
  <si>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</si>
  <si>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</si>
  <si>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</si>
  <si>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</si>
  <si>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</si>
  <si>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</si>
  <si>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</si>
  <si>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</si>
  <si>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</si>
  <si>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</si>
  <si>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</si>
  <si>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</si>
  <si>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</si>
  <si>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</si>
  <si>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</si>
  <si>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</si>
  <si>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</si>
  <si>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</si>
  <si>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</si>
  <si>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</si>
  <si>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</si>
  <si>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</si>
  <si>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</si>
  <si>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</si>
  <si>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</si>
  <si>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</si>
  <si>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</si>
  <si>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</si>
  <si>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</si>
  <si>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</si>
  <si>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</si>
  <si>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</si>
  <si>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</si>
  <si>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</si>
  <si>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</si>
  <si>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</si>
  <si>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</si>
  <si>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</si>
  <si>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</si>
  <si>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</si>
  <si>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</si>
  <si>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</si>
  <si>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</si>
  <si>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</si>
  <si>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</si>
  <si>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</si>
  <si>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</si>
  <si>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</si>
  <si>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</si>
  <si>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</si>
  <si>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</si>
  <si>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</si>
  <si>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</si>
  <si>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</si>
  <si>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</si>
  <si>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</si>
  <si>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</si>
  <si>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</si>
  <si>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</si>
  <si>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</si>
  <si>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</si>
  <si>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</si>
  <si>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</si>
  <si>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</si>
  <si>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</si>
  <si>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</si>
  <si>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</si>
  <si>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</si>
  <si>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</si>
  <si>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</si>
  <si>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</si>
  <si>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</si>
  <si>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</si>
  <si>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</si>
  <si>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</si>
  <si>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</si>
  <si>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</si>
  <si>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</si>
  <si>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</si>
  <si>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</si>
  <si>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</si>
  <si>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</si>
  <si>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</si>
  <si>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</si>
  <si>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</si>
  <si>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</si>
  <si>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</si>
  <si>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</si>
  <si>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</si>
  <si>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</si>
  <si>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</si>
  <si>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</si>
  <si>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</si>
  <si>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</si>
  <si>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</si>
  <si>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</si>
  <si>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</si>
  <si>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</si>
  <si>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</si>
  <si>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</si>
  <si>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</si>
  <si>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</si>
  <si>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</si>
  <si>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</si>
  <si>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</si>
  <si>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</si>
  <si>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</si>
  <si>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</si>
  <si>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</si>
  <si>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</si>
  <si>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</si>
  <si>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</si>
  <si>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</si>
  <si>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</si>
  <si>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</si>
  <si>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</si>
  <si>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</si>
  <si>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</si>
  <si>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</si>
  <si>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</si>
  <si>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</si>
  <si>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</si>
  <si>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</si>
  <si>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</si>
  <si>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</si>
  <si>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</si>
  <si>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</si>
  <si>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</si>
  <si>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</si>
  <si>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</si>
  <si>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</si>
  <si>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</si>
  <si>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</si>
  <si>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</si>
  <si>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</si>
  <si>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</si>
  <si>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</si>
  <si>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</si>
  <si>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</si>
  <si>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</si>
  <si>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</si>
  <si>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</si>
  <si>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</si>
  <si>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</si>
  <si>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</si>
  <si>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</si>
  <si>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</si>
  <si>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</si>
  <si>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</si>
  <si>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</si>
  <si>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</si>
  <si>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</si>
  <si>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</si>
  <si>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</si>
  <si>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</si>
  <si>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</si>
  <si>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</si>
  <si>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</si>
  <si>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</si>
  <si>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</si>
  <si>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</si>
  <si>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</si>
  <si>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</si>
  <si>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</si>
  <si>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</si>
  <si>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</si>
  <si>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</si>
  <si>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</si>
  <si>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</si>
  <si>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</si>
  <si>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</si>
  <si>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</si>
  <si>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</si>
  <si>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</si>
  <si>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</si>
  <si>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</si>
  <si>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</si>
  <si>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</si>
  <si>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梁津</t>
  </si>
  <si>
    <t>王鹏</t>
  </si>
  <si>
    <t>中信信托有限责任公司</t>
    <phoneticPr fontId="6" type="noConversion"/>
  </si>
  <si>
    <t>成都人居置业有限公司</t>
    <phoneticPr fontId="6" type="noConversion"/>
  </si>
  <si>
    <t>抵押价格</t>
  </si>
  <si>
    <t>其他：</t>
  </si>
  <si>
    <t>四川省成都市</t>
    <phoneticPr fontId="6" type="noConversion"/>
  </si>
  <si>
    <t>郫都区郫筒镇晨光村三、五社、双喜村一社1宗住宅、商业用途</t>
    <phoneticPr fontId="6" type="noConversion"/>
  </si>
  <si>
    <t>企业</t>
  </si>
  <si>
    <t>住宅、商业</t>
    <phoneticPr fontId="6" type="noConversion"/>
  </si>
  <si>
    <t>《国有建设用地使用权出让合同》及补充协议[电子监管号：5101242017B11266]</t>
    <phoneticPr fontId="6" type="noConversion"/>
  </si>
  <si>
    <t>一致</t>
  </si>
  <si>
    <t>符合</t>
  </si>
  <si>
    <t>出让</t>
  </si>
  <si>
    <t>商业</t>
  </si>
  <si>
    <t>住宅70年，商业39.98年</t>
    <phoneticPr fontId="6" type="noConversion"/>
  </si>
  <si>
    <t>《国有建设用地使用权出让合同》及补充协议[电子监管号：5101242017B11266]、《抵押物清单》</t>
    <phoneticPr fontId="3" type="noConversion"/>
  </si>
  <si>
    <t>《国有建设用地使用权出让合同》及补充协议[电子监管号：5101242017B11266]</t>
    <phoneticPr fontId="3" type="noConversion"/>
  </si>
  <si>
    <t>否</t>
  </si>
  <si>
    <t>市场价格</t>
  </si>
  <si>
    <t>核定资产</t>
  </si>
  <si>
    <t>居住项目</t>
  </si>
  <si>
    <t>无</t>
  </si>
  <si>
    <t>场地平整</t>
  </si>
  <si>
    <t>平整</t>
  </si>
  <si>
    <t>通路</t>
  </si>
  <si>
    <t>通电</t>
  </si>
  <si>
    <t>通讯</t>
  </si>
  <si>
    <t>通上水</t>
  </si>
  <si>
    <t>通下水</t>
  </si>
  <si>
    <t>燃气</t>
  </si>
  <si>
    <t>地上</t>
  </si>
  <si>
    <t>公寓</t>
  </si>
  <si>
    <t>普通住宅</t>
  </si>
  <si>
    <t>底商</t>
  </si>
  <si>
    <t>独栋</t>
  </si>
  <si>
    <t>住宅</t>
    <phoneticPr fontId="7" type="noConversion"/>
  </si>
  <si>
    <t>底商</t>
    <phoneticPr fontId="7" type="noConversion"/>
  </si>
  <si>
    <t>独栋商业</t>
  </si>
  <si>
    <t>独栋商业</t>
    <phoneticPr fontId="7" type="noConversion"/>
  </si>
  <si>
    <t>办公楼</t>
  </si>
  <si>
    <t>办公</t>
    <phoneticPr fontId="7" type="noConversion"/>
  </si>
  <si>
    <t>不动产收益法</t>
  </si>
  <si>
    <t>请录依据文件名称：《关于调整成都市城市基础设施配套费标准的通知》（川发改价格〔2012〕1387号）</t>
    <phoneticPr fontId="3" type="noConversion"/>
  </si>
  <si>
    <t>为推进城市化进程，加大城市建设投入，近日，在调研和测算基础上，并报经省政府常务会议通过，省发展改革委下发了《关于调整成都市基础设施配套费标准的通知》（川发改价格[2012]1387号），对成都市基础设施配套费标准进行了调整。调整后的标准为：成都市中心城区（五城区及成都高新区）220元</t>
  </si>
  <si>
    <t>㎡，二圈层区（市）县140元</t>
  </si>
  <si>
    <t>㎡，三圈层区（市）县120元</t>
  </si>
  <si>
    <t>㎡，其中龙泉驿区、双流县、新津县已纳入天府新区规划范围的区域，城市基础设施配套费征收标准按成都市中心城区（五城区和成都高新区）的标准执行。对天府新区内的工业建设项目的配套费标准暂不调整，仍按160元</t>
  </si>
  <si>
    <t>㎡标准执行。</t>
  </si>
  <si>
    <t>其他省市请录依据文件名称：《郫县人民政府关于调整城镇土地使用税税额标准的通知》（郫府发〔2014〕7 号）</t>
    <phoneticPr fontId="3" type="noConversion"/>
  </si>
  <si>
    <t>楼面地价</t>
  </si>
  <si>
    <t>PD2017-02</t>
    <phoneticPr fontId="3" type="noConversion"/>
  </si>
  <si>
    <t>郫都区郫筒镇街道一里村一社、城关村三社</t>
    <phoneticPr fontId="3" type="noConversion"/>
  </si>
  <si>
    <t>正常</t>
  </si>
  <si>
    <t>二类住宅用地</t>
  </si>
  <si>
    <t>二类住宅用地</t>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</si>
  <si>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</si>
  <si>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</si>
  <si>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</si>
  <si>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</si>
  <si>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</si>
  <si>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</si>
  <si>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规则</t>
  </si>
  <si>
    <t>规则</t>
    <phoneticPr fontId="26" type="noConversion"/>
  </si>
  <si>
    <t>较规则</t>
  </si>
  <si>
    <t>较规则</t>
    <phoneticPr fontId="26" type="noConversion"/>
  </si>
  <si>
    <t>较不规则</t>
    <phoneticPr fontId="26" type="noConversion"/>
  </si>
  <si>
    <t>不规则</t>
    <phoneticPr fontId="26" type="noConversion"/>
  </si>
  <si>
    <t>好</t>
  </si>
  <si>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</si>
  <si>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</si>
  <si>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</si>
  <si>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</si>
  <si>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</si>
  <si>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</si>
  <si>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</si>
  <si>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</si>
  <si>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</si>
  <si>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</si>
  <si>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</si>
  <si>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</si>
  <si>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</si>
  <si>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成都监测指标情况一览表</t>
  </si>
  <si>
    <t>时间</t>
  </si>
  <si>
    <t>水平值</t>
  </si>
  <si>
    <t>环比增长率</t>
  </si>
  <si>
    <t>指数</t>
  </si>
  <si>
    <t>双面临街</t>
  </si>
  <si>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</si>
  <si>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单面临街</t>
  </si>
  <si>
    <t>PD2017-10</t>
    <phoneticPr fontId="3" type="noConversion"/>
  </si>
  <si>
    <t>郫都区红光镇合兴村四、七社，铁门村一社、社区集体</t>
    <phoneticPr fontId="3" type="noConversion"/>
  </si>
  <si>
    <t>PD2017-06</t>
    <phoneticPr fontId="3" type="noConversion"/>
  </si>
  <si>
    <t>郫都区犀浦镇梓潼村3社</t>
    <phoneticPr fontId="3" type="noConversion"/>
  </si>
  <si>
    <t>城镇混合住宅用地</t>
  </si>
  <si>
    <t>城镇混合住宅用地</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</si>
  <si>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</si>
  <si>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项目全部</t>
  </si>
  <si>
    <t>土地</t>
  </si>
  <si>
    <t>比较法-住宅、综合</t>
  </si>
  <si>
    <t>售价</t>
  </si>
  <si>
    <t>住宅</t>
    <phoneticPr fontId="21" type="noConversion"/>
  </si>
  <si>
    <t>60-70（含）</t>
  </si>
  <si>
    <t>五彩城</t>
    <phoneticPr fontId="3" type="noConversion"/>
  </si>
  <si>
    <t>独栋别墅</t>
    <phoneticPr fontId="21" type="noConversion"/>
  </si>
  <si>
    <t>联排别墅</t>
    <phoneticPr fontId="21" type="noConversion"/>
  </si>
  <si>
    <t>普通住宅</t>
    <phoneticPr fontId="21" type="noConversion"/>
  </si>
  <si>
    <t>钢混</t>
  </si>
  <si>
    <t>钢混</t>
    <phoneticPr fontId="21" type="noConversion"/>
  </si>
  <si>
    <t>混合</t>
    <phoneticPr fontId="21" type="noConversion"/>
  </si>
  <si>
    <t>砖</t>
    <phoneticPr fontId="21" type="noConversion"/>
  </si>
  <si>
    <t>高档</t>
    <phoneticPr fontId="21" type="noConversion"/>
  </si>
  <si>
    <t>中档</t>
  </si>
  <si>
    <t>中档</t>
    <phoneticPr fontId="21" type="noConversion"/>
  </si>
  <si>
    <t>低档</t>
    <phoneticPr fontId="21" type="noConversion"/>
  </si>
  <si>
    <t>精装修</t>
  </si>
  <si>
    <t>精装修</t>
    <phoneticPr fontId="21" type="noConversion"/>
  </si>
  <si>
    <t>普通装修</t>
  </si>
  <si>
    <t>普通装修</t>
    <phoneticPr fontId="21" type="noConversion"/>
  </si>
  <si>
    <t>毛坯</t>
  </si>
  <si>
    <t>毛坯</t>
    <phoneticPr fontId="21" type="noConversion"/>
  </si>
  <si>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</si>
  <si>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</si>
  <si>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</si>
  <si>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</si>
  <si>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</si>
  <si>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</si>
  <si>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</si>
  <si>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</si>
  <si>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80-120</t>
    <phoneticPr fontId="21" type="noConversion"/>
  </si>
  <si>
    <t>120-140</t>
    <phoneticPr fontId="21" type="noConversion"/>
  </si>
  <si>
    <t>140-200</t>
    <phoneticPr fontId="21" type="noConversion"/>
  </si>
  <si>
    <t>80-120</t>
    <phoneticPr fontId="21" type="noConversion"/>
  </si>
  <si>
    <t>蜀都新城蜀信东路</t>
    <phoneticPr fontId="3" type="noConversion"/>
  </si>
  <si>
    <t>绿地国际花都</t>
    <phoneticPr fontId="3" type="noConversion"/>
  </si>
  <si>
    <t>郫都区蜀都新城南北大道</t>
    <phoneticPr fontId="3" type="noConversion"/>
  </si>
  <si>
    <t>房屋状态</t>
    <phoneticPr fontId="21" type="noConversion"/>
  </si>
  <si>
    <t>期房</t>
    <phoneticPr fontId="21" type="noConversion"/>
  </si>
  <si>
    <t>现房</t>
    <phoneticPr fontId="21" type="noConversion"/>
  </si>
  <si>
    <t>期房</t>
    <phoneticPr fontId="21" type="noConversion"/>
  </si>
  <si>
    <t>华宇天府花城</t>
    <phoneticPr fontId="3" type="noConversion"/>
  </si>
  <si>
    <t>郫都区郫筒镇南北大道侧</t>
    <phoneticPr fontId="3" type="noConversion"/>
  </si>
  <si>
    <t>押一</t>
  </si>
  <si>
    <t>土地（套用方法）</t>
  </si>
  <si>
    <t>蜀都万达城</t>
    <phoneticPr fontId="3" type="noConversion"/>
  </si>
  <si>
    <t>商业</t>
    <phoneticPr fontId="26" type="noConversion"/>
  </si>
  <si>
    <t>30-40（含）</t>
  </si>
  <si>
    <t>1-2</t>
    <phoneticPr fontId="26" type="noConversion"/>
  </si>
  <si>
    <t>综合体商业</t>
    <phoneticPr fontId="26" type="noConversion"/>
  </si>
  <si>
    <t>商业街商业</t>
  </si>
  <si>
    <t>商业街商业</t>
    <phoneticPr fontId="26" type="noConversion"/>
  </si>
  <si>
    <t>独栋商业楼</t>
  </si>
  <si>
    <t>独栋商业楼</t>
    <phoneticPr fontId="26" type="noConversion"/>
  </si>
  <si>
    <t>底商</t>
    <phoneticPr fontId="26" type="noConversion"/>
  </si>
  <si>
    <t>钢混</t>
    <phoneticPr fontId="26" type="noConversion"/>
  </si>
  <si>
    <t>混合</t>
    <phoneticPr fontId="26" type="noConversion"/>
  </si>
  <si>
    <t>砖</t>
    <phoneticPr fontId="26" type="noConversion"/>
  </si>
  <si>
    <t>精装修</t>
    <phoneticPr fontId="26" type="noConversion"/>
  </si>
  <si>
    <t>普通装修</t>
    <phoneticPr fontId="26" type="noConversion"/>
  </si>
  <si>
    <t>毛坯</t>
    <phoneticPr fontId="26" type="noConversion"/>
  </si>
  <si>
    <t>挑高层高</t>
    <phoneticPr fontId="26" type="noConversion"/>
  </si>
  <si>
    <t>标准层高</t>
  </si>
  <si>
    <t>标准层高</t>
    <phoneticPr fontId="26" type="noConversion"/>
  </si>
  <si>
    <t>0-3000</t>
    <phoneticPr fontId="26" type="noConversion"/>
  </si>
  <si>
    <t>3000-5000</t>
    <phoneticPr fontId="26" type="noConversion"/>
  </si>
  <si>
    <t>5000-10000</t>
    <phoneticPr fontId="26" type="noConversion"/>
  </si>
  <si>
    <t>多面临街</t>
    <phoneticPr fontId="26" type="noConversion"/>
  </si>
  <si>
    <t>双面临街</t>
    <phoneticPr fontId="26" type="noConversion"/>
  </si>
  <si>
    <t>单面临街</t>
    <phoneticPr fontId="26" type="noConversion"/>
  </si>
  <si>
    <t>不临街</t>
    <phoneticPr fontId="26" type="noConversion"/>
  </si>
  <si>
    <t>郫都区望从东路347号</t>
    <phoneticPr fontId="3" type="noConversion"/>
  </si>
  <si>
    <t>龙城国际中心</t>
    <phoneticPr fontId="3" type="noConversion"/>
  </si>
  <si>
    <t>郫都区老成灌路红光广场对面</t>
    <phoneticPr fontId="3" type="noConversion"/>
  </si>
  <si>
    <t>1层</t>
    <phoneticPr fontId="21" type="noConversion"/>
  </si>
  <si>
    <t>2层</t>
  </si>
  <si>
    <t>3层</t>
  </si>
  <si>
    <t>4层</t>
  </si>
  <si>
    <t>5层</t>
  </si>
  <si>
    <t>剩余法-待开发</t>
  </si>
  <si>
    <t>舜苑一里阳光</t>
    <phoneticPr fontId="3" type="noConversion"/>
  </si>
  <si>
    <t>郫都区望从东路308号</t>
    <phoneticPr fontId="3" type="noConversion"/>
  </si>
  <si>
    <t>办公</t>
    <phoneticPr fontId="27" type="noConversion"/>
  </si>
  <si>
    <t>公寓</t>
    <phoneticPr fontId="27" type="noConversion"/>
  </si>
  <si>
    <t>主干道</t>
    <phoneticPr fontId="27" type="noConversion"/>
  </si>
  <si>
    <t>高速路</t>
    <phoneticPr fontId="27" type="noConversion"/>
  </si>
  <si>
    <t>快速路</t>
    <phoneticPr fontId="27" type="noConversion"/>
  </si>
  <si>
    <t>主干道</t>
    <phoneticPr fontId="27" type="noConversion"/>
  </si>
  <si>
    <t>次干道</t>
    <phoneticPr fontId="27" type="noConversion"/>
  </si>
  <si>
    <t>支路</t>
    <phoneticPr fontId="27" type="noConversion"/>
  </si>
  <si>
    <t>钢混</t>
    <phoneticPr fontId="27" type="noConversion"/>
  </si>
  <si>
    <t>混合</t>
    <phoneticPr fontId="27" type="noConversion"/>
  </si>
  <si>
    <t>砖</t>
    <phoneticPr fontId="27" type="noConversion"/>
  </si>
  <si>
    <t>砖</t>
    <phoneticPr fontId="27" type="noConversion"/>
  </si>
  <si>
    <t>精装修</t>
    <phoneticPr fontId="27" type="noConversion"/>
  </si>
  <si>
    <t>普通装修</t>
    <phoneticPr fontId="27" type="noConversion"/>
  </si>
  <si>
    <t>毛坯</t>
    <phoneticPr fontId="27" type="noConversion"/>
  </si>
  <si>
    <t>专业</t>
    <phoneticPr fontId="27" type="noConversion"/>
  </si>
  <si>
    <t>非专业</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</si>
  <si>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</si>
  <si>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</si>
  <si>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</si>
  <si>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</si>
  <si>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</si>
  <si>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挑高层高</t>
    <phoneticPr fontId="27" type="noConversion"/>
  </si>
  <si>
    <t>标准层高</t>
    <phoneticPr fontId="27" type="noConversion"/>
  </si>
  <si>
    <t>出让国有建设用地使用权面积</t>
    <phoneticPr fontId="233" type="noConversion"/>
  </si>
  <si>
    <t>类型</t>
    <phoneticPr fontId="233" type="noConversion"/>
  </si>
  <si>
    <t>规划建筑面积</t>
    <phoneticPr fontId="233" type="noConversion"/>
  </si>
  <si>
    <t>住宅</t>
    <phoneticPr fontId="233" type="noConversion"/>
  </si>
  <si>
    <t>底商</t>
    <phoneticPr fontId="233" type="noConversion"/>
  </si>
  <si>
    <t>独栋商业楼</t>
    <phoneticPr fontId="233" type="noConversion"/>
  </si>
  <si>
    <t>办公（公寓）</t>
    <phoneticPr fontId="233" type="noConversion"/>
  </si>
  <si>
    <t>合计</t>
    <phoneticPr fontId="233" type="noConversion"/>
  </si>
  <si>
    <t>序号</t>
    <phoneticPr fontId="233"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</si>
</sst>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rgb="FF555555"/>
      <name val="微软雅黑"/>
      <family val="2"/>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177" fontId="81" fillId="0" borderId="2" xfId="2" applyNumberFormat="1" applyFont="1" applyFill="1" applyBorder="1" applyAlignment="1" applyProtection="1">
      <alignment vertical="center"/>
      <protection locked="0"/>
    </xf>
    <xf numFmtId="0" fontId="278" fillId="0" borderId="0" xfId="0" applyFont="1">
      <alignment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9" fillId="0" borderId="0" xfId="0" applyFont="1" applyAlignment="1">
      <alignment horizontal="center" vertical="center"/>
    </xf>
    <xf numFmtId="0" fontId="280" fillId="16" borderId="152" xfId="0" applyFont="1" applyFill="1" applyBorder="1" applyAlignment="1">
      <alignment horizontal="center"/>
    </xf>
    <xf numFmtId="0" fontId="280" fillId="16" borderId="153" xfId="0" applyFont="1" applyFill="1" applyBorder="1" applyAlignment="1">
      <alignment horizontal="center"/>
    </xf>
    <xf numFmtId="0" fontId="145" fillId="0" borderId="0" xfId="0" applyFont="1" applyAlignment="1">
      <alignment horizontal="left" vertical="center" wrapText="1"/>
    </xf>
    <xf numFmtId="0" fontId="0" fillId="0" borderId="154" xfId="0" applyBorder="1" applyAlignment="1">
      <alignment horizontal="right" vertical="center" wrapText="1"/>
    </xf>
    <xf numFmtId="0" fontId="145" fillId="0" borderId="154" xfId="0" applyFont="1" applyBorder="1" applyAlignment="1">
      <alignment horizontal="right" vertical="center" wrapText="1"/>
    </xf>
    <xf numFmtId="0" fontId="145" fillId="17" borderId="0" xfId="0" applyFont="1" applyFill="1" applyAlignment="1">
      <alignment horizontal="left" vertical="center" wrapText="1"/>
    </xf>
    <xf numFmtId="0" fontId="0" fillId="17" borderId="154" xfId="0" applyFill="1" applyBorder="1" applyAlignment="1">
      <alignment horizontal="right" vertical="center" wrapText="1"/>
    </xf>
    <xf numFmtId="0" fontId="145" fillId="17" borderId="154" xfId="0" applyFont="1" applyFill="1" applyBorder="1" applyAlignment="1">
      <alignment horizontal="right" vertical="center" wrapText="1"/>
    </xf>
    <xf numFmtId="0" fontId="281" fillId="18" borderId="0" xfId="0" applyFont="1" applyFill="1" applyAlignment="1">
      <alignment horizontal="left" vertical="center" wrapText="1"/>
    </xf>
    <xf numFmtId="0" fontId="281" fillId="18" borderId="154" xfId="0" applyFont="1" applyFill="1" applyBorder="1" applyAlignment="1">
      <alignment horizontal="right" vertical="center" wrapText="1"/>
    </xf>
    <xf numFmtId="0" fontId="81" fillId="0" borderId="59"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0" fontId="228" fillId="0" borderId="74"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49" fontId="80" fillId="0" borderId="64"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144" fillId="0" borderId="8"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45" fillId="0" borderId="2" xfId="0" applyFont="1" applyBorder="1">
      <alignment vertical="center"/>
    </xf>
    <xf numFmtId="0" fontId="0" fillId="0" borderId="2" xfId="0" applyBorder="1">
      <alignment vertical="center"/>
    </xf>
    <xf numFmtId="0" fontId="0" fillId="0" borderId="2" xfId="0" applyBorder="1"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2657</v>
      </c>
      <c r="B1" s="2916" t="s">
        <v>2754</v>
      </c>
    </row>
    <row r="2" spans="1:55" s="2920" customFormat="1" ht="15" thickTop="1">
      <c r="A2" s="2918" t="s">
        <v>2661</v>
      </c>
      <c r="B2" s="2919" t="str">
        <f>'预评函-封皮'!B37</f>
        <v>四川省成都市郫都区郫筒镇晨光村三、五社、双喜村一社1宗住宅、商业用途出让国有建设用地使用权市场价格预评估</v>
      </c>
      <c r="AX2" s="2921"/>
      <c r="AZ2" s="2921"/>
      <c r="BA2" s="2922"/>
      <c r="BC2" s="2922"/>
    </row>
    <row r="3" spans="1:55" s="2923" customFormat="1">
      <c r="A3" s="2902" t="s">
        <v>2662</v>
      </c>
      <c r="B3" s="2905" t="str">
        <f>'预评函-封皮'!B40</f>
        <v>中信信托有限责任公司</v>
      </c>
    </row>
    <row r="4" spans="1:55" s="2904" customFormat="1">
      <c r="A4" s="2902" t="s">
        <v>2663</v>
      </c>
      <c r="B4" s="2903" t="str">
        <f>'预评函-封皮'!B46</f>
        <v>梁津、王鹏</v>
      </c>
      <c r="N4" s="2904" t="str">
        <f>'预评函-1'!A28</f>
        <v>——</v>
      </c>
    </row>
    <row r="5" spans="1:55" s="2917" customFormat="1" ht="15" thickBot="1">
      <c r="A5" s="2924" t="s">
        <v>2664</v>
      </c>
      <c r="B5" s="2925" t="str">
        <f>'预评函-封皮'!B49</f>
        <v>康正预评字号</v>
      </c>
    </row>
    <row r="6" spans="1:55" s="2926" customFormat="1" ht="15" thickTop="1">
      <c r="A6" s="2918" t="s">
        <v>2706</v>
      </c>
      <c r="B6" s="2919" t="str">
        <f>'预评函-1'!A4</f>
        <v>受贵公司委托，我公司对四川省成都市郫都区郫筒镇晨光村三、五社、双喜村一社1宗住宅、商业用途出让国有建设用地使用权市场价格进行了预评估。</v>
      </c>
      <c r="AM6" s="2927"/>
    </row>
    <row r="7" spans="1:55" s="2901" customFormat="1">
      <c r="A7" s="2902" t="s">
        <v>2658</v>
      </c>
      <c r="B7" s="2903" t="str">
        <f>'预评函-1'!A6</f>
        <v>估价对象为成都人居置业有限公司使用的、位于四川省成都市郫都区郫筒镇晨光村三、五社、双喜村一社1宗住宅、商业用途出让国有建设用地使用权。根据《国有建设用地使用权出让合同》及补充协议[电子监管号：5101242017B11266]，估价对象（分摊）出让国有建设用地使用权面积为81852.68平方米。根据《国有建设用地使用权出让合同》及补充协议[电子监管号：5101242017B11266]、《抵押物清单》，估价对象规划建筑面积为204632.7平方米。</v>
      </c>
    </row>
    <row r="8" spans="1:55" s="2901" customFormat="1">
      <c r="A8" s="2902" t="s">
        <v>2659</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2709</v>
      </c>
      <c r="B9" s="2903" t="str">
        <f>'预评函-1'!A9</f>
        <v>本次评估为委托估价方了解标的物之市场价格提供参考依据而评估出让国有建设用地使用权市场价格。</v>
      </c>
    </row>
    <row r="10" spans="1:55" s="2901" customFormat="1">
      <c r="A10" s="2902" t="s">
        <v>2660</v>
      </c>
      <c r="B10" s="2903" t="str">
        <f>'预评函-1'!A11</f>
        <v>2017年11月29日（评估专业人员勘察现场之日）</v>
      </c>
    </row>
    <row r="11" spans="1:55" s="2901" customFormat="1">
      <c r="A11" s="2902" t="s">
        <v>2666</v>
      </c>
      <c r="B11" s="2903" t="str">
        <f>'预评函-1'!A14</f>
        <v>根据《国有建设用地使用权出让合同》及补充协议[电子监管号：5101242017B11266]，本次评估估价对象证载（地类）用途为住宅、商业。</v>
      </c>
    </row>
    <row r="12" spans="1:55" s="2901" customFormat="1">
      <c r="A12" s="2902" t="s">
        <v>2667</v>
      </c>
      <c r="B12" s="2903" t="str">
        <f>'预评函-1'!A15</f>
        <v>本次评估设定用途即为证载用途住宅、商业。</v>
      </c>
    </row>
    <row r="13" spans="1:55" s="2901" customFormat="1">
      <c r="A13" s="2902" t="s">
        <v>2668</v>
      </c>
      <c r="B13" s="2903" t="str">
        <f>'预评函-1'!A17</f>
        <v>根据委托估价方介绍及评估专业人员现场勘查，本次评估估价对象实际土地开发程度为红线外市政基础设施达“七通”（即通路、通电、通讯、通上水、通下水、燃气、）、宗地红线内场地平整。</v>
      </c>
    </row>
    <row r="14" spans="1:55" s="2901" customFormat="1">
      <c r="A14" s="2902" t="s">
        <v>2669</v>
      </c>
      <c r="B14" s="2903" t="str">
        <f>'预评函-1'!A18</f>
        <v>本次评估设定土地开发程度为红线外市政基础设施达“七通”、宗地红线内场地平整。</v>
      </c>
    </row>
    <row r="15" spans="1:55" s="2901" customFormat="1">
      <c r="A15" s="2902" t="s">
        <v>2665</v>
      </c>
      <c r="B15" s="2903" t="str">
        <f>'预评函-1'!A20</f>
        <v>根据《国有建设用地使用权出让合同》及补充协议[电子监管号：5101242017B11266]，估价对象（分摊）出让国有建设用地使用权面积为81852.68平方米。根据《国有建设用地使用权出让合同》及补充协议[电子监管号：5101242017B11266]、《抵押物清单》，估价对象规划建筑面积为204632.7平方米。</v>
      </c>
    </row>
    <row r="16" spans="1:55" s="2901" customFormat="1">
      <c r="A16" s="2902" t="s">
        <v>2670</v>
      </c>
      <c r="B16" s="2903" t="str">
        <f>'预评函-1'!A22</f>
        <v>本次估价对象为出让国有建设用地使用权，《国有建设用地使用权出让合同》及补充协议[电子监管号：5101242017B11266]证载土地终止日期为住宅2087年11月13日、商业2057年11月13日。截至估价期日，出让国有建设用地使用权剩余土地使用年限为住宅70年，商业39.98年。</v>
      </c>
    </row>
    <row r="17" spans="1:48" s="2901" customFormat="1">
      <c r="A17" s="2902" t="s">
        <v>2671</v>
      </c>
      <c r="B17" s="2903" t="str">
        <f>'预评函-1'!A23</f>
        <v>本次评估设定估价对象剩余土地使用年限为住宅70年，商业39.98年。</v>
      </c>
    </row>
    <row r="18" spans="1:48" s="2901" customFormat="1">
      <c r="A18" s="2902" t="s">
        <v>2672</v>
      </c>
      <c r="B18" s="2903" t="str">
        <f>'预评函-1'!A25</f>
        <v>本次估价的“出让国有建设用地使用权价格”是指在估价对象土地所有权为国家所有，使用权性质为出让，在公开市场条件下、于估价期日2017年11月29日，在规划利用条件下、设定土地开发程度为红线外“七通”、宗地内场地平整，设定用途为住宅、商业，剩余土地使用年限为住宅70年，商业39.98年的出让国有建设用地使用权价格。</v>
      </c>
    </row>
    <row r="19" spans="1:48" s="2901" customFormat="1">
      <c r="A19" s="2902" t="s">
        <v>2673</v>
      </c>
      <c r="B19" s="2903" t="str">
        <f>'预评函-1'!A26</f>
        <v>——</v>
      </c>
    </row>
    <row r="20" spans="1:48" s="2901" customFormat="1">
      <c r="A20" s="2902" t="s">
        <v>2674</v>
      </c>
      <c r="B20" s="2903" t="str">
        <f>'预评函-1'!A27</f>
        <v>——</v>
      </c>
    </row>
    <row r="21" spans="1:48" s="2917" customFormat="1" ht="15" thickBot="1">
      <c r="A21" s="2924" t="s">
        <v>2675</v>
      </c>
      <c r="B21" s="2925" t="str">
        <f>'预评函-1'!A28</f>
        <v>——</v>
      </c>
    </row>
    <row r="22" spans="1:48" ht="15" thickTop="1">
      <c r="A22" s="2913" t="s">
        <v>2676</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2677</v>
      </c>
      <c r="B23" s="2903" t="str">
        <f>'预评函-2'!K2</f>
        <v>估价期日：2017年11月29日</v>
      </c>
    </row>
    <row r="24" spans="1:48">
      <c r="A24" s="2902" t="s">
        <v>2678</v>
      </c>
      <c r="B24" s="2903" t="str">
        <f>'预评函-2'!R2</f>
        <v>估价期日的国有建设用地使用权性质：出让</v>
      </c>
    </row>
    <row r="25" spans="1:48">
      <c r="A25" s="2902" t="s">
        <v>2734</v>
      </c>
      <c r="B25" s="2903" t="str">
        <f>'预评函-2'!A3</f>
        <v>估价期日土地使用者</v>
      </c>
    </row>
    <row r="26" spans="1:48">
      <c r="A26" s="2902" t="s">
        <v>2710</v>
      </c>
      <c r="B26" s="2903" t="str">
        <f>'预评函-2'!A5</f>
        <v>中信开发</v>
      </c>
    </row>
    <row r="27" spans="1:48">
      <c r="A27" s="2902" t="s">
        <v>2735</v>
      </c>
      <c r="B27" s="2903" t="str">
        <f>'预评函-2'!B3</f>
        <v>宗地编号/不动产单元号</v>
      </c>
    </row>
    <row r="28" spans="1:48">
      <c r="A28" s="2902" t="s">
        <v>2711</v>
      </c>
      <c r="B28" s="2903" t="str">
        <f>'预评函-2'!B5</f>
        <v>11111111111</v>
      </c>
    </row>
    <row r="29" spans="1:48">
      <c r="A29" s="2902" t="s">
        <v>2737</v>
      </c>
      <c r="B29" s="2903">
        <f>'预评函-2'!C5</f>
        <v>22</v>
      </c>
    </row>
    <row r="30" spans="1:48">
      <c r="A30" s="2902" t="s">
        <v>2738</v>
      </c>
      <c r="B30" s="2903" t="str">
        <f>'预评函-2'!D3</f>
        <v>土地使用证编号/不动产权证书编号</v>
      </c>
    </row>
    <row r="31" spans="1:48">
      <c r="A31" s="2902" t="s">
        <v>2712</v>
      </c>
      <c r="B31" s="2903" t="str">
        <f>'预评函-2'!D5</f>
        <v>京国土字第111号</v>
      </c>
    </row>
    <row r="32" spans="1:48">
      <c r="A32" s="2902" t="s">
        <v>2713</v>
      </c>
      <c r="B32" s="2903" t="str">
        <f>'预评函-2'!E5</f>
        <v>住宅、商业</v>
      </c>
      <c r="AV32" s="2907"/>
    </row>
    <row r="33" spans="1:2">
      <c r="A33" s="2902" t="s">
        <v>2714</v>
      </c>
      <c r="B33" s="2903">
        <f>'预评函-2'!F5</f>
        <v>258</v>
      </c>
    </row>
    <row r="34" spans="1:2">
      <c r="A34" s="2902" t="s">
        <v>2715</v>
      </c>
      <c r="B34" s="2903" t="str">
        <f>'预评函-2'!G5</f>
        <v>住宅、商业</v>
      </c>
    </row>
    <row r="35" spans="1:2">
      <c r="A35" s="2902" t="s">
        <v>2716</v>
      </c>
      <c r="B35" s="2903">
        <f>'预评函-2'!H5</f>
        <v>1.5</v>
      </c>
    </row>
    <row r="36" spans="1:2">
      <c r="A36" s="2902" t="s">
        <v>2717</v>
      </c>
      <c r="B36" s="2903">
        <f>'预评函-2'!I5</f>
        <v>1.5</v>
      </c>
    </row>
    <row r="37" spans="1:2">
      <c r="A37" s="2902" t="s">
        <v>2718</v>
      </c>
      <c r="B37" s="2903">
        <f>'预评函-2'!J5</f>
        <v>1.5</v>
      </c>
    </row>
    <row r="38" spans="1:2">
      <c r="A38" s="2902" t="s">
        <v>2719</v>
      </c>
      <c r="B38" s="2903" t="str">
        <f>'预评函-2'!K5</f>
        <v>红线外七通、宗地红线内场地平整</v>
      </c>
    </row>
    <row r="39" spans="1:2">
      <c r="A39" s="2902" t="s">
        <v>2720</v>
      </c>
      <c r="B39" s="2903" t="str">
        <f>'预评函-2'!L5</f>
        <v>红线外七通、宗地红线内场地平整</v>
      </c>
    </row>
    <row r="40" spans="1:2">
      <c r="A40" s="2902" t="s">
        <v>2739</v>
      </c>
      <c r="B40" s="2903" t="str">
        <f>'预评函-2'!M3</f>
        <v>（剩余）土地使用年限/年</v>
      </c>
    </row>
    <row r="41" spans="1:2">
      <c r="A41" s="2902" t="s">
        <v>2721</v>
      </c>
      <c r="B41" s="2903" t="str">
        <f>'预评函-2'!M5</f>
        <v>住宅70年，商业39.98年</v>
      </c>
    </row>
    <row r="42" spans="1:2">
      <c r="A42" s="2902" t="s">
        <v>2740</v>
      </c>
      <c r="B42" s="2903" t="str">
        <f>'预评函-2'!N3</f>
        <v>（分摊）出让国有建设用地使用权面积/㎡</v>
      </c>
    </row>
    <row r="43" spans="1:2">
      <c r="A43" s="2902" t="s">
        <v>2722</v>
      </c>
      <c r="B43" s="2903">
        <f>'预评函-2'!N5</f>
        <v>81852.679999999993</v>
      </c>
    </row>
    <row r="44" spans="1:2">
      <c r="A44" s="2902" t="s">
        <v>2741</v>
      </c>
      <c r="B44" s="2903" t="str">
        <f>'预评函-2'!O3</f>
        <v>规划建筑面积/㎡</v>
      </c>
    </row>
    <row r="45" spans="1:2">
      <c r="A45" s="2902" t="s">
        <v>2723</v>
      </c>
      <c r="B45" s="2903">
        <f>'预评函-2'!O5</f>
        <v>204632.7</v>
      </c>
    </row>
    <row r="46" spans="1:2">
      <c r="A46" s="2902" t="s">
        <v>2724</v>
      </c>
      <c r="B46" s="2903">
        <f ca="1">'预评函-2'!P5</f>
        <v>15107</v>
      </c>
    </row>
    <row r="47" spans="1:2">
      <c r="A47" s="2902" t="s">
        <v>2725</v>
      </c>
      <c r="B47" s="2903">
        <f ca="1">'预评函-2'!Q5</f>
        <v>6043</v>
      </c>
    </row>
    <row r="48" spans="1:2">
      <c r="A48" s="2902" t="s">
        <v>2726</v>
      </c>
      <c r="B48" s="2903">
        <f ca="1">'预评函-2'!R5</f>
        <v>123657</v>
      </c>
    </row>
    <row r="49" spans="1:2">
      <c r="A49" s="2902" t="s">
        <v>2742</v>
      </c>
      <c r="B49" s="2903" t="str">
        <f>'预评函-2'!A6</f>
        <v>——</v>
      </c>
    </row>
    <row r="50" spans="1:2">
      <c r="A50" s="2902" t="s">
        <v>2727</v>
      </c>
      <c r="B50" s="2903">
        <f ca="1">'预评函-2'!R6</f>
        <v>123657</v>
      </c>
    </row>
    <row r="51" spans="1:2">
      <c r="A51" s="2902" t="s">
        <v>2743</v>
      </c>
      <c r="B51" s="2903" t="str">
        <f>'预评函-2'!A7</f>
        <v>——</v>
      </c>
    </row>
    <row r="52" spans="1:2">
      <c r="A52" s="2902" t="s">
        <v>2728</v>
      </c>
      <c r="B52" s="2903" t="str">
        <f>'预评函-2'!R7</f>
        <v>——</v>
      </c>
    </row>
    <row r="53" spans="1:2">
      <c r="A53" s="2902" t="s">
        <v>2744</v>
      </c>
      <c r="B53" s="2903" t="str">
        <f>'预评函-2'!A8</f>
        <v>——</v>
      </c>
    </row>
    <row r="54" spans="1:2" s="2917" customFormat="1" ht="15" thickBot="1">
      <c r="A54" s="2924" t="s">
        <v>2729</v>
      </c>
      <c r="B54" s="2925" t="str">
        <f>'预评函-2'!R8</f>
        <v>——</v>
      </c>
    </row>
    <row r="55" spans="1:2" ht="15" thickTop="1">
      <c r="A55" s="2913" t="s">
        <v>2679</v>
      </c>
      <c r="B55" s="2914" t="str">
        <f>'预评函-3'!A2</f>
        <v>1.权利限制：根据估价对象————，截至估价期日，估价对象抵押权未见登记。未设定租赁等其他他项权利。</v>
      </c>
    </row>
    <row r="56" spans="1:2">
      <c r="A56" s="2902" t="s">
        <v>2680</v>
      </c>
      <c r="B56" s="2903" t="str">
        <f>'预评函-3'!A3</f>
        <v>2.基础设施条件：估价对象实际开发程度为红线外七通、宗地红线内场地平整；本次评估设定开发程度为红线外七通、宗地红线内场地平整。</v>
      </c>
    </row>
    <row r="57" spans="1:2">
      <c r="A57" s="2902" t="s">
        <v>2681</v>
      </c>
      <c r="B57" s="2903" t="str">
        <f>'预评函-3'!A4</f>
        <v>3.估价规划限制条件：详见《国有建设用地使用权出让合同》及补充协议[电子监管号：5101242017B11266]、《抵押物清单》。</v>
      </c>
    </row>
    <row r="58" spans="1:2" s="2917" customFormat="1" ht="15" thickBot="1">
      <c r="A58" s="2924" t="s">
        <v>2730</v>
      </c>
      <c r="B58" s="2925" t="str">
        <f>'预评函-3'!A5</f>
        <v>4.影响价格的其他限定条件：无。</v>
      </c>
    </row>
    <row r="59" spans="1:2" ht="15" thickTop="1">
      <c r="A59" s="2913" t="s">
        <v>2682</v>
      </c>
      <c r="B59" s="2914" t="str">
        <f>'预评函-3'!A8</f>
        <v>2.本次评估设定估价对象宗地权属无争议，未被查封或者以其他形式限制其房地产权利，未设定抵押权等他项权利，不涉及第三方权利义务。</v>
      </c>
    </row>
    <row r="60" spans="1:2">
      <c r="A60" s="2902" t="s">
        <v>2683</v>
      </c>
      <c r="B60" s="2903" t="str">
        <f>'预评函-3'!A9</f>
        <v>——</v>
      </c>
    </row>
    <row r="61" spans="1:2">
      <c r="A61" s="2902" t="s">
        <v>2685</v>
      </c>
      <c r="B61" s="2903" t="str">
        <f>'预评函-3'!A10</f>
        <v>——</v>
      </c>
    </row>
    <row r="62" spans="1:2">
      <c r="A62" s="2902" t="s">
        <v>2684</v>
      </c>
      <c r="B62" s="2903" t="str">
        <f>'预评函-3'!A11</f>
        <v>——</v>
      </c>
    </row>
    <row r="63" spans="1:2">
      <c r="A63" s="2902" t="s">
        <v>2686</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2687</v>
      </c>
      <c r="B64" s="2908" t="str">
        <f>'预评函-3'!A13</f>
        <v>（3）。</v>
      </c>
    </row>
    <row r="65" spans="1:2">
      <c r="A65" s="2902" t="s">
        <v>2688</v>
      </c>
      <c r="B65" s="2909" t="str">
        <f>'预评函-3'!A14</f>
        <v>——</v>
      </c>
    </row>
    <row r="66" spans="1:2">
      <c r="A66" s="2902" t="s">
        <v>2689</v>
      </c>
      <c r="B66" s="290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2690</v>
      </c>
      <c r="B67" s="290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2693</v>
      </c>
      <c r="B68" s="2928">
        <f>'预评函-3'!D30</f>
        <v>42558</v>
      </c>
    </row>
    <row r="69" spans="1:2" ht="15" thickTop="1">
      <c r="A69" s="2913" t="s">
        <v>2691</v>
      </c>
      <c r="B69" s="2914" t="str">
        <f>'预评函-3'!A20</f>
        <v>梁津</v>
      </c>
    </row>
    <row r="70" spans="1:2">
      <c r="A70" s="2902" t="s">
        <v>2691</v>
      </c>
      <c r="B70" s="2909">
        <f ca="1">'预评函-3'!B20</f>
        <v>96010014</v>
      </c>
    </row>
    <row r="71" spans="1:2">
      <c r="A71" s="2902" t="s">
        <v>2692</v>
      </c>
      <c r="B71" s="2903" t="str">
        <f>'预评函-3'!A21</f>
        <v>王鹏</v>
      </c>
    </row>
    <row r="72" spans="1:2" s="2917" customFormat="1" ht="15" thickBot="1">
      <c r="A72" s="2924" t="s">
        <v>2692</v>
      </c>
      <c r="B72" s="2930">
        <f ca="1">'预评函-3'!B21</f>
        <v>2002110030</v>
      </c>
    </row>
    <row r="73" spans="1:2" ht="15" thickTop="1">
      <c r="A73" s="2913" t="s">
        <v>2751</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2752</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2753</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2788</v>
      </c>
      <c r="B76" s="2912"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topLeftCell="A4" zoomScale="90" zoomScaleSheetLayoutView="90" workbookViewId="0">
      <selection activeCell="K7" sqref="K7"/>
    </sheetView>
  </sheetViews>
  <sheetFormatPr defaultColWidth="10" defaultRowHeight="14.25"/>
  <cols>
    <col min="1" max="1" width="15.375" style="1689" customWidth="1"/>
    <col min="2" max="2" width="11.375" style="1689" customWidth="1"/>
    <col min="3" max="3" width="12.625" style="1689" customWidth="1"/>
    <col min="4" max="4" width="11.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0"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1940</v>
      </c>
      <c r="B1" s="3242" t="str">
        <f>IF(B10="北京市","北京市",C10)&amp;F10&amp;B16&amp;"国有建设用地使用权"&amp;B9&amp;"预评估"</f>
        <v>四川省成都市郫都区郫筒镇晨光村三、五社、双喜村一社1宗住宅、商业用途出让国有建设用地使用权市场价格预评估</v>
      </c>
      <c r="C1" s="3243"/>
      <c r="D1" s="3243"/>
      <c r="E1" s="3243"/>
      <c r="F1" s="3243"/>
      <c r="G1" s="3243"/>
      <c r="H1" s="3243"/>
      <c r="I1" s="3244"/>
      <c r="J1" s="1692"/>
      <c r="K1" s="2477" t="str">
        <f>IF(B10="北京市","北京市",C10)&amp;F10&amp;B16&amp;"国有建设用地使用权"&amp;B9</f>
        <v>四川省成都市郫都区郫筒镇晨光村三、五社、双喜村一社1宗住宅、商业用途出让国有建设用地使用权市场价格</v>
      </c>
      <c r="L1" s="1720"/>
      <c r="M1" s="1720"/>
      <c r="N1" s="1692"/>
      <c r="O1" s="1693"/>
      <c r="P1" s="1692"/>
      <c r="Q1" s="1692"/>
      <c r="R1" s="1692"/>
      <c r="S1" s="1692"/>
      <c r="T1" s="1692"/>
      <c r="U1" s="1692"/>
    </row>
    <row r="2" spans="1:21">
      <c r="A2" s="1658" t="s">
        <v>1941</v>
      </c>
      <c r="B2" s="1839"/>
      <c r="D2" s="1692"/>
      <c r="E2" s="1692"/>
      <c r="F2" s="1692"/>
      <c r="G2" s="1692"/>
      <c r="H2" s="1658"/>
      <c r="I2" s="1693"/>
      <c r="J2" s="1692"/>
      <c r="K2" s="2477" t="str">
        <f>IF(B10="北京市","北京市",C10)&amp;F10&amp;B16&amp;"国有建设用地使用权"</f>
        <v>四川省成都市郫都区郫筒镇晨光村三、五社、双喜村一社1宗住宅、商业用途出让国有建设用地使用权</v>
      </c>
      <c r="L2" s="1720"/>
      <c r="M2" s="1720"/>
      <c r="N2" s="1692"/>
      <c r="O2" s="1693"/>
      <c r="P2" s="1692"/>
      <c r="Q2" s="1692"/>
      <c r="R2" s="1692"/>
      <c r="S2" s="1692"/>
      <c r="T2" s="1692"/>
      <c r="U2" s="1692"/>
    </row>
    <row r="3" spans="1:21">
      <c r="A3" s="1659" t="s">
        <v>1942</v>
      </c>
      <c r="B3" s="1660">
        <v>43068</v>
      </c>
      <c r="C3" s="1661" t="s">
        <v>1996</v>
      </c>
      <c r="D3" s="1660">
        <v>43068</v>
      </c>
      <c r="E3" s="1692"/>
      <c r="F3" s="1692"/>
      <c r="G3" s="1692"/>
      <c r="H3" s="1658"/>
      <c r="I3" s="1693"/>
      <c r="J3" s="1692"/>
      <c r="K3" s="1771"/>
      <c r="L3" s="1720"/>
      <c r="M3" s="1720"/>
      <c r="N3" s="1692"/>
      <c r="O3" s="1693"/>
      <c r="P3" s="1692"/>
      <c r="Q3" s="1692"/>
      <c r="R3" s="1692"/>
      <c r="S3" s="1692"/>
      <c r="T3" s="1692"/>
      <c r="U3" s="1692"/>
    </row>
    <row r="4" spans="1:21" ht="15" thickBot="1">
      <c r="A4" s="1662" t="s">
        <v>1943</v>
      </c>
      <c r="B4" s="1840" t="s">
        <v>2971</v>
      </c>
      <c r="C4" s="1843">
        <f ca="1">SUMIF(土地估价师,B4,估价师及机构信息!E3:E24)</f>
        <v>96010014</v>
      </c>
      <c r="D4" s="1840" t="s">
        <v>2972</v>
      </c>
      <c r="E4" s="1843">
        <f ca="1">SUMIF(土地估价师,D4,估价师及机构信息!E3:E24)</f>
        <v>2002110030</v>
      </c>
      <c r="F4" s="1840" t="s">
        <v>952</v>
      </c>
      <c r="G4" s="1843">
        <f>SUMIF(土地估价师,F4,估价师及机构信息!E3:E24)</f>
        <v>0</v>
      </c>
      <c r="H4" s="1840" t="s">
        <v>952</v>
      </c>
      <c r="I4" s="1843">
        <f>SUMIF(土地估价师,H4,估价师及机构信息!E3:E24)</f>
        <v>0</v>
      </c>
      <c r="J4" s="1692"/>
      <c r="K4" s="2477" t="str">
        <f>IF(AND(F4="——",H4="——"),B4&amp;"、"&amp;D4,IF(AND(F4&lt;&gt;"——",H4="——"),B4&amp;"、"&amp;D4&amp;"、"&amp;F4,B4&amp;"、"&amp;D4&amp;"、"&amp;F4&amp;"、"&amp;H4))</f>
        <v>梁津、王鹏</v>
      </c>
      <c r="L4" s="1720"/>
      <c r="M4" s="1720"/>
      <c r="N4" s="1692"/>
      <c r="O4" s="1693"/>
      <c r="P4" s="1692"/>
      <c r="Q4" s="1692"/>
      <c r="R4" s="1692"/>
      <c r="S4" s="1692"/>
      <c r="T4" s="1692"/>
      <c r="U4" s="1692"/>
    </row>
    <row r="5" spans="1:21" ht="15" thickTop="1">
      <c r="A5" s="1663" t="s">
        <v>1944</v>
      </c>
      <c r="B5" s="1786" t="s">
        <v>2973</v>
      </c>
      <c r="C5" s="1664"/>
      <c r="D5" s="1665"/>
      <c r="E5" s="1692"/>
      <c r="F5" s="1692"/>
      <c r="G5" s="1692"/>
      <c r="H5" s="1658"/>
      <c r="I5" s="1693"/>
      <c r="J5" s="1692"/>
      <c r="K5" s="1771"/>
      <c r="L5" s="1720"/>
      <c r="M5" s="1720"/>
      <c r="N5" s="1692"/>
      <c r="O5" s="1693"/>
      <c r="P5" s="1692"/>
      <c r="Q5" s="1692"/>
      <c r="R5" s="1692"/>
      <c r="S5" s="1692"/>
      <c r="T5" s="1692"/>
      <c r="U5" s="1692"/>
    </row>
    <row r="6" spans="1:21" ht="26.25">
      <c r="A6" s="1661" t="s">
        <v>2707</v>
      </c>
      <c r="B6" s="1786" t="s">
        <v>2973</v>
      </c>
      <c r="C6" s="1758"/>
      <c r="D6" s="1666"/>
      <c r="E6" s="1692"/>
      <c r="F6" s="1692"/>
      <c r="G6" s="1692"/>
      <c r="H6" s="1658"/>
      <c r="I6" s="1693"/>
      <c r="J6" s="1692"/>
      <c r="K6" s="3080" t="str">
        <f>IF(COUNTIF(B6,"*上海银行*"),"上海银行","")</f>
        <v/>
      </c>
      <c r="L6" s="1720"/>
      <c r="M6" s="1720"/>
      <c r="N6" s="1692"/>
      <c r="O6" s="1693"/>
      <c r="P6" s="1692"/>
      <c r="Q6" s="1692"/>
      <c r="R6" s="1692"/>
      <c r="S6" s="1692"/>
      <c r="T6" s="1692"/>
      <c r="U6" s="1692"/>
    </row>
    <row r="7" spans="1:21">
      <c r="A7" s="1667" t="s">
        <v>2708</v>
      </c>
      <c r="B7" s="1786" t="s">
        <v>2974</v>
      </c>
      <c r="C7" s="1758"/>
      <c r="D7" s="1666"/>
      <c r="E7" s="1692"/>
      <c r="F7" s="1692"/>
      <c r="G7" s="1692"/>
      <c r="H7" s="1658"/>
      <c r="I7" s="1693"/>
      <c r="J7" s="1692"/>
      <c r="K7" s="1771"/>
      <c r="L7" s="1720"/>
      <c r="M7" s="1720"/>
      <c r="N7" s="1692"/>
      <c r="O7" s="1693"/>
      <c r="P7" s="1692"/>
      <c r="Q7" s="1692"/>
      <c r="R7" s="1692"/>
      <c r="S7" s="1692"/>
      <c r="T7" s="1692"/>
      <c r="U7" s="1692"/>
    </row>
    <row r="8" spans="1:21">
      <c r="A8" s="1667" t="s">
        <v>1945</v>
      </c>
      <c r="B8" s="1668" t="s">
        <v>2991</v>
      </c>
      <c r="C8" s="1669"/>
      <c r="D8" s="3248" t="s">
        <v>1947</v>
      </c>
      <c r="E8" s="1841" t="s">
        <v>2975</v>
      </c>
      <c r="F8" s="1670"/>
      <c r="G8" s="1658"/>
      <c r="H8" s="1658"/>
      <c r="I8" s="1705"/>
      <c r="J8" s="1692"/>
      <c r="K8" s="1771"/>
      <c r="L8" s="1720"/>
      <c r="M8" s="1720"/>
      <c r="N8" s="1692"/>
      <c r="O8" s="1693"/>
      <c r="P8" s="1692"/>
      <c r="Q8" s="1692"/>
      <c r="R8" s="1692"/>
      <c r="S8" s="1692"/>
      <c r="T8" s="1692"/>
      <c r="U8" s="1692"/>
    </row>
    <row r="9" spans="1:21" ht="15" thickBot="1">
      <c r="A9" s="1671" t="s">
        <v>1946</v>
      </c>
      <c r="B9" s="1672" t="s">
        <v>2990</v>
      </c>
      <c r="C9" s="1673"/>
      <c r="D9" s="3249"/>
      <c r="E9" s="1672" t="s">
        <v>952</v>
      </c>
      <c r="F9" s="1744"/>
      <c r="G9" s="1739"/>
      <c r="H9" s="1739"/>
      <c r="I9" s="1740"/>
      <c r="J9" s="1692"/>
      <c r="K9" s="1771"/>
      <c r="L9" s="1720"/>
      <c r="M9" s="1720"/>
      <c r="N9" s="1692"/>
      <c r="O9" s="1693"/>
      <c r="P9" s="1692"/>
      <c r="Q9" s="1692"/>
      <c r="R9" s="1692"/>
      <c r="S9" s="1692"/>
      <c r="T9" s="1692"/>
      <c r="U9" s="1692"/>
    </row>
    <row r="10" spans="1:21" ht="15" thickTop="1">
      <c r="A10" s="1741" t="s">
        <v>1999</v>
      </c>
      <c r="B10" s="3164" t="s">
        <v>2976</v>
      </c>
      <c r="C10" s="1674" t="s">
        <v>2977</v>
      </c>
      <c r="D10" s="1665"/>
      <c r="E10" s="1675" t="s">
        <v>1949</v>
      </c>
      <c r="F10" s="1676" t="s">
        <v>2978</v>
      </c>
      <c r="G10" s="1742"/>
      <c r="H10" s="1743"/>
      <c r="I10" s="1665"/>
      <c r="J10" s="1692"/>
      <c r="K10" s="1771"/>
      <c r="L10" s="1720"/>
      <c r="M10" s="1720"/>
      <c r="N10" s="1692"/>
      <c r="O10" s="1693"/>
      <c r="P10" s="1692"/>
      <c r="Q10" s="1692"/>
      <c r="R10" s="1692"/>
      <c r="S10" s="1692"/>
      <c r="T10" s="1692"/>
      <c r="U10" s="1692"/>
    </row>
    <row r="11" spans="1:21" ht="28.5">
      <c r="A11" s="1695" t="s">
        <v>2000</v>
      </c>
      <c r="B11" s="1696" t="s">
        <v>2979</v>
      </c>
      <c r="C11" s="1677" t="s">
        <v>2974</v>
      </c>
      <c r="D11" s="1759"/>
      <c r="E11" s="1658"/>
      <c r="F11" s="1658"/>
      <c r="G11" s="1658"/>
      <c r="H11" s="1658"/>
      <c r="I11" s="1658"/>
      <c r="J11" s="1692"/>
      <c r="K11" s="1771"/>
      <c r="L11" s="1720"/>
      <c r="M11" s="1720"/>
      <c r="N11" s="1692"/>
      <c r="O11" s="1693"/>
      <c r="P11" s="1692"/>
      <c r="Q11" s="1692"/>
      <c r="R11" s="1692"/>
      <c r="S11" s="1692"/>
      <c r="T11" s="1692"/>
      <c r="U11" s="1692"/>
    </row>
    <row r="12" spans="1:21">
      <c r="A12" s="1782" t="s">
        <v>2058</v>
      </c>
      <c r="B12" s="3245" t="s">
        <v>2980</v>
      </c>
      <c r="C12" s="3246"/>
      <c r="D12" s="3247"/>
      <c r="E12" s="1697" t="s">
        <v>2061</v>
      </c>
      <c r="F12" s="3263" t="s">
        <v>2981</v>
      </c>
      <c r="G12" s="3264"/>
      <c r="H12" s="3264"/>
      <c r="I12" s="3265"/>
      <c r="J12" s="1692"/>
      <c r="K12" s="1771"/>
      <c r="L12" s="1720"/>
      <c r="M12" s="1720"/>
      <c r="N12" s="1692"/>
      <c r="O12" s="1693"/>
      <c r="P12" s="1692"/>
      <c r="Q12" s="1692"/>
      <c r="R12" s="1692"/>
      <c r="S12" s="1692"/>
      <c r="T12" s="1692"/>
      <c r="U12" s="1692"/>
    </row>
    <row r="13" spans="1:21">
      <c r="A13" s="1685" t="s">
        <v>2059</v>
      </c>
      <c r="B13" s="3245" t="s">
        <v>2980</v>
      </c>
      <c r="C13" s="3246"/>
      <c r="D13" s="3247"/>
      <c r="E13" s="1697" t="s">
        <v>2061</v>
      </c>
      <c r="F13" s="3263" t="s">
        <v>2981</v>
      </c>
      <c r="G13" s="3264"/>
      <c r="H13" s="3264"/>
      <c r="I13" s="3265"/>
      <c r="J13" s="1692"/>
      <c r="K13" s="1771"/>
      <c r="L13" s="1720"/>
      <c r="M13" s="1720"/>
      <c r="N13" s="1692"/>
      <c r="O13" s="1693"/>
      <c r="P13" s="1692"/>
      <c r="Q13" s="1692"/>
      <c r="R13" s="1692"/>
      <c r="S13" s="1692"/>
      <c r="T13" s="1692"/>
      <c r="U13" s="1692"/>
    </row>
    <row r="14" spans="1:21">
      <c r="A14" s="1659" t="s">
        <v>2062</v>
      </c>
      <c r="B14" s="1697"/>
      <c r="C14" s="1842" t="s">
        <v>2982</v>
      </c>
      <c r="D14" s="1730" t="str">
        <f>IF(C14="不一致","是否符合证载地类范围","")</f>
        <v/>
      </c>
      <c r="E14" s="1697"/>
      <c r="F14" s="1787" t="s">
        <v>2983</v>
      </c>
      <c r="G14" s="1725"/>
      <c r="H14" s="1725"/>
      <c r="I14" s="1834"/>
      <c r="J14" s="1692"/>
      <c r="K14" s="1771"/>
      <c r="L14" s="1720"/>
      <c r="M14" s="1720"/>
      <c r="N14" s="1692"/>
      <c r="O14" s="1693"/>
      <c r="P14" s="1692"/>
      <c r="Q14" s="1692"/>
      <c r="R14" s="1692"/>
      <c r="S14" s="1692"/>
      <c r="T14" s="1692"/>
      <c r="U14" s="1692"/>
    </row>
    <row r="15" spans="1:21" hidden="1">
      <c r="A15" s="2668"/>
      <c r="B15" s="1661"/>
      <c r="C15" s="1661"/>
      <c r="D15" s="1763" t="s">
        <v>1952</v>
      </c>
      <c r="E15" s="1763" t="s">
        <v>1953</v>
      </c>
      <c r="F15" s="1763" t="s">
        <v>1954</v>
      </c>
      <c r="G15" s="1684" t="s">
        <v>1955</v>
      </c>
      <c r="H15" s="1684" t="s">
        <v>1956</v>
      </c>
      <c r="I15" s="1684" t="s">
        <v>1957</v>
      </c>
      <c r="J15" s="1692"/>
      <c r="K15" s="1771"/>
      <c r="L15" s="1720"/>
      <c r="M15" s="1720"/>
      <c r="N15" s="1692"/>
      <c r="O15" s="1693"/>
      <c r="P15" s="1692"/>
      <c r="Q15" s="1692"/>
      <c r="R15" s="1692"/>
      <c r="S15" s="1692"/>
      <c r="T15" s="1692"/>
      <c r="U15" s="1692"/>
    </row>
    <row r="16" spans="1:21" ht="42.75">
      <c r="A16" s="1678" t="s">
        <v>1950</v>
      </c>
      <c r="B16" s="1679" t="s">
        <v>2984</v>
      </c>
      <c r="C16" s="1697" t="s">
        <v>1951</v>
      </c>
      <c r="D16" s="2669" t="s">
        <v>1952</v>
      </c>
      <c r="E16" s="1719" t="s">
        <v>2985</v>
      </c>
      <c r="F16" s="1719"/>
      <c r="G16" s="1719"/>
      <c r="H16" s="1719"/>
      <c r="I16" s="1684" t="s">
        <v>1957</v>
      </c>
      <c r="J16" s="1692"/>
      <c r="K16" s="2478" t="str">
        <f>IF(D17="","",D16&amp;TEXT(D17,"yyyy年m月d日;;"))</f>
        <v>住宅2087年11月13日</v>
      </c>
      <c r="L16" s="1697" t="str">
        <f>IF(OR(K16="",M16=""),"","、")</f>
        <v>、</v>
      </c>
      <c r="M16" s="2478" t="str">
        <f>IF(E17="","",E16&amp;TEXT(E17,"yyyy年m月d日;;"))</f>
        <v>商业2057年11月13日</v>
      </c>
      <c r="N16" s="1697" t="str">
        <f>IF(OR(M16="",O16=""),"","、")</f>
        <v/>
      </c>
      <c r="O16" s="2478" t="str">
        <f>IF(F17="","",F16&amp;TEXT(F17,"yyyy年m月d日;;"))</f>
        <v/>
      </c>
      <c r="P16" s="1697" t="str">
        <f>IF(OR(O16="",Q16=""),"","、")</f>
        <v/>
      </c>
      <c r="Q16" s="2478" t="str">
        <f>IF(G17="","",G16&amp;TEXT(G17,"yyyy年m月d日;;"))</f>
        <v/>
      </c>
      <c r="R16" s="1697" t="str">
        <f>IF(OR(Q16="",S16=""),"","、")</f>
        <v/>
      </c>
      <c r="S16" s="2478" t="str">
        <f>IF(H17="","",H16&amp;TEXT(H17,"yyyy年m月d日;;"))</f>
        <v/>
      </c>
      <c r="T16" s="1697" t="str">
        <f>IF(OR(S16="",U16=""),"","、")</f>
        <v/>
      </c>
      <c r="U16" s="2478" t="str">
        <f>IF(I17="","",I16&amp;TEXT(I17,"yyyy年m月d日;;"))</f>
        <v/>
      </c>
    </row>
    <row r="17" spans="1:21">
      <c r="A17" s="1760"/>
      <c r="B17" s="1680"/>
      <c r="C17" s="1681" t="s">
        <v>1958</v>
      </c>
      <c r="D17" s="1698">
        <v>68619</v>
      </c>
      <c r="E17" s="1698">
        <v>57662</v>
      </c>
      <c r="F17" s="1698"/>
      <c r="G17" s="1698"/>
      <c r="H17" s="1698"/>
      <c r="I17" s="1698"/>
      <c r="J17" s="1692"/>
      <c r="K17" s="2477" t="str">
        <f>CONCATENATE(K16,L16,M16,N16,O16,P16,Q16,R16,S16,T16,,U16)</f>
        <v>住宅2087年11月13日、商业2057年11月13日</v>
      </c>
      <c r="L17" s="1720"/>
      <c r="M17" s="1720"/>
      <c r="N17" s="1692"/>
      <c r="O17" s="1693"/>
      <c r="P17" s="1692"/>
      <c r="Q17" s="1692"/>
      <c r="R17" s="1692"/>
      <c r="S17" s="1692"/>
      <c r="T17" s="1692"/>
      <c r="U17" s="1692"/>
    </row>
    <row r="18" spans="1:21">
      <c r="A18" s="1760"/>
      <c r="B18" s="1680"/>
      <c r="C18" s="1681" t="s">
        <v>1959</v>
      </c>
      <c r="D18" s="1682">
        <v>70</v>
      </c>
      <c r="E18" s="1682">
        <v>40</v>
      </c>
      <c r="F18" s="1682"/>
      <c r="G18" s="1682"/>
      <c r="H18" s="1682"/>
      <c r="I18" s="1682"/>
      <c r="J18" s="1692"/>
      <c r="K18" s="1771"/>
      <c r="L18" s="1720"/>
      <c r="M18" s="1720"/>
      <c r="N18" s="1692"/>
      <c r="O18" s="1693"/>
      <c r="P18" s="1692"/>
      <c r="Q18" s="1692"/>
      <c r="R18" s="1692"/>
      <c r="S18" s="1692"/>
      <c r="T18" s="1692"/>
      <c r="U18" s="1692"/>
    </row>
    <row r="19" spans="1:21">
      <c r="A19" s="1760"/>
      <c r="B19" s="1680"/>
      <c r="C19" s="1658" t="s">
        <v>1960</v>
      </c>
      <c r="D19" s="1755">
        <f>IF(B16="出让",IF(D17="","",ROUNDDOWN(MIN((D17-$D$3)/365,D18),2)),D18)</f>
        <v>70</v>
      </c>
      <c r="E19" s="1683">
        <f>IF(B16="出让",IF(E17="","",ROUNDDOWN(MIN((E17-$D$3)/365,E18),2)),E18)</f>
        <v>39.979999999999997</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1"/>
      <c r="L19" s="1720"/>
      <c r="M19" s="1720"/>
      <c r="N19" s="1692"/>
      <c r="O19" s="1693"/>
      <c r="P19" s="1692"/>
      <c r="Q19" s="1692"/>
      <c r="R19" s="1692"/>
      <c r="S19" s="1692"/>
      <c r="T19" s="1692"/>
      <c r="U19" s="1692"/>
    </row>
    <row r="20" spans="1:21">
      <c r="A20" s="1783"/>
      <c r="B20" s="1784"/>
      <c r="C20" s="1785" t="s">
        <v>2060</v>
      </c>
      <c r="D20" s="3260" t="s">
        <v>2986</v>
      </c>
      <c r="E20" s="3261"/>
      <c r="F20" s="3261"/>
      <c r="G20" s="3261"/>
      <c r="H20" s="3261"/>
      <c r="I20" s="3262"/>
      <c r="J20" s="1692"/>
      <c r="K20" s="1771"/>
      <c r="L20" s="1720"/>
      <c r="M20" s="1720"/>
      <c r="N20" s="1692"/>
      <c r="O20" s="1693"/>
      <c r="P20" s="1692"/>
      <c r="Q20" s="1692"/>
      <c r="R20" s="1692"/>
      <c r="S20" s="1692"/>
      <c r="T20" s="1692"/>
      <c r="U20" s="1692"/>
    </row>
    <row r="21" spans="1:21">
      <c r="A21" s="1760" t="s">
        <v>1961</v>
      </c>
      <c r="B21" s="1761" t="s">
        <v>1962</v>
      </c>
      <c r="C21" s="1756">
        <f>'数据-汇总表'!E3</f>
        <v>204632.7</v>
      </c>
      <c r="D21" s="1757" t="s">
        <v>1963</v>
      </c>
      <c r="E21" s="3250" t="s">
        <v>2987</v>
      </c>
      <c r="F21" s="3251"/>
      <c r="G21" s="3251"/>
      <c r="H21" s="3251"/>
      <c r="I21" s="3252"/>
      <c r="J21" s="1692"/>
      <c r="K21" s="1771"/>
      <c r="L21" s="1720"/>
      <c r="M21" s="1720"/>
      <c r="N21" s="1692"/>
      <c r="O21" s="1693"/>
      <c r="P21" s="1692"/>
      <c r="Q21" s="1692"/>
      <c r="R21" s="1692"/>
      <c r="S21" s="1692"/>
      <c r="T21" s="1692"/>
      <c r="U21" s="1692"/>
    </row>
    <row r="22" spans="1:21">
      <c r="A22" s="2660" t="s">
        <v>952</v>
      </c>
      <c r="B22" s="1659" t="s">
        <v>1964</v>
      </c>
      <c r="C22" s="1684">
        <f>'数据-汇总表'!D3</f>
        <v>81852.679999999993</v>
      </c>
      <c r="D22" s="1685" t="s">
        <v>1963</v>
      </c>
      <c r="E22" s="3250" t="s">
        <v>2988</v>
      </c>
      <c r="F22" s="3251"/>
      <c r="G22" s="3251"/>
      <c r="H22" s="3251"/>
      <c r="I22" s="3252"/>
      <c r="J22" s="1692"/>
      <c r="K22" s="1771"/>
      <c r="L22" s="1720"/>
      <c r="M22" s="1720"/>
      <c r="N22" s="1692"/>
      <c r="O22" s="1693"/>
      <c r="P22" s="1692"/>
      <c r="Q22" s="1692"/>
      <c r="R22" s="1692"/>
      <c r="S22" s="1692"/>
      <c r="T22" s="1692"/>
      <c r="U22" s="1692"/>
    </row>
    <row r="23" spans="1:21" ht="43.5" thickBot="1">
      <c r="A23" s="1762" t="s">
        <v>1965</v>
      </c>
      <c r="B23" s="1699" t="s">
        <v>1966</v>
      </c>
      <c r="C23" s="1700" t="s">
        <v>2989</v>
      </c>
      <c r="D23" s="1701" t="s">
        <v>1967</v>
      </c>
      <c r="E23" s="1702" t="s">
        <v>952</v>
      </c>
      <c r="F23" s="1703" t="str">
        <f>IF(AND(C23="是",E23="否"),"是否提供他项权证或相关说明","")</f>
        <v/>
      </c>
      <c r="G23" s="1704" t="s">
        <v>952</v>
      </c>
      <c r="H23" s="1692"/>
      <c r="I23" s="1705"/>
      <c r="J23" s="1692"/>
      <c r="K23" s="1771"/>
      <c r="L23" s="1720"/>
      <c r="M23" s="1720"/>
      <c r="N23" s="1692"/>
      <c r="O23" s="1693"/>
      <c r="P23" s="1692"/>
      <c r="Q23" s="1692"/>
      <c r="R23" s="1692"/>
      <c r="S23" s="1692"/>
      <c r="T23" s="1692"/>
      <c r="U23" s="1692"/>
    </row>
    <row r="24" spans="1:21">
      <c r="A24" s="1747" t="s">
        <v>1968</v>
      </c>
      <c r="B24" s="3253" t="s">
        <v>1969</v>
      </c>
      <c r="C24" s="3254"/>
      <c r="D24" s="3255" t="s">
        <v>1970</v>
      </c>
      <c r="E24" s="3256"/>
      <c r="F24" s="1706" t="s">
        <v>1971</v>
      </c>
      <c r="G24" s="1692"/>
      <c r="H24" s="1692"/>
      <c r="I24" s="1705"/>
      <c r="J24" s="1692"/>
      <c r="K24" s="3241" t="s">
        <v>1972</v>
      </c>
      <c r="L24" s="2479" t="str">
        <f>"根据估价对象"&amp;IF(B26="——",B25&amp;C25,B25&amp;C25&amp;"、"&amp;B26&amp;C26)&amp;"，"&amp;IF(C23="是","截至估价期日，估价对象已设定抵押。","截至估价期日，估价对象抵押权未见登记。")</f>
        <v>根据估价对象————，截至估价期日，估价对象抵押权未见登记。</v>
      </c>
      <c r="M24" s="1720"/>
      <c r="N24" s="1692"/>
      <c r="O24" s="1693"/>
      <c r="P24" s="1692"/>
      <c r="Q24" s="1692"/>
      <c r="R24" s="1692"/>
      <c r="S24" s="1692"/>
      <c r="T24" s="1692"/>
      <c r="U24" s="1692"/>
    </row>
    <row r="25" spans="1:21">
      <c r="A25" s="1748"/>
      <c r="B25" s="1745" t="s">
        <v>952</v>
      </c>
      <c r="C25" s="1707" t="s">
        <v>952</v>
      </c>
      <c r="D25" s="1708"/>
      <c r="E25" s="1709" t="s">
        <v>952</v>
      </c>
      <c r="F25" s="1710"/>
      <c r="G25" s="1692"/>
      <c r="H25" s="1692"/>
      <c r="I25" s="1705"/>
      <c r="J25" s="1692"/>
      <c r="K25" s="3241"/>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2"/>
      <c r="O25" s="1693"/>
      <c r="P25" s="1692"/>
      <c r="Q25" s="1692"/>
      <c r="R25" s="1692"/>
      <c r="S25" s="1692"/>
      <c r="T25" s="1692"/>
      <c r="U25" s="1692"/>
    </row>
    <row r="26" spans="1:21" ht="15" thickBot="1">
      <c r="A26" s="1749"/>
      <c r="B26" s="1746" t="s">
        <v>952</v>
      </c>
      <c r="C26" s="1707" t="s">
        <v>952</v>
      </c>
      <c r="D26" s="1658"/>
      <c r="E26" s="1658"/>
      <c r="F26" s="1686"/>
      <c r="G26" s="1692"/>
      <c r="H26" s="1692"/>
      <c r="I26" s="1705"/>
      <c r="J26" s="1692"/>
      <c r="K26" s="3241"/>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2"/>
      <c r="O26" s="1693"/>
      <c r="P26" s="1692"/>
      <c r="Q26" s="1692"/>
      <c r="R26" s="1692"/>
      <c r="S26" s="1692"/>
      <c r="T26" s="1692"/>
      <c r="U26" s="1692"/>
    </row>
    <row r="27" spans="1:21">
      <c r="A27" s="1752" t="s">
        <v>1973</v>
      </c>
      <c r="B27" s="1750" t="s">
        <v>1974</v>
      </c>
      <c r="C27" s="1711"/>
      <c r="D27" s="2674" t="s">
        <v>1974</v>
      </c>
      <c r="E27" s="1712"/>
      <c r="F27" s="1686"/>
      <c r="G27" s="1692"/>
      <c r="H27" s="1692"/>
      <c r="I27" s="1705"/>
      <c r="J27" s="1692"/>
      <c r="K27" s="1771"/>
      <c r="L27" s="1720"/>
      <c r="M27" s="1720"/>
      <c r="N27" s="1692"/>
      <c r="O27" s="1693"/>
      <c r="P27" s="1692"/>
      <c r="Q27" s="1692"/>
      <c r="R27" s="1692"/>
      <c r="S27" s="1692"/>
      <c r="T27" s="1692"/>
      <c r="U27" s="1692"/>
    </row>
    <row r="28" spans="1:21">
      <c r="A28" s="1753"/>
      <c r="B28" s="1750" t="s">
        <v>1975</v>
      </c>
      <c r="C28" s="1713"/>
      <c r="D28" s="2675" t="s">
        <v>1975</v>
      </c>
      <c r="E28" s="1714"/>
      <c r="F28" s="1686"/>
      <c r="G28" s="1692"/>
      <c r="H28" s="1692"/>
      <c r="I28" s="1705"/>
      <c r="J28" s="1692"/>
      <c r="K28" s="1771"/>
      <c r="L28" s="1720"/>
      <c r="M28" s="1720"/>
      <c r="N28" s="1692"/>
      <c r="O28" s="1693"/>
      <c r="P28" s="1692"/>
      <c r="Q28" s="1692"/>
      <c r="R28" s="1692"/>
      <c r="S28" s="1692"/>
      <c r="T28" s="1692"/>
      <c r="U28" s="1692"/>
    </row>
    <row r="29" spans="1:21">
      <c r="A29" s="1753"/>
      <c r="B29" s="1750" t="s">
        <v>1976</v>
      </c>
      <c r="C29" s="1713"/>
      <c r="D29" s="2675" t="s">
        <v>1976</v>
      </c>
      <c r="E29" s="1714"/>
      <c r="F29" s="1686"/>
      <c r="G29" s="1692"/>
      <c r="H29" s="1692"/>
      <c r="I29" s="1705"/>
      <c r="J29" s="1692"/>
      <c r="K29" s="1771"/>
      <c r="L29" s="1720"/>
      <c r="M29" s="1720"/>
      <c r="N29" s="1692"/>
      <c r="O29" s="1693"/>
      <c r="P29" s="1692"/>
      <c r="Q29" s="1692"/>
      <c r="R29" s="1692"/>
      <c r="S29" s="1692"/>
      <c r="T29" s="1692"/>
      <c r="U29" s="1692"/>
    </row>
    <row r="30" spans="1:21" ht="15" thickBot="1">
      <c r="A30" s="1754"/>
      <c r="B30" s="1751" t="s">
        <v>1977</v>
      </c>
      <c r="C30" s="1715"/>
      <c r="D30" s="2676" t="s">
        <v>1977</v>
      </c>
      <c r="E30" s="1716"/>
      <c r="F30" s="1687"/>
      <c r="G30" s="1739"/>
      <c r="H30" s="1739"/>
      <c r="I30" s="1740"/>
      <c r="J30" s="1692"/>
      <c r="K30" s="1771"/>
      <c r="L30" s="1720"/>
      <c r="M30" s="1720"/>
      <c r="N30" s="1692"/>
      <c r="O30" s="1693"/>
      <c r="P30" s="1692"/>
      <c r="Q30" s="1692"/>
      <c r="R30" s="1692"/>
      <c r="S30" s="1692"/>
      <c r="T30" s="1692"/>
      <c r="U30" s="1692"/>
    </row>
    <row r="31" spans="1:21" ht="15" thickTop="1">
      <c r="A31" s="3227" t="s">
        <v>2001</v>
      </c>
      <c r="B31" s="1761" t="s">
        <v>2002</v>
      </c>
      <c r="C31" s="3266" t="s">
        <v>2992</v>
      </c>
      <c r="D31" s="3267"/>
      <c r="E31" s="1692"/>
      <c r="F31" s="1692"/>
      <c r="G31" s="1692"/>
      <c r="H31" s="1692"/>
      <c r="I31" s="1705"/>
      <c r="J31" s="1692"/>
      <c r="K31" s="2480"/>
      <c r="L31" s="1692"/>
      <c r="M31" s="1692"/>
      <c r="N31" s="1692"/>
      <c r="O31" s="1692"/>
      <c r="P31" s="1692"/>
      <c r="Q31" s="1692"/>
      <c r="R31" s="1692"/>
      <c r="S31" s="1692"/>
      <c r="T31" s="1692"/>
      <c r="U31" s="1692"/>
    </row>
    <row r="32" spans="1:21">
      <c r="A32" s="3227"/>
      <c r="B32" s="1659" t="s">
        <v>2003</v>
      </c>
      <c r="C32" s="3164" t="s">
        <v>2993</v>
      </c>
      <c r="D32" s="1717"/>
      <c r="E32" s="1692"/>
      <c r="F32" s="1692"/>
      <c r="G32" s="1692"/>
      <c r="H32" s="1692"/>
      <c r="I32" s="1705"/>
      <c r="J32" s="1692"/>
      <c r="K32" s="2480"/>
      <c r="L32" s="1692"/>
      <c r="M32" s="1692"/>
      <c r="N32" s="1692"/>
      <c r="O32" s="1692"/>
      <c r="P32" s="1692"/>
      <c r="Q32" s="1692"/>
      <c r="R32" s="1692"/>
      <c r="S32" s="1692"/>
      <c r="T32" s="1692"/>
      <c r="U32" s="1692"/>
    </row>
    <row r="33" spans="1:21">
      <c r="A33" s="3227"/>
      <c r="B33" s="1659" t="s">
        <v>2004</v>
      </c>
      <c r="C33" s="1718" t="s">
        <v>2989</v>
      </c>
      <c r="D33" s="1835"/>
      <c r="E33" s="1692"/>
      <c r="F33" s="1692"/>
      <c r="G33" s="1692"/>
      <c r="H33" s="1692"/>
      <c r="I33" s="1705"/>
      <c r="J33" s="1692"/>
      <c r="K33" s="2480"/>
      <c r="L33" s="1692"/>
      <c r="M33" s="1692"/>
      <c r="N33" s="1692"/>
      <c r="O33" s="1692"/>
      <c r="P33" s="1692"/>
      <c r="Q33" s="1692"/>
      <c r="R33" s="1692"/>
      <c r="S33" s="1692"/>
      <c r="T33" s="1692"/>
      <c r="U33" s="1692"/>
    </row>
    <row r="34" spans="1:21">
      <c r="A34" s="3228"/>
      <c r="B34" s="1659" t="s">
        <v>2005</v>
      </c>
      <c r="C34" s="3229"/>
      <c r="D34" s="3230"/>
      <c r="E34" s="1692"/>
      <c r="F34" s="1692"/>
      <c r="G34" s="1692"/>
      <c r="H34" s="1692"/>
      <c r="I34" s="1705"/>
      <c r="J34" s="1692"/>
      <c r="K34" s="2480"/>
      <c r="L34" s="1692"/>
      <c r="M34" s="1692"/>
      <c r="N34" s="1692"/>
      <c r="O34" s="1692"/>
      <c r="P34" s="1692"/>
      <c r="Q34" s="1692"/>
      <c r="R34" s="1692"/>
      <c r="S34" s="1692"/>
      <c r="T34" s="1692"/>
      <c r="U34" s="1692"/>
    </row>
    <row r="35" spans="1:21">
      <c r="A35" s="3231" t="s">
        <v>847</v>
      </c>
      <c r="B35" s="1719" t="s">
        <v>2994</v>
      </c>
      <c r="C35" s="1773" t="str">
        <f>IF(B35="场地平整","——","具体情况：")</f>
        <v>——</v>
      </c>
      <c r="D35" s="3233"/>
      <c r="E35" s="3234"/>
      <c r="F35" s="3234"/>
      <c r="G35" s="3234"/>
      <c r="H35" s="3234"/>
      <c r="I35" s="3235"/>
      <c r="J35" s="1692"/>
      <c r="K35" s="1772"/>
      <c r="L35" s="1720"/>
      <c r="M35" s="1720"/>
      <c r="N35" s="1692"/>
      <c r="O35" s="1693"/>
      <c r="P35" s="1692"/>
      <c r="Q35" s="1692"/>
      <c r="R35" s="1692"/>
      <c r="S35" s="1692"/>
      <c r="T35" s="1692"/>
      <c r="U35" s="1692"/>
    </row>
    <row r="36" spans="1:21">
      <c r="A36" s="3227"/>
      <c r="B36" s="3236" t="s">
        <v>2054</v>
      </c>
      <c r="C36" s="3237"/>
      <c r="D36" s="1789" t="s">
        <v>2995</v>
      </c>
      <c r="E36" s="3238"/>
      <c r="F36" s="3238"/>
      <c r="G36" s="1685" t="str">
        <f>IF(B35="场地未平整","估价结果处理","")</f>
        <v/>
      </c>
      <c r="H36" s="3239"/>
      <c r="I36" s="3239"/>
      <c r="J36" s="1692"/>
      <c r="K36" s="1772"/>
      <c r="L36" s="1720"/>
      <c r="M36" s="1720"/>
      <c r="N36" s="1692"/>
      <c r="O36" s="1693"/>
      <c r="P36" s="1692"/>
      <c r="Q36" s="1692"/>
      <c r="R36" s="1692"/>
      <c r="S36" s="1692"/>
      <c r="T36" s="1692"/>
      <c r="U36" s="1692"/>
    </row>
    <row r="37" spans="1:21" ht="28.5">
      <c r="A37" s="3227"/>
      <c r="B37" s="3257" t="s">
        <v>848</v>
      </c>
      <c r="C37" s="1721" t="s">
        <v>849</v>
      </c>
      <c r="D37" s="1722"/>
      <c r="E37" s="1723"/>
      <c r="F37" s="1692"/>
      <c r="G37" s="1692"/>
      <c r="H37" s="1692"/>
      <c r="I37" s="1705"/>
      <c r="J37" s="1692"/>
      <c r="K37" s="1772"/>
      <c r="L37" s="1692"/>
      <c r="M37" s="1692"/>
      <c r="N37" s="1692"/>
      <c r="O37" s="1692"/>
      <c r="P37" s="1692"/>
      <c r="Q37" s="1692"/>
      <c r="R37" s="1692"/>
      <c r="S37" s="1692"/>
      <c r="T37" s="1692"/>
      <c r="U37" s="1692"/>
    </row>
    <row r="38" spans="1:21">
      <c r="A38" s="3227"/>
      <c r="B38" s="3258"/>
      <c r="C38" s="1667" t="s">
        <v>850</v>
      </c>
      <c r="D38" s="1788">
        <f>ROUNDDOWN(MIN(('数据-取费表'!$B$2-D37)/365,D34),1)</f>
        <v>117.9</v>
      </c>
      <c r="E38" s="1724" t="s">
        <v>851</v>
      </c>
      <c r="F38" s="1692"/>
      <c r="G38" s="1692"/>
      <c r="H38" s="1692"/>
      <c r="I38" s="1705"/>
      <c r="J38" s="1692"/>
      <c r="K38" s="1772"/>
      <c r="L38" s="1692"/>
      <c r="M38" s="1692"/>
      <c r="N38" s="1692"/>
      <c r="O38" s="1692"/>
      <c r="P38" s="1692"/>
      <c r="Q38" s="1692"/>
      <c r="R38" s="1692"/>
      <c r="S38" s="1692"/>
      <c r="T38" s="1692"/>
      <c r="U38" s="1692"/>
    </row>
    <row r="39" spans="1:21">
      <c r="A39" s="3228"/>
      <c r="B39" s="3259"/>
      <c r="C39" s="1695" t="str">
        <f>IF(D38&lt;1,"不存在土地闲置",IF(B35="宗地内已开工建设","已开工，不存在土地闲置","估价对象已涉嫌土地闲置"))</f>
        <v>估价对象已涉嫌土地闲置</v>
      </c>
      <c r="D39" s="1725"/>
      <c r="E39" s="1726"/>
      <c r="F39" s="1692"/>
      <c r="G39" s="1692"/>
      <c r="H39" s="1692"/>
      <c r="I39" s="1705"/>
      <c r="J39" s="1692"/>
      <c r="K39" s="1771"/>
      <c r="L39" s="1720"/>
      <c r="M39" s="1720"/>
      <c r="N39" s="1692"/>
      <c r="O39" s="1693"/>
      <c r="P39" s="1692"/>
      <c r="Q39" s="1692"/>
      <c r="R39" s="1692"/>
      <c r="S39" s="1692"/>
      <c r="T39" s="1692"/>
      <c r="U39" s="1692"/>
    </row>
    <row r="40" spans="1:21">
      <c r="A40" s="1685" t="s">
        <v>1978</v>
      </c>
      <c r="B40" s="1688" t="s">
        <v>2996</v>
      </c>
      <c r="C40" s="1688" t="s">
        <v>2997</v>
      </c>
      <c r="D40" s="1688" t="s">
        <v>2998</v>
      </c>
      <c r="E40" s="1688" t="s">
        <v>2999</v>
      </c>
      <c r="F40" s="1688" t="s">
        <v>3000</v>
      </c>
      <c r="G40" s="1688" t="s">
        <v>3001</v>
      </c>
      <c r="H40" s="1688"/>
      <c r="I40" s="1705"/>
      <c r="J40" s="1692"/>
      <c r="K40" s="1727">
        <f>COUNTIF(B40:H40,"——")</f>
        <v>0</v>
      </c>
      <c r="L40" s="1697" t="s">
        <v>1979</v>
      </c>
      <c r="M40" s="1694" t="s">
        <v>1980</v>
      </c>
      <c r="N40" s="1694" t="s">
        <v>1981</v>
      </c>
      <c r="O40" s="1694" t="s">
        <v>1982</v>
      </c>
      <c r="P40" s="1694" t="s">
        <v>1983</v>
      </c>
      <c r="Q40" s="1694" t="s">
        <v>1984</v>
      </c>
      <c r="R40" s="1694" t="s">
        <v>1985</v>
      </c>
      <c r="S40" s="3240" t="s">
        <v>1986</v>
      </c>
      <c r="T40" s="1728" t="str">
        <f>NUMBERSTRING(7-K40,1)&amp;"通"</f>
        <v>七通</v>
      </c>
      <c r="U40" s="1692"/>
    </row>
    <row r="41" spans="1:21" ht="28.5">
      <c r="A41" s="1661"/>
      <c r="B41" s="3232" t="s">
        <v>1722</v>
      </c>
      <c r="C41" s="3232"/>
      <c r="D41" s="3232"/>
      <c r="E41" s="3232"/>
      <c r="F41" s="1729" t="str">
        <f>C10</f>
        <v>四川省成都市</v>
      </c>
      <c r="G41" s="1692"/>
      <c r="H41" s="1692"/>
      <c r="I41" s="1705"/>
      <c r="J41" s="1692"/>
      <c r="K41" s="1697"/>
      <c r="L41" s="1694"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通路、通电、通讯、通上水、通下水、燃气</v>
      </c>
      <c r="R41" s="1731" t="str">
        <f>B40&amp;"、"&amp;C40&amp;"、"&amp;D40&amp;"、"&amp;E40&amp;"、"&amp;F40&amp;"、"&amp;G40&amp;"、"&amp;H40</f>
        <v>通路、通电、通讯、通上水、通下水、燃气、</v>
      </c>
      <c r="S41" s="3240"/>
      <c r="T41" s="1730" t="str">
        <f>IF(T40="一通",L41,IF(T40="二通",M41,IF(T40="三通",N41,IF(T40="四通",O41,IF(T40="五通",P41,IF(T40="六通",Q41,R41))))))</f>
        <v>通路、通电、通讯、通上水、通下水、燃气、</v>
      </c>
      <c r="U41" s="1692"/>
    </row>
    <row r="42" spans="1:21">
      <c r="A42" s="1732"/>
      <c r="B42" s="1763" t="s">
        <v>1898</v>
      </c>
      <c r="C42" s="1763" t="s">
        <v>1899</v>
      </c>
      <c r="D42" s="1763" t="s">
        <v>1900</v>
      </c>
      <c r="E42" s="1697" t="s">
        <v>1901</v>
      </c>
      <c r="F42" s="1733"/>
      <c r="G42" s="1692"/>
      <c r="H42" s="1692"/>
      <c r="I42" s="1705"/>
      <c r="J42" s="1692"/>
      <c r="K42" s="1771"/>
      <c r="L42" s="1720"/>
      <c r="M42" s="1720"/>
      <c r="N42" s="1692"/>
      <c r="O42" s="1693"/>
      <c r="P42" s="1692"/>
      <c r="Q42" s="1692"/>
      <c r="R42" s="1692"/>
      <c r="S42" s="1692"/>
      <c r="T42" s="1692"/>
      <c r="U42" s="1692"/>
    </row>
    <row r="43" spans="1:21">
      <c r="A43" s="1734" t="s">
        <v>1707</v>
      </c>
      <c r="B43" s="1735"/>
      <c r="C43" s="1735"/>
      <c r="D43" s="1735"/>
      <c r="E43" s="1735"/>
      <c r="F43" s="1736"/>
      <c r="G43" s="1692"/>
      <c r="H43" s="1692"/>
      <c r="I43" s="1705"/>
      <c r="J43" s="1692"/>
      <c r="K43" s="1771"/>
      <c r="L43" s="1720"/>
      <c r="M43" s="1720"/>
      <c r="N43" s="1692"/>
      <c r="O43" s="1693"/>
      <c r="P43" s="1692"/>
      <c r="Q43" s="1692"/>
      <c r="R43" s="1692"/>
      <c r="S43" s="1692"/>
      <c r="T43" s="1692"/>
      <c r="U43" s="1692"/>
    </row>
    <row r="44" spans="1:21">
      <c r="A44" s="1734" t="s">
        <v>1708</v>
      </c>
      <c r="B44" s="1735"/>
      <c r="C44" s="1735"/>
      <c r="D44" s="1735"/>
      <c r="E44" s="1789"/>
      <c r="F44" s="1736"/>
      <c r="G44" s="1692"/>
      <c r="H44" s="1692"/>
      <c r="I44" s="1705"/>
      <c r="J44" s="1692"/>
      <c r="K44" s="1771"/>
      <c r="L44" s="1720"/>
      <c r="M44" s="1720"/>
      <c r="N44" s="1692"/>
      <c r="O44" s="1693"/>
      <c r="P44" s="1692"/>
      <c r="Q44" s="1692"/>
      <c r="R44" s="1692"/>
      <c r="S44" s="1692"/>
      <c r="T44" s="1692"/>
      <c r="U44" s="1692"/>
    </row>
    <row r="45" spans="1:21" s="3097" customFormat="1" ht="21" thickBot="1">
      <c r="A45" s="3098" t="s">
        <v>2890</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2"/>
      <c r="B46" s="1692"/>
      <c r="C46" s="1692"/>
      <c r="D46" s="1692"/>
      <c r="E46" s="1692"/>
      <c r="F46" s="1692"/>
      <c r="G46" s="1692"/>
      <c r="H46" s="1692"/>
      <c r="I46" s="1705"/>
      <c r="J46" s="1692"/>
      <c r="K46" s="1771"/>
      <c r="L46" s="1720"/>
      <c r="M46" s="1720"/>
      <c r="N46" s="1692"/>
      <c r="O46" s="1693"/>
      <c r="P46" s="1692"/>
      <c r="Q46" s="1692"/>
      <c r="R46" s="1692"/>
      <c r="S46" s="1692"/>
      <c r="T46" s="1692"/>
      <c r="U46" s="1692"/>
    </row>
    <row r="47" spans="1:21">
      <c r="A47" s="1737" t="s">
        <v>2006</v>
      </c>
      <c r="B47" s="1738"/>
      <c r="C47" s="1726"/>
      <c r="D47" s="1692"/>
      <c r="E47" s="1692"/>
      <c r="F47" s="1692"/>
      <c r="G47" s="1692"/>
      <c r="H47" s="1692"/>
      <c r="I47" s="1693"/>
      <c r="J47" s="1692"/>
      <c r="K47" s="1771"/>
      <c r="L47" s="1720"/>
      <c r="M47" s="1720"/>
      <c r="N47" s="1692"/>
      <c r="O47" s="1693"/>
      <c r="P47" s="1692"/>
      <c r="Q47" s="1692"/>
      <c r="R47" s="1692"/>
      <c r="S47" s="1692"/>
      <c r="T47" s="1692"/>
      <c r="U47" s="1692"/>
    </row>
    <row r="48" spans="1:21" ht="28.5">
      <c r="A48" s="1697" t="s">
        <v>2007</v>
      </c>
      <c r="B48" s="1684" t="s">
        <v>2008</v>
      </c>
      <c r="C48" s="1684" t="s">
        <v>2009</v>
      </c>
      <c r="D48" s="1684" t="s">
        <v>2010</v>
      </c>
      <c r="E48" s="1684" t="s">
        <v>2011</v>
      </c>
      <c r="F48" s="1684" t="s">
        <v>2012</v>
      </c>
      <c r="G48" s="1684" t="s">
        <v>2013</v>
      </c>
      <c r="H48" s="1684" t="s">
        <v>2014</v>
      </c>
      <c r="I48" s="1684" t="s">
        <v>2015</v>
      </c>
      <c r="J48" s="1769" t="s">
        <v>2016</v>
      </c>
      <c r="K48" s="1763" t="s">
        <v>2017</v>
      </c>
      <c r="L48" s="1763" t="s">
        <v>2018</v>
      </c>
      <c r="M48" s="1763" t="s">
        <v>2019</v>
      </c>
      <c r="N48" s="1684" t="s">
        <v>2020</v>
      </c>
      <c r="O48" s="1684" t="s">
        <v>2021</v>
      </c>
      <c r="P48" s="1684" t="s">
        <v>2022</v>
      </c>
      <c r="Q48" s="1697" t="s">
        <v>2023</v>
      </c>
      <c r="R48" s="1697" t="s">
        <v>2024</v>
      </c>
      <c r="S48" s="1692"/>
      <c r="T48" s="1692"/>
      <c r="U48" s="1692"/>
    </row>
    <row r="49" spans="1:21">
      <c r="A49" s="1694"/>
      <c r="B49" s="1727"/>
      <c r="C49" s="1727"/>
      <c r="D49" s="1727"/>
      <c r="E49" s="1727"/>
      <c r="F49" s="1727"/>
      <c r="G49" s="1727"/>
      <c r="H49" s="1727"/>
      <c r="I49" s="1727"/>
      <c r="J49" s="1836"/>
      <c r="K49" s="1837"/>
      <c r="L49" s="1837"/>
      <c r="M49" s="1727"/>
      <c r="N49" s="1727"/>
      <c r="O49" s="1727"/>
      <c r="P49" s="1727"/>
      <c r="Q49" s="1727"/>
      <c r="R49" s="1727"/>
      <c r="S49" s="1692"/>
      <c r="T49" s="1692"/>
      <c r="U49" s="1692"/>
    </row>
    <row r="50" spans="1:21">
      <c r="A50" s="1694"/>
      <c r="B50" s="1694"/>
      <c r="C50" s="1727"/>
      <c r="D50" s="1727"/>
      <c r="E50" s="1727"/>
      <c r="F50" s="1727"/>
      <c r="G50" s="1727"/>
      <c r="H50" s="1727"/>
      <c r="I50" s="1727"/>
      <c r="J50" s="1836"/>
      <c r="K50" s="1837"/>
      <c r="L50" s="1837"/>
      <c r="M50" s="1727"/>
      <c r="N50" s="1727"/>
      <c r="O50" s="1727"/>
      <c r="P50" s="1727"/>
      <c r="Q50" s="1727"/>
      <c r="R50" s="1727"/>
      <c r="S50" s="1692"/>
      <c r="T50" s="1692"/>
      <c r="U50" s="1692"/>
    </row>
    <row r="51" spans="1:21">
      <c r="A51" s="1694"/>
      <c r="B51" s="1694"/>
      <c r="C51" s="1727"/>
      <c r="D51" s="1727"/>
      <c r="E51" s="1727"/>
      <c r="F51" s="1727"/>
      <c r="G51" s="1727"/>
      <c r="H51" s="1727"/>
      <c r="I51" s="1727"/>
      <c r="J51" s="1836"/>
      <c r="K51" s="1837"/>
      <c r="L51" s="1837"/>
      <c r="M51" s="1727"/>
      <c r="N51" s="1727"/>
      <c r="O51" s="1727"/>
      <c r="P51" s="1727"/>
      <c r="Q51" s="1727"/>
      <c r="R51" s="1727"/>
      <c r="S51" s="1692"/>
      <c r="T51" s="1692"/>
      <c r="U51" s="1692"/>
    </row>
    <row r="52" spans="1:21">
      <c r="A52" s="1694"/>
      <c r="B52" s="1694"/>
      <c r="C52" s="1727"/>
      <c r="D52" s="1727"/>
      <c r="E52" s="1727"/>
      <c r="F52" s="1727"/>
      <c r="G52" s="1727"/>
      <c r="H52" s="1727"/>
      <c r="I52" s="1727"/>
      <c r="J52" s="1836"/>
      <c r="K52" s="1837"/>
      <c r="L52" s="1837"/>
      <c r="M52" s="1727"/>
      <c r="N52" s="1727"/>
      <c r="O52" s="1727"/>
      <c r="P52" s="1727"/>
      <c r="Q52" s="1727"/>
      <c r="R52" s="1727"/>
      <c r="S52" s="1692"/>
      <c r="T52" s="1692"/>
      <c r="U52" s="1692"/>
    </row>
    <row r="53" spans="1:21">
      <c r="A53" s="1694"/>
      <c r="B53" s="1694"/>
      <c r="C53" s="1727"/>
      <c r="D53" s="1727"/>
      <c r="E53" s="1727"/>
      <c r="F53" s="1727"/>
      <c r="G53" s="1727"/>
      <c r="H53" s="1727"/>
      <c r="I53" s="1727"/>
      <c r="J53" s="1836"/>
      <c r="K53" s="1837"/>
      <c r="L53" s="1837"/>
      <c r="M53" s="1727"/>
      <c r="N53" s="1727"/>
      <c r="O53" s="1727"/>
      <c r="P53" s="1727"/>
      <c r="Q53" s="1727"/>
      <c r="R53" s="1727"/>
      <c r="S53" s="1692"/>
      <c r="T53" s="1692"/>
      <c r="U53" s="1692"/>
    </row>
    <row r="54" spans="1:21">
      <c r="A54" s="1694"/>
      <c r="B54" s="1694"/>
      <c r="C54" s="1694"/>
      <c r="D54" s="1694"/>
      <c r="E54" s="1694"/>
      <c r="F54" s="1727"/>
      <c r="G54" s="1694"/>
      <c r="H54" s="1694"/>
      <c r="I54" s="1694"/>
      <c r="J54" s="1838"/>
      <c r="K54" s="1837"/>
      <c r="L54" s="1837"/>
      <c r="M54" s="1837"/>
      <c r="N54" s="1694"/>
      <c r="O54" s="1694"/>
      <c r="P54" s="1694"/>
      <c r="Q54" s="1694"/>
      <c r="R54" s="1694"/>
      <c r="S54" s="1692"/>
      <c r="T54" s="1692"/>
      <c r="U54" s="1692"/>
    </row>
    <row r="55" spans="1:21">
      <c r="A55" s="1694"/>
      <c r="B55" s="1694"/>
      <c r="C55" s="1694"/>
      <c r="D55" s="1694"/>
      <c r="E55" s="1694"/>
      <c r="F55" s="1727"/>
      <c r="G55" s="1694"/>
      <c r="H55" s="1694"/>
      <c r="I55" s="1694"/>
      <c r="J55" s="1838"/>
      <c r="K55" s="1837"/>
      <c r="L55" s="1837"/>
      <c r="M55" s="1837"/>
      <c r="N55" s="1694"/>
      <c r="O55" s="1694"/>
      <c r="P55" s="1694"/>
      <c r="Q55" s="1694"/>
      <c r="R55" s="1694"/>
      <c r="S55" s="1692"/>
      <c r="T55" s="1692"/>
      <c r="U55" s="1692"/>
    </row>
    <row r="56" spans="1:21">
      <c r="A56" s="1694"/>
      <c r="B56" s="1694"/>
      <c r="C56" s="1694"/>
      <c r="D56" s="1694"/>
      <c r="E56" s="1694"/>
      <c r="F56" s="1727"/>
      <c r="G56" s="1694"/>
      <c r="H56" s="1694"/>
      <c r="I56" s="1694"/>
      <c r="J56" s="1838"/>
      <c r="K56" s="1837"/>
      <c r="L56" s="1837"/>
      <c r="M56" s="1837"/>
      <c r="N56" s="1694"/>
      <c r="O56" s="1694"/>
      <c r="P56" s="1694"/>
      <c r="Q56" s="1694"/>
      <c r="R56" s="1694"/>
      <c r="S56" s="1692"/>
      <c r="T56" s="1692"/>
      <c r="U56" s="1692"/>
    </row>
    <row r="57" spans="1:21">
      <c r="A57" s="1694"/>
      <c r="B57" s="1694"/>
      <c r="C57" s="1694"/>
      <c r="D57" s="1694"/>
      <c r="E57" s="1694"/>
      <c r="F57" s="1727"/>
      <c r="G57" s="1694"/>
      <c r="H57" s="1694"/>
      <c r="I57" s="1694"/>
      <c r="J57" s="1838"/>
      <c r="K57" s="1837"/>
      <c r="L57" s="1837"/>
      <c r="M57" s="1837"/>
      <c r="N57" s="1694"/>
      <c r="O57" s="1694"/>
      <c r="P57" s="1694"/>
      <c r="Q57" s="1694"/>
      <c r="R57" s="1694"/>
      <c r="S57" s="1692"/>
      <c r="T57" s="1692"/>
      <c r="U57" s="1692"/>
    </row>
    <row r="58" spans="1:21">
      <c r="A58" s="1694"/>
      <c r="B58" s="1694"/>
      <c r="C58" s="1694"/>
      <c r="D58" s="1694"/>
      <c r="E58" s="1694"/>
      <c r="F58" s="1727"/>
      <c r="G58" s="1694"/>
      <c r="H58" s="1694"/>
      <c r="I58" s="1694"/>
      <c r="J58" s="1838"/>
      <c r="K58" s="1837"/>
      <c r="L58" s="1837"/>
      <c r="M58" s="1837"/>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M13" sqref="M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8" t="s">
        <v>2331</v>
      </c>
      <c r="BA2" s="2359" t="s">
        <v>2330</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81852.679999999993</v>
      </c>
      <c r="B3" s="22">
        <f>IF(C3="否",G5-AT5,G5)</f>
        <v>204632.7</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204632.7</v>
      </c>
      <c r="H5" s="27">
        <f t="shared" ref="H5:AT5" si="0">SUM(H13:H641)</f>
        <v>204632.7</v>
      </c>
      <c r="I5" s="27">
        <f t="shared" si="0"/>
        <v>163706.16</v>
      </c>
      <c r="J5" s="27">
        <f t="shared" si="0"/>
        <v>0</v>
      </c>
      <c r="K5" s="27">
        <f t="shared" si="0"/>
        <v>10926.54</v>
      </c>
      <c r="L5" s="27">
        <f t="shared" si="0"/>
        <v>0</v>
      </c>
      <c r="M5" s="27">
        <f t="shared" si="0"/>
        <v>15000</v>
      </c>
      <c r="N5" s="27">
        <f t="shared" si="0"/>
        <v>0</v>
      </c>
      <c r="O5" s="27">
        <f t="shared" si="0"/>
        <v>15000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204632.7</v>
      </c>
      <c r="BA5" s="29">
        <f t="shared" si="1"/>
        <v>204632.7</v>
      </c>
      <c r="BB5" s="29">
        <f t="shared" si="1"/>
        <v>163706.16</v>
      </c>
      <c r="BC5" s="29">
        <f t="shared" si="1"/>
        <v>10926.54</v>
      </c>
      <c r="BD5" s="29">
        <f t="shared" si="1"/>
        <v>15000</v>
      </c>
      <c r="BE5" s="29">
        <f t="shared" si="1"/>
        <v>15000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81852.67</v>
      </c>
      <c r="F6" s="27" t="s">
        <v>1</v>
      </c>
      <c r="G6" s="27" t="s">
        <v>2</v>
      </c>
      <c r="H6" s="33">
        <f>SUMIF(I$12:AB$12,"总值",I6:AB6)</f>
        <v>81852.67</v>
      </c>
      <c r="I6" s="27">
        <f t="shared" ref="I6:AB6" si="2">ROUND($A$3*I5/$B$3,2)</f>
        <v>65482.14</v>
      </c>
      <c r="J6" s="27">
        <f t="shared" si="2"/>
        <v>0</v>
      </c>
      <c r="K6" s="27">
        <f t="shared" si="2"/>
        <v>4370.59</v>
      </c>
      <c r="L6" s="27">
        <f t="shared" si="2"/>
        <v>0</v>
      </c>
      <c r="M6" s="27">
        <f t="shared" si="2"/>
        <v>5999.97</v>
      </c>
      <c r="N6" s="27">
        <f t="shared" si="2"/>
        <v>0</v>
      </c>
      <c r="O6" s="27">
        <f t="shared" si="2"/>
        <v>5999.97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81852.679999999993</v>
      </c>
      <c r="AZ6" s="27" t="s">
        <v>3</v>
      </c>
      <c r="BA6" s="27">
        <f>ROUND($AY$6*BA5/$AZ$5,2)</f>
        <v>81852.679999999993</v>
      </c>
      <c r="BB6" s="27">
        <f>ROUND($AY$6*BB5/$AZ$5,2)</f>
        <v>65482.14</v>
      </c>
      <c r="BC6" s="27">
        <f t="shared" ref="BC6:BH6" si="4">ROUND($AY$6*BC5/$AZ$5,2)</f>
        <v>4370.59</v>
      </c>
      <c r="BD6" s="27">
        <f t="shared" si="4"/>
        <v>5999.97</v>
      </c>
      <c r="BE6" s="27">
        <f t="shared" si="4"/>
        <v>5999.97</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3" t="s">
        <v>3002</v>
      </c>
      <c r="J9" s="51"/>
      <c r="K9" s="3043" t="s">
        <v>3002</v>
      </c>
      <c r="L9" s="51"/>
      <c r="M9" s="3043" t="s">
        <v>3002</v>
      </c>
      <c r="N9" s="51"/>
      <c r="O9" s="59" t="s">
        <v>3002</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3" t="s">
        <v>923</v>
      </c>
      <c r="J10" s="51"/>
      <c r="K10" s="3045" t="s">
        <v>2985</v>
      </c>
      <c r="L10" s="51"/>
      <c r="M10" s="3045" t="s">
        <v>2985</v>
      </c>
      <c r="N10" s="51"/>
      <c r="O10" s="66" t="s">
        <v>1678</v>
      </c>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2329</v>
      </c>
      <c r="AK10" s="2331"/>
      <c r="AL10" s="2312" t="s">
        <v>2319</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t="str">
        <f>O9</f>
        <v>地上</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4" t="s">
        <v>3004</v>
      </c>
      <c r="J11" s="71"/>
      <c r="K11" s="3044" t="s">
        <v>3005</v>
      </c>
      <c r="L11" s="71"/>
      <c r="M11" s="70" t="s">
        <v>3006</v>
      </c>
      <c r="N11" s="71"/>
      <c r="O11" s="70" t="s">
        <v>3011</v>
      </c>
      <c r="P11" s="71"/>
      <c r="Q11" s="70"/>
      <c r="R11" s="71"/>
      <c r="S11" s="70"/>
      <c r="T11" s="71"/>
      <c r="U11" s="70"/>
      <c r="V11" s="71"/>
      <c r="W11" s="70"/>
      <c r="X11" s="71"/>
      <c r="Y11" s="70"/>
      <c r="Z11" s="71"/>
      <c r="AA11" s="70"/>
      <c r="AB11" s="71"/>
      <c r="AC11" s="55"/>
      <c r="AD11" s="2332" t="s">
        <v>2328</v>
      </c>
      <c r="AE11" s="1001"/>
      <c r="AF11" s="2332" t="s">
        <v>2328</v>
      </c>
      <c r="AG11" s="1001"/>
      <c r="AH11" s="2332" t="s">
        <v>2327</v>
      </c>
      <c r="AI11" s="2333"/>
      <c r="AJ11" s="2332" t="s">
        <v>2327</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商业</v>
      </c>
      <c r="BE11" s="50" t="str">
        <f>O10</f>
        <v>办公</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底商</v>
      </c>
      <c r="BD12" s="79" t="str">
        <f>M11</f>
        <v>独栋</v>
      </c>
      <c r="BE12" s="50" t="str">
        <f>O11</f>
        <v>办公楼</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8"/>
      <c r="B13" s="3038"/>
      <c r="C13" s="3038"/>
      <c r="D13" s="3039" t="s">
        <v>1679</v>
      </c>
      <c r="E13" s="27">
        <f t="shared" ref="E13:E20" si="6">IF($C$3="是",ROUND($A$3*G13/$B$3,2),ROUND($A$3*(G13-AT13)/$B$3,2))</f>
        <v>81852.679999999993</v>
      </c>
      <c r="F13" s="81"/>
      <c r="G13" s="82">
        <f t="shared" ref="G13:G20" si="7">H13+AC13+AT13</f>
        <v>204632.7</v>
      </c>
      <c r="H13" s="33">
        <f t="shared" ref="H13:H20" si="8">SUMIF(I$12:AB$12,"总值",I13:AB13)</f>
        <v>204632.7</v>
      </c>
      <c r="I13" s="3042">
        <v>163706.16</v>
      </c>
      <c r="J13" s="3042"/>
      <c r="K13" s="3042">
        <v>10926.54</v>
      </c>
      <c r="L13" s="3042"/>
      <c r="M13" s="3042">
        <v>15000</v>
      </c>
      <c r="N13" s="83"/>
      <c r="O13" s="83">
        <v>15000</v>
      </c>
      <c r="P13" s="83"/>
      <c r="Q13" s="83"/>
      <c r="R13" s="83"/>
      <c r="S13" s="83"/>
      <c r="T13" s="83"/>
      <c r="U13" s="83"/>
      <c r="V13" s="83"/>
      <c r="W13" s="83"/>
      <c r="X13" s="83"/>
      <c r="Y13" s="83"/>
      <c r="Z13" s="83"/>
      <c r="AA13" s="83"/>
      <c r="AB13" s="83"/>
      <c r="AC13" s="27">
        <f t="shared" ref="AC13:AC20" si="9">SUMIF(AD$12:AS$12,"总值",AD13:AS13)</f>
        <v>0</v>
      </c>
      <c r="AD13" s="3046"/>
      <c r="AE13" s="3046"/>
      <c r="AF13" s="3046"/>
      <c r="AG13" s="3046"/>
      <c r="AH13" s="3046"/>
      <c r="AI13" s="3046"/>
      <c r="AJ13" s="3046"/>
      <c r="AK13" s="3046"/>
      <c r="AL13" s="3046"/>
      <c r="AM13" s="3046"/>
      <c r="AN13" s="3046"/>
      <c r="AO13" s="3046"/>
      <c r="AP13" s="3046"/>
      <c r="AQ13" s="3046"/>
      <c r="AR13" s="3046"/>
      <c r="AS13" s="3046"/>
      <c r="AT13" s="3047"/>
      <c r="AU13" s="3048"/>
      <c r="AV13" s="17">
        <f t="shared" ref="AV13:AX20" si="10">A13</f>
        <v>0</v>
      </c>
      <c r="AW13" s="17">
        <f t="shared" si="10"/>
        <v>0</v>
      </c>
      <c r="AX13" s="17">
        <f t="shared" si="10"/>
        <v>0</v>
      </c>
      <c r="AY13" s="995">
        <f t="shared" ref="AY13:AY20" si="11">ROUND($AY$6*AZ13/$AZ$5,2)</f>
        <v>81852.679999999993</v>
      </c>
      <c r="AZ13" s="27">
        <f t="shared" ref="AZ13:AZ20" si="12">BA13+BL13</f>
        <v>204632.7</v>
      </c>
      <c r="BA13" s="27">
        <f t="shared" ref="BA13:BA20" si="13">SUM(BB13:BK13)</f>
        <v>204632.7</v>
      </c>
      <c r="BB13" s="27">
        <f t="shared" ref="BB13:BB20" si="14">IF($D13="是",I13-J13,0)</f>
        <v>163706.16</v>
      </c>
      <c r="BC13" s="27">
        <f t="shared" ref="BC13:BC20" si="15">IF($D13="是",K13-L13,0)</f>
        <v>10926.54</v>
      </c>
      <c r="BD13" s="27">
        <f t="shared" ref="BD13:BD20" si="16">IF($D13="是",M13-N13,0)</f>
        <v>15000</v>
      </c>
      <c r="BE13" s="27">
        <f t="shared" ref="BE13:BE20" si="17">IF($D13="是",O13-P13,0)</f>
        <v>15000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40"/>
      <c r="D14" s="3039"/>
      <c r="E14" s="27">
        <f t="shared" si="6"/>
        <v>0</v>
      </c>
      <c r="F14" s="81"/>
      <c r="G14" s="82">
        <f t="shared" si="7"/>
        <v>0</v>
      </c>
      <c r="H14" s="33">
        <f t="shared" si="8"/>
        <v>0</v>
      </c>
      <c r="I14" s="3042"/>
      <c r="J14" s="3042"/>
      <c r="K14" s="3042"/>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c r="D15" s="3039"/>
      <c r="E15" s="27">
        <f t="shared" si="6"/>
        <v>0</v>
      </c>
      <c r="F15" s="81"/>
      <c r="G15" s="82">
        <f t="shared" si="7"/>
        <v>0</v>
      </c>
      <c r="H15" s="33">
        <f t="shared" si="8"/>
        <v>0</v>
      </c>
      <c r="I15" s="3042"/>
      <c r="J15" s="3042"/>
      <c r="K15" s="3042"/>
      <c r="L15" s="3042"/>
      <c r="M15" s="3042"/>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c r="D16" s="3039"/>
      <c r="E16" s="27">
        <f t="shared" si="6"/>
        <v>0</v>
      </c>
      <c r="F16" s="81"/>
      <c r="G16" s="82">
        <f t="shared" si="7"/>
        <v>0</v>
      </c>
      <c r="H16" s="33">
        <f t="shared" si="8"/>
        <v>0</v>
      </c>
      <c r="I16" s="3042"/>
      <c r="J16" s="3042"/>
      <c r="K16" s="3042"/>
      <c r="L16" s="3042"/>
      <c r="M16" s="3042"/>
      <c r="N16" s="83"/>
      <c r="O16" s="83"/>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c r="D17" s="3039"/>
      <c r="E17" s="27">
        <f t="shared" si="6"/>
        <v>0</v>
      </c>
      <c r="F17" s="81"/>
      <c r="G17" s="82">
        <f t="shared" si="7"/>
        <v>0</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c r="AU17" s="3048"/>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1"/>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2"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28.5">
      <c r="A3" s="3268"/>
      <c r="B3" s="3268"/>
      <c r="C3" s="3268"/>
      <c r="D3" s="3269"/>
      <c r="E3" s="32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L9" sqref="L9"/>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79" t="s">
        <v>203</v>
      </c>
      <c r="B2" s="3279"/>
      <c r="C2" s="3279"/>
      <c r="D2" s="1973" t="s">
        <v>204</v>
      </c>
      <c r="E2" s="106" t="s">
        <v>205</v>
      </c>
      <c r="F2" s="1982"/>
      <c r="G2" s="1197"/>
      <c r="H2" s="1198"/>
      <c r="I2" s="1199" t="s">
        <v>857</v>
      </c>
      <c r="J2" s="1982"/>
      <c r="K2" s="1982"/>
      <c r="L2" s="1982"/>
    </row>
    <row r="3" spans="1:16" ht="15.75" thickBot="1">
      <c r="A3" s="3280" t="s">
        <v>206</v>
      </c>
      <c r="B3" s="3280"/>
      <c r="C3" s="3280"/>
      <c r="D3" s="107">
        <f>'数据-基础表'!AY6</f>
        <v>81852.679999999993</v>
      </c>
      <c r="E3" s="107">
        <f>'数据-基础表'!AZ5</f>
        <v>204632.7</v>
      </c>
      <c r="F3" s="1982"/>
      <c r="G3" s="280" t="s">
        <v>858</v>
      </c>
      <c r="H3" s="275" t="s">
        <v>859</v>
      </c>
      <c r="I3" s="1974">
        <f>ROUND('数据-基础表'!B3/'数据-基础表'!A3,2)</f>
        <v>2.5</v>
      </c>
      <c r="J3" s="1982"/>
      <c r="K3" s="1982"/>
      <c r="L3" s="1982"/>
    </row>
    <row r="4" spans="1:16" ht="15">
      <c r="A4" s="3281"/>
      <c r="B4" s="3282"/>
      <c r="C4" s="3283"/>
      <c r="D4" s="108" t="s">
        <v>204</v>
      </c>
      <c r="E4" s="109" t="s">
        <v>205</v>
      </c>
      <c r="F4" s="1982"/>
      <c r="G4" s="1200"/>
      <c r="H4" s="275" t="s">
        <v>860</v>
      </c>
      <c r="I4" s="1974">
        <f>ROUND(SUMIF('数据-基础表'!I9:AS9,"地上",'数据-基础表'!I5:AS5)/'数据-基础表'!A3,2)</f>
        <v>2.5</v>
      </c>
      <c r="J4" s="1982"/>
      <c r="K4" s="1982"/>
      <c r="L4" s="1982"/>
    </row>
    <row r="5" spans="1:16">
      <c r="A5" s="110" t="s">
        <v>207</v>
      </c>
      <c r="B5" s="3284" t="s">
        <v>230</v>
      </c>
      <c r="C5" s="3284"/>
      <c r="D5" s="111">
        <f>ROUND($D$3*E5/$E$3,2)</f>
        <v>65482.14</v>
      </c>
      <c r="E5" s="112">
        <f>SUMIF('数据-基础表'!$11:$11,"住宅",'数据-基础表'!$5:$5)</f>
        <v>163706.16</v>
      </c>
      <c r="F5" s="1982"/>
      <c r="G5" s="280" t="s">
        <v>861</v>
      </c>
      <c r="H5" s="275" t="s">
        <v>859</v>
      </c>
      <c r="I5" s="1974">
        <f>ROUND(E31/D31,2)</f>
        <v>2.5</v>
      </c>
      <c r="J5" s="1982"/>
      <c r="K5" s="1982"/>
      <c r="L5" s="1982"/>
    </row>
    <row r="6" spans="1:16" ht="15" thickBot="1">
      <c r="A6" s="113"/>
      <c r="B6" s="3284" t="s">
        <v>208</v>
      </c>
      <c r="C6" s="3284"/>
      <c r="D6" s="111">
        <f>ROUND($D$3*E6/$E$3,2)</f>
        <v>16370.54</v>
      </c>
      <c r="E6" s="112">
        <f>E3-E5</f>
        <v>40926.540000000008</v>
      </c>
      <c r="F6" s="1982"/>
      <c r="G6" s="1200"/>
      <c r="H6" s="275" t="s">
        <v>860</v>
      </c>
      <c r="I6" s="1974">
        <f>ROUND(F31/D31,2)</f>
        <v>2.5</v>
      </c>
      <c r="J6" s="1982"/>
      <c r="K6" s="1982"/>
      <c r="L6" s="1982"/>
    </row>
    <row r="7" spans="1:16" ht="15">
      <c r="A7" s="3276"/>
      <c r="B7" s="3277"/>
      <c r="C7" s="3278"/>
      <c r="D7" s="108" t="s">
        <v>204</v>
      </c>
      <c r="E7" s="114" t="s">
        <v>231</v>
      </c>
      <c r="F7" s="1982"/>
      <c r="G7" s="1155" t="s">
        <v>1646</v>
      </c>
      <c r="H7" s="1156"/>
      <c r="I7" s="1844"/>
      <c r="J7" s="1982"/>
      <c r="K7" s="1982"/>
      <c r="L7" s="1982"/>
    </row>
    <row r="8" spans="1:16">
      <c r="A8" s="110" t="s">
        <v>209</v>
      </c>
      <c r="B8" s="115" t="s">
        <v>210</v>
      </c>
      <c r="C8" s="111" t="s">
        <v>211</v>
      </c>
      <c r="D8" s="111">
        <f t="shared" ref="D8:D15" si="0">ROUND($D$3*E8/$E$3,2)</f>
        <v>81852.679999999993</v>
      </c>
      <c r="E8" s="116">
        <f>SUMIF('数据-基础表'!BB10:BK10,"地上",'数据-基础表'!BB5:BK5)</f>
        <v>204632.7</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2325</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2332</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81852.679999999993</v>
      </c>
      <c r="E16" s="120">
        <f>SUM(E8:E15)</f>
        <v>204632.7</v>
      </c>
      <c r="F16" s="1982"/>
      <c r="G16" s="1984"/>
      <c r="H16" s="967" t="s">
        <v>219</v>
      </c>
      <c r="I16" s="968"/>
      <c r="J16" s="1982"/>
      <c r="K16" s="3270" t="s">
        <v>2566</v>
      </c>
      <c r="L16" s="3271"/>
      <c r="M16" s="3271"/>
      <c r="N16" s="3271"/>
      <c r="O16" s="3271"/>
      <c r="P16" s="3272"/>
    </row>
    <row r="17" spans="1:19" ht="15">
      <c r="A17" s="121" t="s">
        <v>216</v>
      </c>
      <c r="B17" s="122" t="s">
        <v>217</v>
      </c>
      <c r="C17" s="2296" t="s">
        <v>2313</v>
      </c>
      <c r="D17" s="108" t="s">
        <v>204</v>
      </c>
      <c r="E17" s="124" t="s">
        <v>205</v>
      </c>
      <c r="F17" s="125"/>
      <c r="G17" s="1364"/>
      <c r="H17" s="969" t="s">
        <v>218</v>
      </c>
      <c r="I17" s="970" t="s">
        <v>2312</v>
      </c>
      <c r="J17" s="1982"/>
      <c r="K17" s="3273" t="s">
        <v>2567</v>
      </c>
      <c r="L17" s="3274"/>
      <c r="M17" s="3275"/>
      <c r="N17" s="3273" t="s">
        <v>2568</v>
      </c>
      <c r="O17" s="3274"/>
      <c r="P17" s="3275"/>
      <c r="R17" s="2297" t="s">
        <v>2311</v>
      </c>
      <c r="S17" s="144"/>
    </row>
    <row r="18" spans="1:19" ht="15">
      <c r="A18" s="117"/>
      <c r="B18" s="128"/>
      <c r="C18" s="129"/>
      <c r="D18" s="2665"/>
      <c r="E18" s="130" t="s">
        <v>220</v>
      </c>
      <c r="F18" s="131" t="s">
        <v>221</v>
      </c>
      <c r="G18" s="1365" t="s">
        <v>222</v>
      </c>
      <c r="H18" s="971" t="s">
        <v>223</v>
      </c>
      <c r="I18" s="972" t="s">
        <v>224</v>
      </c>
      <c r="J18" s="1982"/>
      <c r="K18" s="2627" t="s">
        <v>2569</v>
      </c>
      <c r="L18" s="2628" t="s">
        <v>2570</v>
      </c>
      <c r="M18" s="2629" t="s">
        <v>2571</v>
      </c>
      <c r="N18" s="2627" t="s">
        <v>2569</v>
      </c>
      <c r="O18" s="2628" t="s">
        <v>2570</v>
      </c>
      <c r="P18" s="2629" t="s">
        <v>2571</v>
      </c>
      <c r="R18" s="2298" t="s">
        <v>2309</v>
      </c>
      <c r="S18" s="2298" t="s">
        <v>2310</v>
      </c>
    </row>
    <row r="19" spans="1:19">
      <c r="A19" s="133"/>
      <c r="B19" s="115" t="s">
        <v>225</v>
      </c>
      <c r="C19" s="3049" t="s">
        <v>3007</v>
      </c>
      <c r="D19" s="111">
        <f t="shared" ref="D19:D26" si="1">ROUND($D$3*E19/$E$3,2)</f>
        <v>65482.14</v>
      </c>
      <c r="E19" s="134">
        <f t="shared" ref="E19:E26" si="2">SUM(F19:G19)</f>
        <v>163706.16</v>
      </c>
      <c r="F19" s="135">
        <f>'数据-基础表'!I13</f>
        <v>163706.16</v>
      </c>
      <c r="G19" s="1366"/>
      <c r="H19" s="973">
        <f>ROUND($D$3*I19/$E$3,2)</f>
        <v>0</v>
      </c>
      <c r="I19" s="116">
        <f>IF($I$17="自定义",P19,M19)</f>
        <v>0</v>
      </c>
      <c r="J19" s="1982"/>
      <c r="K19" s="2630">
        <f t="shared" ref="K19:K26" si="3">ROUND(E$28*E19/E$27,2)</f>
        <v>0</v>
      </c>
      <c r="L19" s="275">
        <f t="shared" ref="L19:L26" si="4">ROUND(IF(COUNTIF(C19,"*住宅*")&gt;0,E$29*E19/E$32,0),2)</f>
        <v>0</v>
      </c>
      <c r="M19" s="2631">
        <f>K19+L19</f>
        <v>0</v>
      </c>
      <c r="N19" s="2632"/>
      <c r="O19" s="2633"/>
      <c r="P19" s="2634">
        <f>N19+O19</f>
        <v>0</v>
      </c>
      <c r="R19" s="275">
        <f t="shared" ref="R19:S26" si="5">D19+H19</f>
        <v>65482.14</v>
      </c>
      <c r="S19" s="2299">
        <f t="shared" si="5"/>
        <v>163706.16</v>
      </c>
    </row>
    <row r="20" spans="1:19">
      <c r="A20" s="138"/>
      <c r="B20" s="115" t="s">
        <v>226</v>
      </c>
      <c r="C20" s="3049" t="s">
        <v>3008</v>
      </c>
      <c r="D20" s="111">
        <f t="shared" si="1"/>
        <v>4370.59</v>
      </c>
      <c r="E20" s="134">
        <f t="shared" si="2"/>
        <v>10926.54</v>
      </c>
      <c r="F20" s="135">
        <f>'数据-基础表'!K13</f>
        <v>10926.54</v>
      </c>
      <c r="G20" s="1366"/>
      <c r="H20" s="973">
        <f t="shared" ref="H20:H26" si="6">ROUND($D$3*I20/$E$3,2)</f>
        <v>0</v>
      </c>
      <c r="I20" s="116">
        <f t="shared" ref="I20:I26" si="7">IF($I$17="自定义",P20,M20)</f>
        <v>0</v>
      </c>
      <c r="J20" s="1982"/>
      <c r="K20" s="2630">
        <f t="shared" si="3"/>
        <v>0</v>
      </c>
      <c r="L20" s="275">
        <f t="shared" si="4"/>
        <v>0</v>
      </c>
      <c r="M20" s="2631">
        <f t="shared" ref="M20:M26" si="8">K20+L20</f>
        <v>0</v>
      </c>
      <c r="N20" s="2632"/>
      <c r="O20" s="2633"/>
      <c r="P20" s="2634">
        <f t="shared" ref="P20:P26" si="9">N20+O20</f>
        <v>0</v>
      </c>
      <c r="R20" s="275">
        <f t="shared" si="5"/>
        <v>4370.59</v>
      </c>
      <c r="S20" s="2299">
        <f t="shared" si="5"/>
        <v>10926.54</v>
      </c>
    </row>
    <row r="21" spans="1:19">
      <c r="A21" s="138"/>
      <c r="B21" s="115" t="s">
        <v>226</v>
      </c>
      <c r="C21" s="3049" t="s">
        <v>3010</v>
      </c>
      <c r="D21" s="111">
        <f t="shared" si="1"/>
        <v>5999.97</v>
      </c>
      <c r="E21" s="134">
        <f t="shared" si="2"/>
        <v>15000</v>
      </c>
      <c r="F21" s="135">
        <f>'数据-基础表'!M13</f>
        <v>15000</v>
      </c>
      <c r="G21" s="1366"/>
      <c r="H21" s="973">
        <f t="shared" si="6"/>
        <v>0</v>
      </c>
      <c r="I21" s="116">
        <f t="shared" si="7"/>
        <v>0</v>
      </c>
      <c r="J21" s="1982"/>
      <c r="K21" s="2630">
        <f t="shared" si="3"/>
        <v>0</v>
      </c>
      <c r="L21" s="275">
        <f t="shared" si="4"/>
        <v>0</v>
      </c>
      <c r="M21" s="2631">
        <f t="shared" si="8"/>
        <v>0</v>
      </c>
      <c r="N21" s="2632"/>
      <c r="O21" s="2633"/>
      <c r="P21" s="2634">
        <f t="shared" si="9"/>
        <v>0</v>
      </c>
      <c r="R21" s="275">
        <f t="shared" si="5"/>
        <v>5999.97</v>
      </c>
      <c r="S21" s="2299">
        <f t="shared" si="5"/>
        <v>15000</v>
      </c>
    </row>
    <row r="22" spans="1:19">
      <c r="A22" s="138"/>
      <c r="B22" s="115" t="s">
        <v>226</v>
      </c>
      <c r="C22" s="3173" t="s">
        <v>3012</v>
      </c>
      <c r="D22" s="111">
        <f t="shared" si="1"/>
        <v>5999.97</v>
      </c>
      <c r="E22" s="134">
        <f t="shared" si="2"/>
        <v>15000</v>
      </c>
      <c r="F22" s="140">
        <f>'数据-基础表'!O13</f>
        <v>15000</v>
      </c>
      <c r="G22" s="1367"/>
      <c r="H22" s="973">
        <f t="shared" si="6"/>
        <v>0</v>
      </c>
      <c r="I22" s="116">
        <f t="shared" si="7"/>
        <v>0</v>
      </c>
      <c r="J22" s="1982"/>
      <c r="K22" s="2630">
        <f t="shared" si="3"/>
        <v>0</v>
      </c>
      <c r="L22" s="275">
        <f t="shared" si="4"/>
        <v>0</v>
      </c>
      <c r="M22" s="2631">
        <f t="shared" si="8"/>
        <v>0</v>
      </c>
      <c r="N22" s="2632"/>
      <c r="O22" s="2633"/>
      <c r="P22" s="2634">
        <f t="shared" si="9"/>
        <v>0</v>
      </c>
      <c r="R22" s="275">
        <f t="shared" si="5"/>
        <v>5999.97</v>
      </c>
      <c r="S22" s="2299">
        <f t="shared" si="5"/>
        <v>15000</v>
      </c>
    </row>
    <row r="23" spans="1:19">
      <c r="A23" s="138"/>
      <c r="B23" s="115" t="s">
        <v>226</v>
      </c>
      <c r="C23" s="139"/>
      <c r="D23" s="111">
        <f>ROUND($D$3*E23/$E$3,2)</f>
        <v>0</v>
      </c>
      <c r="E23" s="134">
        <f>SUM(F23:G23)</f>
        <v>0</v>
      </c>
      <c r="F23" s="140"/>
      <c r="G23" s="1367"/>
      <c r="H23" s="973">
        <f>ROUND($D$3*I23/$E$3,2)</f>
        <v>0</v>
      </c>
      <c r="I23" s="116">
        <f t="shared" si="7"/>
        <v>0</v>
      </c>
      <c r="J23" s="1982"/>
      <c r="K23" s="2630">
        <f t="shared" si="3"/>
        <v>0</v>
      </c>
      <c r="L23" s="275">
        <f t="shared" si="4"/>
        <v>0</v>
      </c>
      <c r="M23" s="2631">
        <f t="shared" si="8"/>
        <v>0</v>
      </c>
      <c r="N23" s="2632"/>
      <c r="O23" s="2633"/>
      <c r="P23" s="2634">
        <f t="shared" si="9"/>
        <v>0</v>
      </c>
      <c r="R23" s="275">
        <f t="shared" si="5"/>
        <v>0</v>
      </c>
      <c r="S23" s="2299">
        <f t="shared" si="5"/>
        <v>0</v>
      </c>
    </row>
    <row r="24" spans="1:19">
      <c r="A24" s="138"/>
      <c r="B24" s="115" t="s">
        <v>226</v>
      </c>
      <c r="C24" s="139"/>
      <c r="D24" s="111">
        <f>ROUND($D$3*E24/$E$3,2)</f>
        <v>0</v>
      </c>
      <c r="E24" s="134">
        <f>SUM(F24:G24)</f>
        <v>0</v>
      </c>
      <c r="F24" s="140"/>
      <c r="G24" s="1367"/>
      <c r="H24" s="973">
        <f>ROUND($D$3*I24/$E$3,2)</f>
        <v>0</v>
      </c>
      <c r="I24" s="116">
        <f t="shared" si="7"/>
        <v>0</v>
      </c>
      <c r="J24" s="1982"/>
      <c r="K24" s="2630">
        <f t="shared" si="3"/>
        <v>0</v>
      </c>
      <c r="L24" s="275">
        <f t="shared" si="4"/>
        <v>0</v>
      </c>
      <c r="M24" s="2631">
        <f t="shared" si="8"/>
        <v>0</v>
      </c>
      <c r="N24" s="2632"/>
      <c r="O24" s="2633"/>
      <c r="P24" s="2634">
        <f t="shared" si="9"/>
        <v>0</v>
      </c>
      <c r="R24" s="275">
        <f t="shared" si="5"/>
        <v>0</v>
      </c>
      <c r="S24" s="2299">
        <f t="shared" si="5"/>
        <v>0</v>
      </c>
    </row>
    <row r="25" spans="1:19">
      <c r="A25" s="138"/>
      <c r="B25" s="115" t="s">
        <v>226</v>
      </c>
      <c r="C25" s="139"/>
      <c r="D25" s="111">
        <f t="shared" si="1"/>
        <v>0</v>
      </c>
      <c r="E25" s="134">
        <f t="shared" si="2"/>
        <v>0</v>
      </c>
      <c r="F25" s="140"/>
      <c r="G25" s="1367"/>
      <c r="H25" s="110">
        <f t="shared" si="6"/>
        <v>0</v>
      </c>
      <c r="I25" s="116">
        <f t="shared" si="7"/>
        <v>0</v>
      </c>
      <c r="J25" s="1982"/>
      <c r="K25" s="2630">
        <f t="shared" si="3"/>
        <v>0</v>
      </c>
      <c r="L25" s="275">
        <f t="shared" si="4"/>
        <v>0</v>
      </c>
      <c r="M25" s="2631">
        <f t="shared" si="8"/>
        <v>0</v>
      </c>
      <c r="N25" s="2632"/>
      <c r="O25" s="2633"/>
      <c r="P25" s="2634">
        <f t="shared" si="9"/>
        <v>0</v>
      </c>
      <c r="R25" s="275">
        <f t="shared" si="5"/>
        <v>0</v>
      </c>
      <c r="S25" s="2299">
        <f t="shared" si="5"/>
        <v>0</v>
      </c>
    </row>
    <row r="26" spans="1:19">
      <c r="A26" s="138"/>
      <c r="B26" s="115" t="s">
        <v>226</v>
      </c>
      <c r="C26" s="142"/>
      <c r="D26" s="111">
        <f t="shared" si="1"/>
        <v>0</v>
      </c>
      <c r="E26" s="134">
        <f t="shared" si="2"/>
        <v>0</v>
      </c>
      <c r="F26" s="140"/>
      <c r="G26" s="1367"/>
      <c r="H26" s="110">
        <f t="shared" si="6"/>
        <v>0</v>
      </c>
      <c r="I26" s="116">
        <f t="shared" si="7"/>
        <v>0</v>
      </c>
      <c r="J26" s="1982"/>
      <c r="K26" s="2635">
        <f t="shared" si="3"/>
        <v>0</v>
      </c>
      <c r="L26" s="280">
        <f t="shared" si="4"/>
        <v>0</v>
      </c>
      <c r="M26" s="146">
        <f t="shared" si="8"/>
        <v>0</v>
      </c>
      <c r="N26" s="2636"/>
      <c r="O26" s="2637"/>
      <c r="P26" s="2638">
        <f t="shared" si="9"/>
        <v>0</v>
      </c>
      <c r="R26" s="275">
        <f t="shared" si="5"/>
        <v>0</v>
      </c>
      <c r="S26" s="2299">
        <f t="shared" si="5"/>
        <v>0</v>
      </c>
    </row>
    <row r="27" spans="1:19" ht="29.25" thickBot="1">
      <c r="A27" s="138"/>
      <c r="B27" s="111"/>
      <c r="C27" s="127" t="s">
        <v>215</v>
      </c>
      <c r="D27" s="134">
        <f>SUM(D19:D26)</f>
        <v>81852.67</v>
      </c>
      <c r="E27" s="143">
        <f>IF(SUM(E19:E26)='数据-基础表'!BA5,SUM(E19:E26),IF(F27="地上面积有误","面积有误","地下面积有误"))</f>
        <v>204632.7</v>
      </c>
      <c r="F27" s="134">
        <f>IF(SUM(F19:F26)=E8,SUM(F19:F26),"地上面积有误")</f>
        <v>204632.7</v>
      </c>
      <c r="G27" s="112">
        <f>SUM(G19:G26)</f>
        <v>0</v>
      </c>
      <c r="H27" s="974">
        <f>SUM(H19:H26)</f>
        <v>0</v>
      </c>
      <c r="I27" s="975">
        <f>SUM(I19:I26)</f>
        <v>0</v>
      </c>
      <c r="J27" s="1982"/>
      <c r="K27" s="2639">
        <f>SUM(K19:K26)</f>
        <v>0</v>
      </c>
      <c r="L27" s="2640">
        <f>SUM(L19:L26)</f>
        <v>0</v>
      </c>
      <c r="M27" s="2641">
        <f>SUM(M19:M26)</f>
        <v>0</v>
      </c>
      <c r="N27" s="2639">
        <f t="shared" ref="N27:O27" si="10">SUM(N19:N26)</f>
        <v>0</v>
      </c>
      <c r="O27" s="2640">
        <f t="shared" si="10"/>
        <v>0</v>
      </c>
      <c r="P27" s="2642">
        <f>SUM(P19:P26)</f>
        <v>0</v>
      </c>
      <c r="R27" s="2303" t="str">
        <f>IF(SUM(R19:R26)=$D$3,SUM(R19:R26),SUM(R19:R26)&amp;"误差"&amp;ROUND(SUM(R19:R26)-$D$3,2))</f>
        <v>81852.67误差-0.01</v>
      </c>
      <c r="S27" s="275">
        <f>IF(SUM(S19:S26)=$E$3,SUM(S19:S26),SUM(S19:S26)&amp;"误差"&amp;ROUND(SUM(S19:S26)-E3,2))</f>
        <v>204632.7</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2320</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68"/>
      <c r="B31" s="1369" t="s">
        <v>229</v>
      </c>
      <c r="C31" s="2328" t="s">
        <v>2322</v>
      </c>
      <c r="D31" s="1370">
        <f>D27+D30</f>
        <v>81852.67</v>
      </c>
      <c r="E31" s="1370">
        <f>E27+E30</f>
        <v>204632.7</v>
      </c>
      <c r="F31" s="1371">
        <f>F27+F30</f>
        <v>204632.7</v>
      </c>
      <c r="G31" s="1372">
        <f>G27+G30</f>
        <v>0</v>
      </c>
      <c r="H31" s="1982"/>
      <c r="I31" s="1982"/>
      <c r="J31" s="1982"/>
      <c r="K31" s="1982"/>
      <c r="L31" s="1982"/>
    </row>
    <row r="32" spans="1:19">
      <c r="A32" s="1982"/>
      <c r="B32" s="2361" t="s">
        <v>2321</v>
      </c>
      <c r="C32" s="2670"/>
      <c r="D32" s="1200"/>
      <c r="E32" s="1200">
        <f>SUMIF(C19:C26,"*住宅*",E19:E26)</f>
        <v>163706.16</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L11" sqref="AL11"/>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43068</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2829</v>
      </c>
      <c r="O5" s="163" t="s">
        <v>246</v>
      </c>
      <c r="P5" s="165" t="s">
        <v>247</v>
      </c>
      <c r="Q5" s="166" t="s">
        <v>248</v>
      </c>
      <c r="R5" s="167" t="s">
        <v>249</v>
      </c>
      <c r="S5" s="2643" t="s">
        <v>2572</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2323</v>
      </c>
      <c r="AI5" s="171" t="s">
        <v>2292</v>
      </c>
      <c r="AJ5" s="171" t="s">
        <v>258</v>
      </c>
      <c r="AK5" s="159" t="s">
        <v>259</v>
      </c>
      <c r="AL5" s="159" t="s">
        <v>260</v>
      </c>
      <c r="AM5" s="172" t="s">
        <v>261</v>
      </c>
      <c r="AN5" s="2413" t="s">
        <v>2371</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923</v>
      </c>
      <c r="D6" s="2306">
        <f>SUMIF(项目基本情况!D$15:I$15,C6,项目基本情况!D$18:I$18)</f>
        <v>70</v>
      </c>
      <c r="E6" s="2307">
        <f>IF(B6="","",SUMIF(项目基本情况!D$15:I$15,C6,项目基本情况!D$17:I$17))</f>
        <v>68619</v>
      </c>
      <c r="F6" s="174">
        <f>SUMIF(项目基本情况!D$15:I$15,C6,项目基本情况!D$19:I$19)</f>
        <v>70</v>
      </c>
      <c r="G6" s="175">
        <f>IF(ISERROR(ROUND(POWER(1+H6,D6-F6)*(POWER(1+H6,F6)-1)/(POWER(1+H6,D6)-1),3)),0,ROUND(POWER(1+H6,D6-F6)*(POWER(1+H6,F6)-1)/(POWER(1+H6,D6)-1),3))</f>
        <v>1</v>
      </c>
      <c r="H6" s="3050">
        <v>0.04</v>
      </c>
      <c r="I6" s="3050">
        <v>4.4999999999999998E-2</v>
      </c>
      <c r="J6" s="176">
        <v>7.0000000000000007E-2</v>
      </c>
      <c r="K6" s="179">
        <f>SUMIF('数据-汇总表'!C$19:C$33,'数据-取费表'!A6,'数据-汇总表'!E$19:E$33)</f>
        <v>163706.16</v>
      </c>
      <c r="L6" s="3051">
        <v>1600</v>
      </c>
      <c r="M6" s="177">
        <f t="shared" ref="M6:M14" si="0">ROUND(K6*L6/10000,0)</f>
        <v>26193</v>
      </c>
      <c r="N6" s="3052">
        <v>0</v>
      </c>
      <c r="O6" s="177">
        <f>IF($N$5="成新度","——",ROUND(M6*N6,0))</f>
        <v>0</v>
      </c>
      <c r="P6" s="178">
        <f>IF($N$5="成新度","——",M6-O6)</f>
        <v>26193</v>
      </c>
      <c r="Q6" s="3053">
        <v>0.1</v>
      </c>
      <c r="R6" s="179">
        <f>SUMIF('数据-汇总表'!C$19:C$33,A6,'数据-汇总表'!R$19:R$33)</f>
        <v>65482.14</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64"/>
      <c r="AN6" s="2414"/>
      <c r="AO6" s="1998"/>
      <c r="AP6" s="1203">
        <f>ROUND(1-1/(1+H6)^F6,3)</f>
        <v>0.93600000000000005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底商</v>
      </c>
      <c r="B7" s="2335" t="str">
        <f t="shared" ref="B7:B13" si="1">IF(A7=0,"","经营性")</f>
        <v>经营性</v>
      </c>
      <c r="C7" s="173" t="s">
        <v>2985</v>
      </c>
      <c r="D7" s="2306">
        <f>SUMIF(项目基本情况!D$15:I$15,C7,项目基本情况!D$18:I$18)</f>
        <v>40</v>
      </c>
      <c r="E7" s="2307">
        <f>IF(B7="","",SUMIF(项目基本情况!D$15:I$15,C7,项目基本情况!D$17:I$17))</f>
        <v>57662</v>
      </c>
      <c r="F7" s="174">
        <f>SUMIF(项目基本情况!D$15:I$15,C7,项目基本情况!D$19:I$19)</f>
        <v>39.979999999999997</v>
      </c>
      <c r="G7" s="175">
        <f t="shared" ref="G7:G11" si="2">IF(ISERROR(ROUND(POWER(1+H7,D7-F7)*(POWER(1+H7,F7)-1)/(POWER(1+H7,D7)-1),3)),0,ROUND(POWER(1+H7,D7-F7)*(POWER(1+H7,F7)-1)/(POWER(1+H7,D7)-1),3))</f>
        <v>1</v>
      </c>
      <c r="H7" s="3050">
        <v>4.4999999999999998E-2</v>
      </c>
      <c r="I7" s="3050">
        <v>5.5E-2</v>
      </c>
      <c r="J7" s="176">
        <v>0.08</v>
      </c>
      <c r="K7" s="179">
        <f>SUMIF('数据-汇总表'!C$19:C$33,'数据-取费表'!A7,'数据-汇总表'!E$19:E$33)</f>
        <v>10926.54</v>
      </c>
      <c r="L7" s="3051">
        <v>1800</v>
      </c>
      <c r="M7" s="177">
        <f t="shared" si="0"/>
        <v>1967</v>
      </c>
      <c r="N7" s="3052">
        <v>0</v>
      </c>
      <c r="O7" s="177">
        <f t="shared" ref="O7:O14" si="3">IF($N$5="成新度","——",ROUND(M7*N7,0))</f>
        <v>0</v>
      </c>
      <c r="P7" s="178">
        <f t="shared" ref="P7:P14" si="4">IF($N$5="成新度","——",M7-O7)</f>
        <v>1967</v>
      </c>
      <c r="Q7" s="3053">
        <v>0.2</v>
      </c>
      <c r="R7" s="179">
        <f>SUMIF('数据-汇总表'!C$19:C$33,A7,'数据-汇总表'!R$19:R$33)</f>
        <v>4370.59</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v>4</v>
      </c>
      <c r="V7" s="181">
        <v>0.03</v>
      </c>
      <c r="W7" s="181">
        <v>0.15</v>
      </c>
      <c r="X7" s="2319"/>
      <c r="Y7" s="182"/>
      <c r="Z7" s="183"/>
      <c r="AA7" s="176"/>
      <c r="AB7" s="176"/>
      <c r="AC7" s="2322"/>
      <c r="AD7" s="184"/>
      <c r="AE7" s="971">
        <f t="shared" ref="AE7:AE13" ca="1" si="6">IF(AN7="",0,SUMIF(INDIRECT("'"&amp;AN7&amp;"'"&amp;"!E:E"),$AE$5,INDIRECT("'"&amp;AN7&amp;"'"&amp;"!F:F")))</f>
        <v>37.479999999999997</v>
      </c>
      <c r="AF7" s="141"/>
      <c r="AG7" s="1212">
        <f t="shared" ref="AG7:AG13" si="7">IF(AF7="",0,AE7-AF7)</f>
        <v>0</v>
      </c>
      <c r="AH7" s="141"/>
      <c r="AI7" s="187">
        <v>365</v>
      </c>
      <c r="AJ7" s="188"/>
      <c r="AK7" s="189">
        <v>1.4999999999999999E-2</v>
      </c>
      <c r="AL7" s="190">
        <v>2E-3</v>
      </c>
      <c r="AM7" s="2412">
        <v>0.02</v>
      </c>
      <c r="AN7" s="2414" t="s">
        <v>3013</v>
      </c>
      <c r="AO7" s="1998"/>
      <c r="AP7" s="1203">
        <f t="shared" ref="AP7:AP13" si="8">ROUND(1-1/(1+H7)^F7,3)</f>
        <v>0.82799999999999996</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t="str">
        <f>'数据-汇总表'!C21</f>
        <v>独栋商业</v>
      </c>
      <c r="B8" s="2335" t="str">
        <f t="shared" si="1"/>
        <v>经营性</v>
      </c>
      <c r="C8" s="173" t="s">
        <v>2985</v>
      </c>
      <c r="D8" s="2306">
        <f>SUMIF(项目基本情况!D$15:I$15,C8,项目基本情况!D$18:I$18)</f>
        <v>40</v>
      </c>
      <c r="E8" s="2307">
        <f>IF(B8="","",SUMIF(项目基本情况!D$15:I$15,C8,项目基本情况!D$17:I$17))</f>
        <v>57662</v>
      </c>
      <c r="F8" s="174">
        <f>SUMIF(项目基本情况!D$15:I$15,C8,项目基本情况!D$19:I$19)</f>
        <v>39.979999999999997</v>
      </c>
      <c r="G8" s="175">
        <f t="shared" si="2"/>
        <v>1</v>
      </c>
      <c r="H8" s="3050">
        <v>4.4999999999999998E-2</v>
      </c>
      <c r="I8" s="3050">
        <v>5.5E-2</v>
      </c>
      <c r="J8" s="176">
        <v>0.08</v>
      </c>
      <c r="K8" s="179">
        <f>SUMIF('数据-汇总表'!C$19:C$33,'数据-取费表'!A8,'数据-汇总表'!E$19:E$33)</f>
        <v>15000</v>
      </c>
      <c r="L8" s="3051">
        <v>2400</v>
      </c>
      <c r="M8" s="177">
        <f>ROUND(K8*L8/10000,0)</f>
        <v>3600</v>
      </c>
      <c r="N8" s="3052">
        <v>0</v>
      </c>
      <c r="O8" s="177">
        <f t="shared" si="3"/>
        <v>0</v>
      </c>
      <c r="P8" s="178">
        <f t="shared" si="4"/>
        <v>3600</v>
      </c>
      <c r="Q8" s="3053">
        <v>0.15</v>
      </c>
      <c r="R8" s="179">
        <f>SUMIF('数据-汇总表'!C$19:C$33,A8,'数据-汇总表'!R$19:R$33)</f>
        <v>5999.97</v>
      </c>
      <c r="S8" s="132">
        <f>IF('数据-汇总表'!$I$17="按面积比例",SUMIF('数据-汇总表'!C$19:C$33,A8,'数据-汇总表'!K$19:K$33),SUMIF('数据-汇总表'!C$19:C$33,A8,'数据-汇总表'!N$19:N$33))</f>
        <v>0</v>
      </c>
      <c r="T8" s="2232" t="str">
        <f t="shared" si="5"/>
        <v>0</v>
      </c>
      <c r="U8" s="180">
        <v>4</v>
      </c>
      <c r="V8" s="181">
        <v>0.03</v>
      </c>
      <c r="W8" s="181">
        <v>0.15</v>
      </c>
      <c r="X8" s="2319"/>
      <c r="Y8" s="182"/>
      <c r="Z8" s="183"/>
      <c r="AA8" s="176"/>
      <c r="AB8" s="176"/>
      <c r="AC8" s="2322"/>
      <c r="AD8" s="184"/>
      <c r="AE8" s="971">
        <f t="shared" ca="1" si="6"/>
        <v>37.479999999999997</v>
      </c>
      <c r="AF8" s="141"/>
      <c r="AG8" s="1212">
        <f t="shared" si="7"/>
        <v>0</v>
      </c>
      <c r="AH8" s="141"/>
      <c r="AI8" s="187">
        <v>365</v>
      </c>
      <c r="AJ8" s="188"/>
      <c r="AK8" s="189">
        <v>1.4999999999999999E-2</v>
      </c>
      <c r="AL8" s="190">
        <v>2E-3</v>
      </c>
      <c r="AM8" s="2412">
        <v>0.02</v>
      </c>
      <c r="AN8" s="2414" t="s">
        <v>3013</v>
      </c>
      <c r="AO8" s="1998"/>
      <c r="AP8" s="1203">
        <f t="shared" si="8"/>
        <v>0.82799999999999996</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t="str">
        <f>'数据-汇总表'!C22</f>
        <v>办公</v>
      </c>
      <c r="B9" s="2335" t="str">
        <f t="shared" si="1"/>
        <v>经营性</v>
      </c>
      <c r="C9" s="173" t="s">
        <v>2985</v>
      </c>
      <c r="D9" s="2306">
        <f>SUMIF(项目基本情况!D$15:I$15,C9,项目基本情况!D$18:I$18)</f>
        <v>40</v>
      </c>
      <c r="E9" s="2307">
        <f>IF(B9="","",SUMIF(项目基本情况!D$15:I$15,C9,项目基本情况!D$17:I$17))</f>
        <v>57662</v>
      </c>
      <c r="F9" s="174">
        <f>SUMIF(项目基本情况!D$15:I$15,C9,项目基本情况!D$19:I$19)</f>
        <v>39.979999999999997</v>
      </c>
      <c r="G9" s="175">
        <f t="shared" si="2"/>
        <v>1</v>
      </c>
      <c r="H9" s="3050">
        <v>4.4999999999999998E-2</v>
      </c>
      <c r="I9" s="3050">
        <v>0.05</v>
      </c>
      <c r="J9" s="176">
        <v>0.08</v>
      </c>
      <c r="K9" s="179">
        <f>SUMIF('数据-汇总表'!C$19:C$33,'数据-取费表'!A9,'数据-汇总表'!E$19:E$33)</f>
        <v>15000</v>
      </c>
      <c r="L9" s="193">
        <v>2200</v>
      </c>
      <c r="M9" s="177">
        <f t="shared" si="0"/>
        <v>3300</v>
      </c>
      <c r="N9" s="194">
        <v>0</v>
      </c>
      <c r="O9" s="177">
        <f t="shared" si="3"/>
        <v>0</v>
      </c>
      <c r="P9" s="178">
        <f t="shared" si="4"/>
        <v>3300</v>
      </c>
      <c r="Q9" s="192">
        <v>0.1</v>
      </c>
      <c r="R9" s="179">
        <f>SUMIF('数据-汇总表'!C$19:C$33,A9,'数据-汇总表'!R$19:R$33)</f>
        <v>5999.97</v>
      </c>
      <c r="S9" s="132">
        <f>IF('数据-汇总表'!$I$17="按面积比例",SUMIF('数据-汇总表'!C$19:C$33,A9,'数据-汇总表'!K$19:K$33),SUMIF('数据-汇总表'!C$19:C$33,A9,'数据-汇总表'!N$19:N$33))</f>
        <v>0</v>
      </c>
      <c r="T9" s="2232" t="str">
        <f t="shared" si="5"/>
        <v>0</v>
      </c>
      <c r="U9" s="180">
        <v>1</v>
      </c>
      <c r="V9" s="181">
        <v>2.5000000000000001E-2</v>
      </c>
      <c r="W9" s="181">
        <v>0.15</v>
      </c>
      <c r="X9" s="2319"/>
      <c r="Y9" s="182"/>
      <c r="Z9" s="183"/>
      <c r="AA9" s="176"/>
      <c r="AB9" s="176"/>
      <c r="AC9" s="2322"/>
      <c r="AD9" s="184"/>
      <c r="AE9" s="971">
        <f t="shared" ca="1" si="6"/>
        <v>37.479999999999997</v>
      </c>
      <c r="AF9" s="141"/>
      <c r="AG9" s="1212">
        <f t="shared" si="7"/>
        <v>0</v>
      </c>
      <c r="AH9" s="141"/>
      <c r="AI9" s="187">
        <v>365</v>
      </c>
      <c r="AJ9" s="188"/>
      <c r="AK9" s="189">
        <v>1.4999999999999999E-2</v>
      </c>
      <c r="AL9" s="190">
        <v>2E-3</v>
      </c>
      <c r="AM9" s="2412">
        <v>0.02</v>
      </c>
      <c r="AN9" s="2414" t="s">
        <v>3013</v>
      </c>
      <c r="AO9" s="1998"/>
      <c r="AP9" s="1203">
        <f t="shared" si="8"/>
        <v>0.82799999999999996</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412"/>
      <c r="AN10" s="2414"/>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414"/>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414"/>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412"/>
      <c r="AN13" s="2414"/>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2314</v>
      </c>
      <c r="B14" s="2304" t="s">
        <v>1680</v>
      </c>
      <c r="C14" s="2305" t="s">
        <v>2314</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2316</v>
      </c>
      <c r="B15" s="2304" t="s">
        <v>1680</v>
      </c>
      <c r="C15" s="2305" t="s">
        <v>2315</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1</v>
      </c>
      <c r="H16" s="203">
        <f>ROUND(SUMPRODUCT(H6:H13,K6:K13)/SUMPRODUCT((H6:H13&gt;0)*(K6:K13)),3)</f>
        <v>4.1000000000000002E-2</v>
      </c>
      <c r="I16" s="204"/>
      <c r="J16" s="204"/>
      <c r="K16" s="205">
        <f>SUM(K6:K15)</f>
        <v>204632.7</v>
      </c>
      <c r="L16" s="206">
        <f>ROUND(M16*10000/SUM(K6:K14),0)</f>
        <v>1713</v>
      </c>
      <c r="M16" s="206">
        <f>SUM(M6:M14)</f>
        <v>35060</v>
      </c>
      <c r="N16" s="207">
        <f>ROUND(SUMPRODUCT(M6:M14,N6:N14)/M16,3)</f>
        <v>0</v>
      </c>
      <c r="O16" s="206">
        <f>SUM(O6:O14)</f>
        <v>0</v>
      </c>
      <c r="P16" s="206">
        <f>SUM(P6:P14)</f>
        <v>35060</v>
      </c>
      <c r="Q16" s="208">
        <f>ROUND(SUMPRODUCT(Q6:Q13,K6:K13)/SUMPRODUCT((Q6:Q13&gt;0)*(K6:K13)),2)</f>
        <v>0.11</v>
      </c>
      <c r="R16" s="2309">
        <f>SUM(R6:R13)</f>
        <v>81852.67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0.91400000000000003</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2334</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2.5</v>
      </c>
      <c r="C20" s="2362" t="s">
        <v>2333</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2336</v>
      </c>
      <c r="B27" s="227">
        <v>120</v>
      </c>
      <c r="C27" s="3099" t="s">
        <v>3014</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2337</v>
      </c>
      <c r="B28" s="229">
        <v>120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2335</v>
      </c>
      <c r="B29" s="232">
        <v>0</v>
      </c>
      <c r="C29" s="1551" t="s">
        <v>2338</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6">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7">
        <v>0.03</v>
      </c>
      <c r="C33" s="2363" t="s">
        <v>2891</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0.05</v>
      </c>
      <c r="C34" s="2363" t="s">
        <v>2892</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63" t="s">
        <v>2893</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2894</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1.4999999999999999E-2</v>
      </c>
      <c r="C37" s="2363" t="s">
        <v>2895</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2.5000000000000001E-2</v>
      </c>
      <c r="C38" s="2363" t="s">
        <v>2895</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1" t="s">
        <v>2455</v>
      </c>
      <c r="B39" s="800">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1" t="s">
        <v>2456</v>
      </c>
      <c r="B40" s="2503">
        <f ca="1">存贷款利率!E2</f>
        <v>4.7500000000000001E-2</v>
      </c>
      <c r="C40" s="2363" t="s">
        <v>2339</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6.1600000000000002E-2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5.6000000000000001E-2</v>
      </c>
      <c r="C42" s="3125">
        <f>IF(B2&lt;DATE(2016,5,1),0,B42)</f>
        <v>5.6000000000000001E-2</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5.6000000000000008E-3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0.05</v>
      </c>
      <c r="C44" s="2363" t="s">
        <v>2896</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5" t="s">
        <v>2897</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5" t="s">
        <v>2898</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99" t="s">
        <v>2899</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0.04</v>
      </c>
      <c r="C48" s="3100" t="s">
        <v>2900</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100" t="s">
        <v>2901</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12</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1097</v>
      </c>
      <c r="C53" s="3101" t="s">
        <v>2902</v>
      </c>
      <c r="D53" s="3102" t="s">
        <v>3020</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4" t="s">
        <v>2903</v>
      </c>
      <c r="B54" s="186">
        <v>12</v>
      </c>
      <c r="C54" s="1992">
        <v>30</v>
      </c>
      <c r="D54" s="3103"/>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4" t="s">
        <v>2904</v>
      </c>
      <c r="B55" s="186"/>
      <c r="C55" s="1992">
        <v>24</v>
      </c>
      <c r="D55" s="3103"/>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4" t="s">
        <v>2905</v>
      </c>
      <c r="B56" s="186"/>
      <c r="C56" s="1992">
        <v>18</v>
      </c>
      <c r="D56" s="3103"/>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4" t="s">
        <v>2906</v>
      </c>
      <c r="B57" s="186"/>
      <c r="C57" s="1992">
        <v>12</v>
      </c>
      <c r="D57" s="3103"/>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4" t="s">
        <v>2907</v>
      </c>
      <c r="B58" s="186"/>
      <c r="C58" s="1992">
        <v>3</v>
      </c>
      <c r="D58" s="3103"/>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4" t="s">
        <v>2908</v>
      </c>
      <c r="B59" s="186"/>
      <c r="C59" s="1992">
        <v>1.5</v>
      </c>
      <c r="D59" s="3103"/>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4" t="s">
        <v>2909</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4" t="s">
        <v>2910</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4" t="s">
        <v>2911</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5" t="s">
        <v>2912</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85" t="s">
        <v>1664</v>
      </c>
      <c r="B1" s="3286"/>
      <c r="C1" s="3286"/>
      <c r="D1" s="3286"/>
      <c r="E1" s="3286"/>
      <c r="F1" s="3286"/>
      <c r="G1" s="3286"/>
      <c r="H1" s="2000"/>
      <c r="I1" s="2001"/>
      <c r="J1" s="2002"/>
      <c r="K1" s="2000"/>
      <c r="L1" s="2001"/>
      <c r="M1" s="2002"/>
      <c r="N1" s="2000"/>
      <c r="O1" s="2001"/>
      <c r="P1" s="2002"/>
      <c r="Q1" s="2003"/>
      <c r="R1" s="2004"/>
    </row>
    <row r="2" spans="1:18" ht="14.25" thickBot="1">
      <c r="A2" s="1220"/>
      <c r="B2" s="1221"/>
      <c r="C2" s="1222" t="s">
        <v>1665</v>
      </c>
      <c r="D2" s="1223"/>
      <c r="E2" s="1224"/>
      <c r="F2" s="1225"/>
      <c r="G2" s="1222" t="s">
        <v>1666</v>
      </c>
      <c r="H2" s="2006"/>
      <c r="I2" s="2006"/>
      <c r="J2" s="2006"/>
      <c r="K2" s="2006"/>
      <c r="L2" s="2006"/>
      <c r="M2" s="2006"/>
      <c r="N2" s="2006"/>
      <c r="O2" s="2006"/>
      <c r="P2" s="2006"/>
      <c r="Q2" s="2006"/>
      <c r="R2" s="2006"/>
    </row>
    <row r="3" spans="1:18" ht="54">
      <c r="A3" s="1226" t="s">
        <v>1667</v>
      </c>
      <c r="B3" s="1227" t="s">
        <v>1654</v>
      </c>
      <c r="C3" s="3106" t="s">
        <v>2919</v>
      </c>
      <c r="D3" s="2007"/>
      <c r="E3" s="1228" t="s">
        <v>1667</v>
      </c>
      <c r="F3" s="1229" t="s">
        <v>1655</v>
      </c>
      <c r="G3" s="3110" t="s">
        <v>2918</v>
      </c>
      <c r="H3" s="2006"/>
      <c r="I3" s="2006"/>
      <c r="J3" s="2006"/>
      <c r="K3" s="2006"/>
      <c r="L3" s="2006"/>
      <c r="M3" s="2006"/>
      <c r="N3" s="2006"/>
      <c r="O3" s="2006"/>
      <c r="P3" s="2006"/>
      <c r="Q3" s="2006"/>
      <c r="R3" s="2006"/>
    </row>
    <row r="4" spans="1:18" ht="41.25">
      <c r="A4" s="1228"/>
      <c r="B4" s="1230" t="s">
        <v>1668</v>
      </c>
      <c r="C4" s="3107" t="s">
        <v>2920</v>
      </c>
      <c r="D4" s="2007"/>
      <c r="E4" s="1231"/>
      <c r="F4" s="1232" t="s">
        <v>1669</v>
      </c>
      <c r="G4" s="3108" t="s">
        <v>2915</v>
      </c>
      <c r="H4" s="2006"/>
      <c r="I4" s="2006"/>
      <c r="J4" s="2006"/>
      <c r="K4" s="2006"/>
      <c r="L4" s="2006"/>
      <c r="M4" s="2006"/>
      <c r="N4" s="2006"/>
      <c r="O4" s="2006"/>
      <c r="P4" s="2006"/>
      <c r="Q4" s="2006"/>
      <c r="R4" s="2006"/>
    </row>
    <row r="5" spans="1:18" ht="41.25">
      <c r="A5" s="1228"/>
      <c r="B5" s="1230" t="s">
        <v>1670</v>
      </c>
      <c r="C5" s="3107" t="s">
        <v>2921</v>
      </c>
      <c r="D5" s="2007"/>
      <c r="E5" s="1231"/>
      <c r="F5" s="1230" t="s">
        <v>2546</v>
      </c>
      <c r="G5" s="3108" t="s">
        <v>2916</v>
      </c>
      <c r="H5" s="2006"/>
      <c r="I5" s="2006"/>
      <c r="J5" s="2006"/>
      <c r="K5" s="2006"/>
      <c r="L5" s="2006"/>
      <c r="M5" s="2006"/>
      <c r="N5" s="2006"/>
      <c r="O5" s="2006"/>
      <c r="P5" s="2006"/>
      <c r="Q5" s="2006"/>
      <c r="R5" s="2006"/>
    </row>
    <row r="6" spans="1:18" ht="54">
      <c r="A6" s="1228"/>
      <c r="B6" s="1230" t="s">
        <v>1656</v>
      </c>
      <c r="C6" s="3108" t="s">
        <v>2915</v>
      </c>
      <c r="D6" s="2007"/>
      <c r="E6" s="1231"/>
      <c r="F6" s="1230" t="s">
        <v>2547</v>
      </c>
      <c r="G6" s="3108" t="s">
        <v>2913</v>
      </c>
      <c r="H6" s="2006"/>
      <c r="I6" s="2006"/>
      <c r="J6" s="2006"/>
      <c r="K6" s="2006"/>
      <c r="L6" s="2006"/>
      <c r="M6" s="2006"/>
      <c r="N6" s="2006"/>
      <c r="O6" s="2006"/>
      <c r="P6" s="2006"/>
      <c r="Q6" s="2006"/>
      <c r="R6" s="2006"/>
    </row>
    <row r="7" spans="1:18" ht="41.25" thickBot="1">
      <c r="A7" s="1228"/>
      <c r="B7" s="1230" t="s">
        <v>2546</v>
      </c>
      <c r="C7" s="3108" t="s">
        <v>2916</v>
      </c>
      <c r="D7" s="2008"/>
      <c r="E7" s="1233"/>
      <c r="F7" s="1234" t="s">
        <v>1671</v>
      </c>
      <c r="G7" s="3111" t="s">
        <v>2917</v>
      </c>
      <c r="H7" s="2006"/>
      <c r="I7" s="2006"/>
      <c r="J7" s="2006"/>
      <c r="K7" s="2006"/>
      <c r="L7" s="2006"/>
      <c r="M7" s="2006"/>
      <c r="N7" s="2006"/>
      <c r="O7" s="2006"/>
      <c r="P7" s="2006"/>
      <c r="Q7" s="2006"/>
      <c r="R7" s="2006"/>
    </row>
    <row r="8" spans="1:18" ht="27">
      <c r="A8" s="1228"/>
      <c r="B8" s="1230" t="s">
        <v>2547</v>
      </c>
      <c r="C8" s="3108" t="s">
        <v>2913</v>
      </c>
      <c r="D8" s="2008"/>
      <c r="E8" s="2008"/>
      <c r="F8" s="1552"/>
      <c r="G8" s="1552"/>
      <c r="H8" s="2006"/>
      <c r="I8" s="2006"/>
      <c r="J8" s="2006"/>
      <c r="K8" s="2006"/>
      <c r="L8" s="2006"/>
      <c r="M8" s="2006"/>
      <c r="N8" s="2006"/>
      <c r="O8" s="2006"/>
      <c r="P8" s="2006"/>
      <c r="Q8" s="2006"/>
      <c r="R8" s="2006"/>
    </row>
    <row r="9" spans="1:18" ht="40.5">
      <c r="A9" s="1228"/>
      <c r="B9" s="1230" t="s">
        <v>1657</v>
      </c>
      <c r="C9" s="3107" t="s">
        <v>2914</v>
      </c>
      <c r="D9" s="2007"/>
      <c r="E9" s="2008"/>
      <c r="F9" s="1552"/>
      <c r="G9" s="1552"/>
      <c r="H9" s="2006"/>
      <c r="I9" s="2006"/>
      <c r="J9" s="2006"/>
      <c r="K9" s="2006"/>
      <c r="L9" s="2006"/>
      <c r="M9" s="2006"/>
      <c r="N9" s="2006"/>
      <c r="O9" s="2006"/>
      <c r="P9" s="2006"/>
      <c r="Q9" s="2006"/>
      <c r="R9" s="2006"/>
    </row>
    <row r="10" spans="1:18" s="2014" customFormat="1" ht="15" thickBot="1">
      <c r="A10" s="1235"/>
      <c r="B10" s="1236" t="s">
        <v>1672</v>
      </c>
      <c r="C10" s="3109"/>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600"/>
      <c r="E12" s="2007"/>
      <c r="F12" s="2008"/>
      <c r="G12" s="2010"/>
      <c r="H12" s="2015"/>
      <c r="I12" s="2016"/>
      <c r="J12" s="2015"/>
      <c r="K12" s="2015"/>
      <c r="L12" s="2017"/>
      <c r="M12" s="2015"/>
      <c r="N12" s="2018"/>
      <c r="O12" s="2019"/>
      <c r="P12" s="2020"/>
      <c r="Q12" s="2018"/>
      <c r="R12" s="2004"/>
    </row>
    <row r="13" spans="1:18" ht="19.5" thickBot="1">
      <c r="A13" s="2599" t="s">
        <v>1673</v>
      </c>
      <c r="B13" s="2600"/>
      <c r="C13" s="2600"/>
      <c r="D13" s="1223"/>
      <c r="E13" s="2600"/>
      <c r="F13" s="2600"/>
      <c r="G13" s="2600"/>
    </row>
    <row r="14" spans="1:18" ht="14.25" thickBot="1">
      <c r="A14" s="1237"/>
      <c r="B14" s="1238"/>
      <c r="C14" s="1239" t="s">
        <v>1665</v>
      </c>
      <c r="D14" s="2007"/>
      <c r="E14" s="1240"/>
      <c r="F14" s="1240"/>
      <c r="G14" s="1222" t="s">
        <v>1666</v>
      </c>
    </row>
    <row r="15" spans="1:18" ht="54">
      <c r="A15" s="2610" t="s">
        <v>1658</v>
      </c>
      <c r="B15" s="1241" t="s">
        <v>1654</v>
      </c>
      <c r="C15" s="1242" t="str">
        <f>C3</f>
        <v>估价对象周边居住用地比例、居住小区规模和社区发展完善程度，综合评价居住社区成熟度一般</v>
      </c>
      <c r="D15" s="2007"/>
      <c r="E15" s="2607" t="s">
        <v>1659</v>
      </c>
      <c r="F15" s="1241" t="s">
        <v>1674</v>
      </c>
      <c r="G15" s="1243" t="str">
        <f>G3</f>
        <v>估价对象位于XX开发区，园区建设成熟度XX，产业集聚程度XX</v>
      </c>
    </row>
    <row r="16" spans="1:18" ht="40.5">
      <c r="A16" s="2611"/>
      <c r="B16" s="1244" t="s">
        <v>1668</v>
      </c>
      <c r="C16" s="1245" t="str">
        <f>C4</f>
        <v>估价对象位于XX商圈，周边商业氛围成熟，人流量大，商业繁华度好</v>
      </c>
      <c r="D16" s="2007"/>
      <c r="E16" s="2608"/>
      <c r="F16" s="1246" t="s">
        <v>1669</v>
      </c>
      <c r="G16" s="1004" t="str">
        <f>G4</f>
        <v>估价对象周边道路状况、公共交通通达情况、停车便捷程度，综合评价交通便捷度较好</v>
      </c>
    </row>
    <row r="17" spans="1:7" ht="40.5">
      <c r="A17" s="2611"/>
      <c r="B17" s="1244" t="s">
        <v>1670</v>
      </c>
      <c r="C17" s="1245" t="str">
        <f>C5</f>
        <v>估价对象位于XX商圈，周边办公楼项目较多，入驻率高，办公集聚程度较好</v>
      </c>
      <c r="D17" s="2008"/>
      <c r="E17" s="2608"/>
      <c r="F17" s="1246" t="s">
        <v>1675</v>
      </c>
      <c r="G17" s="2818"/>
    </row>
    <row r="18" spans="1:7" ht="54">
      <c r="A18" s="2611"/>
      <c r="B18" s="1246" t="s">
        <v>1656</v>
      </c>
      <c r="C18" s="1004" t="str">
        <f>C6</f>
        <v>估价对象周边道路状况、公共交通通达情况、停车便捷程度，综合评价交通便捷度较好</v>
      </c>
      <c r="D18" s="2008"/>
      <c r="E18" s="2608"/>
      <c r="F18" s="1246" t="s">
        <v>1671</v>
      </c>
      <c r="G18" s="1004" t="str">
        <f>G7</f>
        <v>该园区内是否有污染型企业，绿化情况，卫生条件，整体环境状况判断</v>
      </c>
    </row>
    <row r="19" spans="1:7" ht="27">
      <c r="A19" s="2611"/>
      <c r="B19" s="1246" t="s">
        <v>1660</v>
      </c>
      <c r="C19" s="2818"/>
      <c r="D19" s="2007"/>
      <c r="E19" s="2608"/>
      <c r="F19" s="1230" t="s">
        <v>2546</v>
      </c>
      <c r="G19" s="1004" t="str">
        <f>G5</f>
        <v>估价对象所在区域公共配套设施齐备情况</v>
      </c>
    </row>
    <row r="20" spans="1:7" ht="40.5">
      <c r="A20" s="2611"/>
      <c r="B20" s="1246" t="s">
        <v>1661</v>
      </c>
      <c r="C20" s="1245" t="str">
        <f>C9</f>
        <v>区域自然环境：；人文环境；综合评价环境状况一般</v>
      </c>
      <c r="D20" s="2008"/>
      <c r="E20" s="2608"/>
      <c r="F20" s="1230" t="s">
        <v>2547</v>
      </c>
      <c r="G20" s="1004" t="str">
        <f>G6</f>
        <v>估价对象所在区域基础设施水平</v>
      </c>
    </row>
    <row r="21" spans="1:7" ht="27">
      <c r="A21" s="2611"/>
      <c r="B21" s="1230" t="s">
        <v>2546</v>
      </c>
      <c r="C21" s="1004" t="str">
        <f>C7</f>
        <v>估价对象所在区域公共配套设施齐备情况</v>
      </c>
      <c r="D21" s="2007"/>
      <c r="E21" s="2608"/>
      <c r="F21" s="1246" t="s">
        <v>1662</v>
      </c>
      <c r="G21" s="3112"/>
    </row>
    <row r="22" spans="1:7" ht="27">
      <c r="A22" s="2611"/>
      <c r="B22" s="1230" t="s">
        <v>2547</v>
      </c>
      <c r="C22" s="1004" t="str">
        <f>C8</f>
        <v>估价对象所在区域基础设施水平</v>
      </c>
      <c r="D22" s="2007"/>
      <c r="E22" s="2608"/>
      <c r="F22" s="1246" t="s">
        <v>1672</v>
      </c>
      <c r="G22" s="2818"/>
    </row>
    <row r="23" spans="1:7" ht="15" thickBot="1">
      <c r="A23" s="2611"/>
      <c r="B23" s="1246" t="s">
        <v>1662</v>
      </c>
      <c r="C23" s="3112"/>
      <c r="E23" s="2609"/>
      <c r="F23" s="1247" t="s">
        <v>1676</v>
      </c>
      <c r="G23" s="3113"/>
    </row>
    <row r="24" spans="1:7" ht="14.25" thickBot="1">
      <c r="A24" s="2612"/>
      <c r="B24" s="1247" t="s">
        <v>1663</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0" t="s">
        <v>2845</v>
      </c>
      <c r="B1" s="3070">
        <f>SUM(B14:B23)</f>
        <v>204632.7</v>
      </c>
      <c r="C1" s="3071"/>
      <c r="D1" s="3071"/>
      <c r="E1" s="3071"/>
      <c r="F1" s="3071"/>
    </row>
    <row r="2" spans="1:9" ht="16.5">
      <c r="A2" s="3070" t="s">
        <v>2846</v>
      </c>
      <c r="B2" s="3070">
        <f>SUM(C14:C23)</f>
        <v>81852.679999999993</v>
      </c>
      <c r="C2" s="3071"/>
      <c r="D2" s="3071"/>
      <c r="E2" s="3071"/>
      <c r="F2" s="3071"/>
    </row>
    <row r="3" spans="1:9" ht="16.5">
      <c r="A3" s="3070" t="s">
        <v>2847</v>
      </c>
      <c r="B3" s="3072">
        <f>项目基本情况!D3</f>
        <v>43068</v>
      </c>
      <c r="C3" s="3071"/>
      <c r="D3" s="3071"/>
      <c r="E3" s="3071"/>
      <c r="F3" s="3071"/>
    </row>
    <row r="4" spans="1:9" ht="33">
      <c r="A4" s="3070" t="s">
        <v>2848</v>
      </c>
      <c r="B4" s="3070" t="s">
        <v>2849</v>
      </c>
      <c r="C4" s="3070" t="s">
        <v>2850</v>
      </c>
      <c r="D4" s="3070" t="s">
        <v>2851</v>
      </c>
      <c r="E4" s="3071"/>
      <c r="F4" s="3071"/>
    </row>
    <row r="5" spans="1:9" ht="16.5">
      <c r="A5" s="3070" t="s">
        <v>2852</v>
      </c>
      <c r="B5" s="3070">
        <f ca="1">SUM(D14:D23)</f>
        <v>123657</v>
      </c>
      <c r="C5" s="3070">
        <f ca="1">ROUND(B5*10000/$B$1,0)</f>
        <v>6043</v>
      </c>
      <c r="D5" s="3070">
        <f ca="1">ROUND(B5*10000/$B$2,0)</f>
        <v>15107</v>
      </c>
      <c r="E5" s="3071"/>
      <c r="F5" s="3071"/>
    </row>
    <row r="6" spans="1:9" ht="16.5">
      <c r="A6" s="3070" t="s">
        <v>2853</v>
      </c>
      <c r="B6" s="3070">
        <f ca="1">SUM(G14:G23)</f>
        <v>123657</v>
      </c>
      <c r="C6" s="3070">
        <f t="shared" ref="C6:C8" ca="1" si="0">ROUND(B6*10000/$B$1,0)</f>
        <v>6043</v>
      </c>
      <c r="D6" s="3070">
        <f t="shared" ref="D6:D8" ca="1" si="1">ROUND(B6*10000/$B$2,0)</f>
        <v>15107</v>
      </c>
      <c r="E6" s="3071"/>
      <c r="F6" s="3071"/>
    </row>
    <row r="7" spans="1:9" ht="16.5">
      <c r="A7" s="3070" t="s">
        <v>2854</v>
      </c>
      <c r="B7" s="3070">
        <f>SUM(H14:H23)</f>
        <v>0</v>
      </c>
      <c r="C7" s="3070">
        <f t="shared" si="0"/>
        <v>0</v>
      </c>
      <c r="D7" s="3070">
        <f t="shared" si="1"/>
        <v>0</v>
      </c>
      <c r="E7" s="3071"/>
      <c r="F7" s="3071"/>
    </row>
    <row r="8" spans="1:9" ht="16.5">
      <c r="A8" s="3070" t="s">
        <v>2855</v>
      </c>
      <c r="B8" s="3070">
        <f>SUM(I14:I23)</f>
        <v>0</v>
      </c>
      <c r="C8" s="3070">
        <f t="shared" si="0"/>
        <v>0</v>
      </c>
      <c r="D8" s="3070">
        <f t="shared" si="1"/>
        <v>0</v>
      </c>
      <c r="E8" s="3071"/>
      <c r="F8" s="3071"/>
    </row>
    <row r="9" spans="1:9" ht="16.5">
      <c r="A9" s="3070" t="s">
        <v>2856</v>
      </c>
      <c r="B9" s="3073"/>
      <c r="C9" s="3071"/>
      <c r="D9" s="3071"/>
      <c r="E9" s="3071"/>
      <c r="F9" s="3071"/>
    </row>
    <row r="10" spans="1:9" ht="16.5">
      <c r="A10" s="3070" t="s">
        <v>2857</v>
      </c>
      <c r="B10" s="3073"/>
      <c r="C10" s="3071"/>
      <c r="D10" s="3071"/>
      <c r="E10" s="3071"/>
      <c r="F10" s="3071"/>
    </row>
    <row r="11" spans="1:9" ht="16.5">
      <c r="A11" s="3070" t="s">
        <v>2874</v>
      </c>
      <c r="B11" s="3073"/>
      <c r="C11" s="3071"/>
      <c r="D11" s="3071"/>
      <c r="E11" s="3071"/>
      <c r="F11" s="3071"/>
    </row>
    <row r="12" spans="1:9" ht="16.5">
      <c r="A12" s="3071"/>
      <c r="B12" s="3071"/>
      <c r="C12" s="3071"/>
      <c r="D12" s="3071"/>
      <c r="E12" s="3071"/>
      <c r="F12" s="3071"/>
    </row>
    <row r="13" spans="1:9" ht="33">
      <c r="A13" s="3076" t="s">
        <v>2873</v>
      </c>
      <c r="B13" s="3074" t="s">
        <v>2845</v>
      </c>
      <c r="C13" s="3074" t="s">
        <v>2846</v>
      </c>
      <c r="D13" s="3074" t="s">
        <v>2858</v>
      </c>
      <c r="E13" s="3070" t="s">
        <v>2872</v>
      </c>
      <c r="F13" s="3070" t="s">
        <v>2851</v>
      </c>
      <c r="G13" s="3074" t="s">
        <v>2859</v>
      </c>
      <c r="H13" s="3074" t="s">
        <v>2860</v>
      </c>
      <c r="I13" s="3074" t="s">
        <v>2861</v>
      </c>
    </row>
    <row r="14" spans="1:9" ht="16.5">
      <c r="A14" s="3077" t="s">
        <v>2871</v>
      </c>
      <c r="B14" s="3074">
        <f>结果表!L38</f>
        <v>204632.7</v>
      </c>
      <c r="C14" s="3074">
        <f>结果表!K38</f>
        <v>81852.679999999993</v>
      </c>
      <c r="D14" s="3074">
        <f ca="1">结果表!C42</f>
        <v>123657</v>
      </c>
      <c r="E14" s="3074">
        <f ca="1">ROUND(D14*10000/B14,0)</f>
        <v>6043</v>
      </c>
      <c r="F14" s="3074">
        <f ca="1">ROUND(D14*10000/C14,0)</f>
        <v>15107</v>
      </c>
      <c r="G14" s="3074">
        <f ca="1">结果表!C44</f>
        <v>123657</v>
      </c>
      <c r="H14" s="3074" t="str">
        <f>结果表!C45</f>
        <v>——</v>
      </c>
      <c r="I14" s="3074" t="str">
        <f>结果表!C46</f>
        <v>——</v>
      </c>
    </row>
    <row r="15" spans="1:9" ht="16.5">
      <c r="A15" s="3077" t="s">
        <v>2862</v>
      </c>
      <c r="B15" s="3078"/>
      <c r="C15" s="3078"/>
      <c r="D15" s="3078"/>
      <c r="E15" s="3074" t="e">
        <f t="shared" ref="E15:E23" si="2">ROUND(D15*10000/B15,0)</f>
        <v>#DIV/0!</v>
      </c>
      <c r="F15" s="3074" t="e">
        <f t="shared" ref="F15:F23" si="3">ROUND(D15*10000/C15,0)</f>
        <v>#DIV/0!</v>
      </c>
      <c r="G15" s="3075"/>
      <c r="H15" s="3075"/>
      <c r="I15" s="3078"/>
    </row>
    <row r="16" spans="1:9" ht="16.5">
      <c r="A16" s="3077" t="s">
        <v>2863</v>
      </c>
      <c r="B16" s="3078"/>
      <c r="C16" s="3078"/>
      <c r="D16" s="3078"/>
      <c r="E16" s="3074" t="e">
        <f t="shared" si="2"/>
        <v>#DIV/0!</v>
      </c>
      <c r="F16" s="3074" t="e">
        <f t="shared" si="3"/>
        <v>#DIV/0!</v>
      </c>
      <c r="G16" s="3075"/>
      <c r="H16" s="3075"/>
      <c r="I16" s="3078"/>
    </row>
    <row r="17" spans="1:9" ht="16.5">
      <c r="A17" s="3077" t="s">
        <v>2864</v>
      </c>
      <c r="B17" s="3078"/>
      <c r="C17" s="3078"/>
      <c r="D17" s="3078"/>
      <c r="E17" s="3074" t="e">
        <f t="shared" si="2"/>
        <v>#DIV/0!</v>
      </c>
      <c r="F17" s="3074" t="e">
        <f t="shared" si="3"/>
        <v>#DIV/0!</v>
      </c>
      <c r="G17" s="3075"/>
      <c r="H17" s="3075"/>
      <c r="I17" s="3078"/>
    </row>
    <row r="18" spans="1:9" ht="16.5">
      <c r="A18" s="3077" t="s">
        <v>2865</v>
      </c>
      <c r="B18" s="3078"/>
      <c r="C18" s="3078"/>
      <c r="D18" s="3078"/>
      <c r="E18" s="3074" t="e">
        <f t="shared" si="2"/>
        <v>#DIV/0!</v>
      </c>
      <c r="F18" s="3074" t="e">
        <f t="shared" si="3"/>
        <v>#DIV/0!</v>
      </c>
      <c r="G18" s="3078"/>
      <c r="H18" s="3078"/>
      <c r="I18" s="3078"/>
    </row>
    <row r="19" spans="1:9" ht="16.5">
      <c r="A19" s="3077" t="s">
        <v>2866</v>
      </c>
      <c r="B19" s="3078"/>
      <c r="C19" s="3078"/>
      <c r="D19" s="3078"/>
      <c r="E19" s="3074" t="e">
        <f t="shared" si="2"/>
        <v>#DIV/0!</v>
      </c>
      <c r="F19" s="3074" t="e">
        <f t="shared" si="3"/>
        <v>#DIV/0!</v>
      </c>
      <c r="G19" s="3078"/>
      <c r="H19" s="3078"/>
      <c r="I19" s="3078"/>
    </row>
    <row r="20" spans="1:9" ht="16.5">
      <c r="A20" s="3077" t="s">
        <v>2867</v>
      </c>
      <c r="B20" s="3078"/>
      <c r="C20" s="3078"/>
      <c r="D20" s="3078"/>
      <c r="E20" s="3074" t="e">
        <f t="shared" si="2"/>
        <v>#DIV/0!</v>
      </c>
      <c r="F20" s="3074" t="e">
        <f t="shared" si="3"/>
        <v>#DIV/0!</v>
      </c>
      <c r="G20" s="3078"/>
      <c r="H20" s="3078"/>
      <c r="I20" s="3078"/>
    </row>
    <row r="21" spans="1:9" ht="16.5">
      <c r="A21" s="3077" t="s">
        <v>2868</v>
      </c>
      <c r="B21" s="3078"/>
      <c r="C21" s="3078"/>
      <c r="D21" s="3078"/>
      <c r="E21" s="3074" t="e">
        <f t="shared" si="2"/>
        <v>#DIV/0!</v>
      </c>
      <c r="F21" s="3074" t="e">
        <f t="shared" si="3"/>
        <v>#DIV/0!</v>
      </c>
      <c r="G21" s="3078"/>
      <c r="H21" s="3078"/>
      <c r="I21" s="3078"/>
    </row>
    <row r="22" spans="1:9" ht="16.5">
      <c r="A22" s="3077" t="s">
        <v>2869</v>
      </c>
      <c r="B22" s="3078"/>
      <c r="C22" s="3078"/>
      <c r="D22" s="3078"/>
      <c r="E22" s="3074" t="e">
        <f t="shared" si="2"/>
        <v>#DIV/0!</v>
      </c>
      <c r="F22" s="3074" t="e">
        <f t="shared" si="3"/>
        <v>#DIV/0!</v>
      </c>
      <c r="G22" s="3078"/>
      <c r="H22" s="3078"/>
      <c r="I22" s="3078"/>
    </row>
    <row r="23" spans="1:9" ht="16.5">
      <c r="A23" s="3077" t="s">
        <v>2870</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topLeftCell="A9" zoomScaleSheetLayoutView="100" zoomScalePageLayoutView="80" workbookViewId="0">
      <selection activeCell="H27" sqref="H2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2055</v>
      </c>
      <c r="B1" s="1775"/>
      <c r="C1" s="1803" t="s">
        <v>2056</v>
      </c>
      <c r="D1" s="1804" t="s">
        <v>3068</v>
      </c>
      <c r="E1" s="1803" t="s">
        <v>2057</v>
      </c>
      <c r="F1" s="1805" t="s">
        <v>3069</v>
      </c>
      <c r="G1" s="311"/>
      <c r="H1" s="311"/>
      <c r="I1" s="311"/>
      <c r="J1" s="2027"/>
      <c r="K1" s="2027"/>
      <c r="L1" s="2027"/>
      <c r="M1" s="2027"/>
      <c r="N1" s="2027"/>
      <c r="O1" s="2027"/>
      <c r="P1" s="2027"/>
      <c r="Q1" s="2027"/>
      <c r="R1" s="2027"/>
      <c r="S1" s="2027"/>
      <c r="T1" s="2027"/>
      <c r="U1" s="2027"/>
      <c r="V1" s="2027"/>
    </row>
    <row r="2" spans="1:22" ht="21.75" customHeight="1" thickBot="1">
      <c r="A2" s="3323" t="str">
        <f>项目基本情况!K2</f>
        <v>四川省成都市郫都区郫筒镇晨光村三、五社、双喜村一社1宗住宅、商业用途出让国有建设用地使用权</v>
      </c>
      <c r="B2" s="3324"/>
      <c r="C2" s="3325"/>
      <c r="D2" s="3325"/>
      <c r="E2" s="3325"/>
      <c r="F2" s="3325"/>
      <c r="G2" s="3324"/>
      <c r="H2" s="3324"/>
      <c r="I2" s="3326"/>
      <c r="J2" s="2028"/>
      <c r="K2" s="2027"/>
      <c r="L2" s="2027"/>
      <c r="M2" s="2027"/>
      <c r="N2" s="2027"/>
      <c r="O2" s="2027"/>
      <c r="P2" s="2027"/>
      <c r="Q2" s="2027"/>
      <c r="R2" s="2027"/>
      <c r="S2" s="2027"/>
      <c r="T2" s="2027"/>
      <c r="U2" s="2027"/>
      <c r="V2" s="2027"/>
    </row>
    <row r="3" spans="1:22" ht="14.25">
      <c r="A3" s="3316" t="s">
        <v>298</v>
      </c>
      <c r="B3" s="3317"/>
      <c r="C3" s="3317"/>
      <c r="D3" s="3317"/>
      <c r="E3" s="3317"/>
      <c r="F3" s="3317"/>
      <c r="G3" s="3317"/>
      <c r="H3" s="3317"/>
      <c r="I3" s="3317"/>
      <c r="J3" s="2028"/>
      <c r="K3" s="2027"/>
      <c r="L3" s="2027"/>
      <c r="M3" s="2027"/>
      <c r="N3" s="2027"/>
      <c r="O3" s="2027"/>
      <c r="P3" s="2027"/>
      <c r="Q3" s="2027"/>
      <c r="R3" s="2027"/>
      <c r="S3" s="2027"/>
      <c r="T3" s="2027"/>
      <c r="U3" s="2027"/>
      <c r="V3" s="2027"/>
    </row>
    <row r="4" spans="1:22" ht="14.25">
      <c r="A4" s="258" t="s">
        <v>299</v>
      </c>
      <c r="B4" s="259" t="s">
        <v>300</v>
      </c>
      <c r="C4" s="260" t="s">
        <v>3070</v>
      </c>
      <c r="D4" s="260" t="s">
        <v>3149</v>
      </c>
      <c r="E4" s="3288" t="s">
        <v>301</v>
      </c>
      <c r="F4" s="3289"/>
      <c r="G4" s="3289"/>
      <c r="H4" s="3289"/>
      <c r="I4" s="3318"/>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287" t="s">
        <v>302</v>
      </c>
      <c r="B5" s="3313">
        <v>25</v>
      </c>
      <c r="C5" s="3311"/>
      <c r="D5" s="3315"/>
      <c r="E5" s="261" t="s">
        <v>303</v>
      </c>
      <c r="F5" s="262"/>
      <c r="G5" s="262"/>
      <c r="H5" s="262"/>
      <c r="I5" s="263"/>
      <c r="J5" s="2028"/>
      <c r="K5" s="2027"/>
      <c r="L5" s="2027"/>
      <c r="M5" s="2027"/>
      <c r="N5" s="2027"/>
      <c r="O5" s="2027"/>
      <c r="P5" s="2027"/>
      <c r="Q5" s="2027"/>
      <c r="R5" s="2027"/>
      <c r="S5" s="2027"/>
      <c r="T5" s="2027"/>
      <c r="U5" s="2027"/>
      <c r="V5" s="2027"/>
    </row>
    <row r="6" spans="1:22" ht="14.25">
      <c r="A6" s="3287"/>
      <c r="B6" s="3313"/>
      <c r="C6" s="3314"/>
      <c r="D6" s="3315"/>
      <c r="E6" s="261" t="s">
        <v>304</v>
      </c>
      <c r="F6" s="262"/>
      <c r="G6" s="262"/>
      <c r="H6" s="262"/>
      <c r="I6" s="263"/>
      <c r="J6" s="2028"/>
      <c r="K6" s="2027"/>
      <c r="L6" s="2027"/>
      <c r="M6" s="2027"/>
      <c r="N6" s="2027"/>
      <c r="O6" s="2027"/>
      <c r="P6" s="2027"/>
      <c r="Q6" s="2027"/>
      <c r="R6" s="2027"/>
      <c r="S6" s="2027"/>
      <c r="T6" s="2027"/>
      <c r="U6" s="2027"/>
      <c r="V6" s="2027"/>
    </row>
    <row r="7" spans="1:22" ht="14.25">
      <c r="A7" s="3287"/>
      <c r="B7" s="3313"/>
      <c r="C7" s="3312"/>
      <c r="D7" s="3315"/>
      <c r="E7" s="261" t="s">
        <v>305</v>
      </c>
      <c r="F7" s="262"/>
      <c r="G7" s="262"/>
      <c r="H7" s="262"/>
      <c r="I7" s="263"/>
      <c r="J7" s="2028"/>
      <c r="K7" s="2027"/>
      <c r="L7" s="2027"/>
      <c r="M7" s="2027"/>
      <c r="N7" s="2027"/>
      <c r="O7" s="2027"/>
      <c r="P7" s="2027"/>
      <c r="Q7" s="2027"/>
      <c r="R7" s="2027"/>
      <c r="S7" s="2027"/>
      <c r="T7" s="2027"/>
      <c r="U7" s="2027"/>
      <c r="V7" s="2027"/>
    </row>
    <row r="8" spans="1:22" ht="14.25">
      <c r="A8" s="3287" t="s">
        <v>306</v>
      </c>
      <c r="B8" s="3313">
        <v>15</v>
      </c>
      <c r="C8" s="3311"/>
      <c r="D8" s="3315"/>
      <c r="E8" s="261" t="s">
        <v>307</v>
      </c>
      <c r="F8" s="262"/>
      <c r="G8" s="262"/>
      <c r="H8" s="262"/>
      <c r="I8" s="263"/>
      <c r="J8" s="2028"/>
      <c r="K8" s="2027"/>
      <c r="L8" s="2027"/>
      <c r="M8" s="2027"/>
      <c r="N8" s="2027"/>
      <c r="O8" s="2027"/>
      <c r="P8" s="2027"/>
      <c r="Q8" s="2027"/>
      <c r="R8" s="2027"/>
      <c r="S8" s="2027"/>
      <c r="T8" s="2027"/>
      <c r="U8" s="2027"/>
      <c r="V8" s="2027"/>
    </row>
    <row r="9" spans="1:22" ht="14.25">
      <c r="A9" s="3287"/>
      <c r="B9" s="3313"/>
      <c r="C9" s="3312"/>
      <c r="D9" s="3315"/>
      <c r="E9" s="261" t="s">
        <v>308</v>
      </c>
      <c r="F9" s="262"/>
      <c r="G9" s="262"/>
      <c r="H9" s="262"/>
      <c r="I9" s="263"/>
      <c r="J9" s="2028"/>
      <c r="K9" s="2027"/>
      <c r="L9" s="2027"/>
      <c r="M9" s="2027"/>
      <c r="N9" s="2027"/>
      <c r="O9" s="2027"/>
      <c r="P9" s="2027"/>
      <c r="Q9" s="2027"/>
      <c r="R9" s="2027"/>
      <c r="S9" s="2027"/>
      <c r="T9" s="2027"/>
      <c r="U9" s="2027"/>
      <c r="V9" s="2027"/>
    </row>
    <row r="10" spans="1:22" ht="14.25">
      <c r="A10" s="3287" t="s">
        <v>309</v>
      </c>
      <c r="B10" s="3313">
        <v>15</v>
      </c>
      <c r="C10" s="3311"/>
      <c r="D10" s="3315"/>
      <c r="E10" s="261" t="s">
        <v>310</v>
      </c>
      <c r="F10" s="262"/>
      <c r="G10" s="262"/>
      <c r="H10" s="262"/>
      <c r="I10" s="263"/>
      <c r="J10" s="2028"/>
      <c r="K10" s="2027"/>
      <c r="L10" s="2027"/>
      <c r="M10" s="2027"/>
      <c r="N10" s="2027"/>
      <c r="O10" s="2027"/>
      <c r="P10" s="2027"/>
      <c r="Q10" s="2027"/>
      <c r="R10" s="2027"/>
      <c r="S10" s="2027"/>
      <c r="T10" s="2027"/>
      <c r="U10" s="2027"/>
      <c r="V10" s="2027"/>
    </row>
    <row r="11" spans="1:22" ht="14.25">
      <c r="A11" s="3287"/>
      <c r="B11" s="3313"/>
      <c r="C11" s="3312"/>
      <c r="D11" s="3315"/>
      <c r="E11" s="261" t="s">
        <v>311</v>
      </c>
      <c r="F11" s="262"/>
      <c r="G11" s="262"/>
      <c r="H11" s="262"/>
      <c r="I11" s="263"/>
      <c r="J11" s="2028"/>
      <c r="K11" s="2027"/>
      <c r="L11" s="2027"/>
      <c r="M11" s="2027"/>
      <c r="N11" s="2027"/>
      <c r="O11" s="2027"/>
      <c r="P11" s="2027"/>
      <c r="Q11" s="2027"/>
      <c r="R11" s="2027"/>
      <c r="S11" s="2027"/>
      <c r="T11" s="2027"/>
      <c r="U11" s="2027"/>
      <c r="V11" s="2027"/>
    </row>
    <row r="12" spans="1:22" ht="14.25">
      <c r="A12" s="3287" t="s">
        <v>312</v>
      </c>
      <c r="B12" s="3313">
        <v>15</v>
      </c>
      <c r="C12" s="3311"/>
      <c r="D12" s="3315"/>
      <c r="E12" s="261" t="s">
        <v>313</v>
      </c>
      <c r="F12" s="262"/>
      <c r="G12" s="262"/>
      <c r="H12" s="262"/>
      <c r="I12" s="263"/>
      <c r="J12" s="2028"/>
      <c r="K12" s="2027"/>
      <c r="L12" s="2027"/>
      <c r="M12" s="2027"/>
      <c r="N12" s="2027"/>
      <c r="O12" s="2027"/>
      <c r="P12" s="2027"/>
      <c r="Q12" s="2027"/>
      <c r="R12" s="2027"/>
      <c r="S12" s="2027"/>
      <c r="T12" s="2027"/>
      <c r="U12" s="2027"/>
      <c r="V12" s="2027"/>
    </row>
    <row r="13" spans="1:22" ht="14.25">
      <c r="A13" s="3287"/>
      <c r="B13" s="3313"/>
      <c r="C13" s="3312"/>
      <c r="D13" s="3315"/>
      <c r="E13" s="261" t="s">
        <v>314</v>
      </c>
      <c r="F13" s="262"/>
      <c r="G13" s="262"/>
      <c r="H13" s="262"/>
      <c r="I13" s="263"/>
      <c r="J13" s="2028"/>
      <c r="K13" s="2027"/>
      <c r="L13" s="2027"/>
      <c r="M13" s="2027"/>
      <c r="N13" s="2027"/>
      <c r="O13" s="2027"/>
      <c r="P13" s="2027"/>
      <c r="Q13" s="2027"/>
      <c r="R13" s="2027"/>
      <c r="S13" s="2027"/>
      <c r="T13" s="2027"/>
      <c r="U13" s="2027"/>
      <c r="V13" s="2027"/>
    </row>
    <row r="14" spans="1:22" ht="14.25">
      <c r="A14" s="3287" t="s">
        <v>315</v>
      </c>
      <c r="B14" s="3313">
        <v>30</v>
      </c>
      <c r="C14" s="3311">
        <v>5</v>
      </c>
      <c r="D14" s="3315">
        <v>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287"/>
      <c r="B15" s="3313"/>
      <c r="C15" s="3314"/>
      <c r="D15" s="3315"/>
      <c r="E15" s="261" t="s">
        <v>317</v>
      </c>
      <c r="F15" s="262"/>
      <c r="G15" s="262"/>
      <c r="H15" s="262"/>
      <c r="I15" s="263"/>
      <c r="J15" s="2028"/>
      <c r="K15" s="2027"/>
      <c r="L15" s="2027"/>
      <c r="M15" s="2027"/>
      <c r="N15" s="2027"/>
      <c r="O15" s="2027"/>
      <c r="P15" s="2027"/>
      <c r="Q15" s="2027"/>
      <c r="R15" s="2027"/>
      <c r="S15" s="2027"/>
      <c r="T15" s="2027"/>
      <c r="U15" s="2027"/>
      <c r="V15" s="2027"/>
    </row>
    <row r="16" spans="1:22" ht="14.25">
      <c r="A16" s="3287"/>
      <c r="B16" s="3313"/>
      <c r="C16" s="3312"/>
      <c r="D16" s="3315"/>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137452</v>
      </c>
      <c r="D19" s="271">
        <f ca="1">SUMIF(INDIRECT("'"&amp;D4&amp;"'"&amp;"!A:A"),结果表!B19,INDIRECT("'"&amp;D4&amp;"'"&amp;"!B:B"))</f>
        <v>109862</v>
      </c>
      <c r="E19" s="268" t="s">
        <v>323</v>
      </c>
      <c r="F19" s="269" t="s">
        <v>322</v>
      </c>
      <c r="G19" s="272">
        <f ca="1">ROUND(C19*$C$18+D19*$D$18,0)</f>
        <v>123657</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6717</v>
      </c>
      <c r="D20" s="277">
        <f ca="1">SUMIF(INDIRECT("'"&amp;D4&amp;"'"&amp;"!A:A"),结果表!B20,INDIRECT("'"&amp;D4&amp;"'"&amp;"!B:B"))</f>
        <v>5369</v>
      </c>
      <c r="E20" s="274"/>
      <c r="F20" s="275" t="s">
        <v>325</v>
      </c>
      <c r="G20" s="278">
        <f ca="1">ROUND(C20*$C$18+D20*$D$18,0)</f>
        <v>6043</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16793</v>
      </c>
      <c r="D21" s="151">
        <f ca="1">SUMIF(INDIRECT("'"&amp;D4&amp;"'"&amp;"!A:A"),结果表!B21,INDIRECT("'"&amp;D4&amp;"'"&amp;"!B:B"))</f>
        <v>13422</v>
      </c>
      <c r="E21" s="274"/>
      <c r="F21" s="280" t="s">
        <v>327</v>
      </c>
      <c r="G21" s="282">
        <f ca="1">ROUND(C21*$C$18+D21*$D$18,0)</f>
        <v>15108</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0.25113323988276193</v>
      </c>
      <c r="E22" s="284"/>
      <c r="F22" s="285"/>
      <c r="G22" s="286">
        <f ca="1">ROUND(G19/('数据-汇总表'!D3/666.67),0)</f>
        <v>1007</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293"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294"/>
      <c r="B25" s="1320" t="s">
        <v>331</v>
      </c>
      <c r="C25" s="290">
        <f>IF(B30=0,0,C30)</f>
        <v>0</v>
      </c>
      <c r="D25" s="291"/>
      <c r="E25" s="311"/>
      <c r="F25" s="311"/>
      <c r="G25" s="311"/>
      <c r="H25" s="311"/>
      <c r="I25" s="311"/>
      <c r="J25" s="2027"/>
      <c r="K25" s="1254" t="str">
        <f ca="1">项目基本情况!B16&amp;"国有建设用地使用权价格："&amp;O38&amp;"万元"</f>
        <v>出让国有建设用地使用权价格：123657万元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1"/>
      <c r="F26" s="311"/>
      <c r="G26" s="311"/>
      <c r="H26" s="311"/>
      <c r="I26" s="311"/>
      <c r="J26" s="2027"/>
      <c r="K26" s="1257" t="str">
        <f ca="1">"大写金额：人民币"&amp;NUMBERSTRING(INT(O38*10000),2)&amp;"元整"</f>
        <v>大写金额：人民币壹拾贰亿叁仟陆佰伍拾柒万元整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单位面积地价：15107元/平方米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楼面地价：6043元/平方米</v>
      </c>
      <c r="L28" s="1251"/>
      <c r="M28" s="1251"/>
      <c r="N28" s="1251"/>
      <c r="O28" s="1250"/>
      <c r="P28" s="2027"/>
      <c r="V28" s="2027"/>
    </row>
    <row r="29" spans="1:26" ht="18">
      <c r="A29" s="293"/>
      <c r="B29" s="294"/>
      <c r="C29" s="294"/>
      <c r="D29" s="295"/>
      <c r="E29" s="311"/>
      <c r="F29" s="311"/>
      <c r="G29" s="311"/>
      <c r="H29" s="311"/>
      <c r="I29" s="311"/>
      <c r="J29" s="2027"/>
      <c r="K29" s="1257" t="str">
        <f ca="1">IF(OR(项目基本情况!E8="抵押价格",项目基本情况!E8="已注销及未注销"),"抵押价格："&amp;O39&amp;"万元","——")</f>
        <v>抵押价格：123657万元</v>
      </c>
      <c r="L29" s="1251"/>
      <c r="M29" s="1251"/>
      <c r="N29" s="1251"/>
      <c r="O29" s="1250"/>
      <c r="P29" s="2027"/>
      <c r="V29" s="2027"/>
    </row>
    <row r="30" spans="1:26" ht="18.75" thickBot="1">
      <c r="A30" s="3171" t="s">
        <v>336</v>
      </c>
      <c r="B30" s="309"/>
      <c r="C30" s="309"/>
      <c r="D30" s="310"/>
      <c r="E30" s="3172" t="s">
        <v>2970</v>
      </c>
      <c r="F30" s="311"/>
      <c r="G30" s="311"/>
      <c r="H30" s="311"/>
      <c r="I30" s="311"/>
      <c r="J30" s="2027"/>
      <c r="K30" s="1257" t="str">
        <f ca="1">IF(K29="——","——","大写金额：人民币"&amp;NUMBERSTRING(INT(O39*10000),2)&amp;"元整")</f>
        <v>大写金额：人民币壹拾贰亿叁仟陆佰伍拾柒万元整</v>
      </c>
      <c r="L30" s="1251"/>
      <c r="M30" s="1251"/>
      <c r="N30" s="1251"/>
      <c r="O30" s="1250"/>
      <c r="P30" s="2027"/>
      <c r="V30" s="2027"/>
    </row>
    <row r="31" spans="1:26" ht="24" customHeight="1" thickBot="1">
      <c r="A31" s="311"/>
      <c r="B31" s="311"/>
      <c r="C31" s="311"/>
      <c r="D31" s="311"/>
      <c r="E31" s="311"/>
      <c r="F31" s="311"/>
      <c r="G31" s="311"/>
      <c r="H31" s="311"/>
      <c r="I31" s="311"/>
      <c r="J31" s="2027"/>
      <c r="K31" s="2491" t="str">
        <f>IF(项目基本情况!E8="抵押价格","——","抵押担保权已注销时的抵押价格："&amp;O40&amp;"万元")</f>
        <v>——</v>
      </c>
      <c r="L31" s="2487"/>
      <c r="M31" s="2487"/>
      <c r="N31" s="2487"/>
      <c r="O31" s="2488"/>
      <c r="P31" s="2027"/>
      <c r="V31" s="2027"/>
    </row>
    <row r="32" spans="1:26" ht="18.75" thickBot="1">
      <c r="A32" s="268" t="s">
        <v>337</v>
      </c>
      <c r="B32" s="1380" t="s">
        <v>1689</v>
      </c>
      <c r="C32" s="1381">
        <f ca="1">G19-C24</f>
        <v>123657</v>
      </c>
      <c r="D32" s="1382" t="s">
        <v>1690</v>
      </c>
      <c r="E32" s="311"/>
      <c r="F32" s="311"/>
      <c r="G32" s="311"/>
      <c r="H32" s="311"/>
      <c r="I32" s="311"/>
      <c r="J32" s="2027"/>
      <c r="K32" s="2486" t="str">
        <f>IF(K31="——","——","大写金额：人民币"&amp;NUMBERSTRING(INT(O40*10000),2)&amp;"元整")</f>
        <v>——</v>
      </c>
      <c r="L32" s="2489"/>
      <c r="M32" s="2489"/>
      <c r="N32" s="2489"/>
      <c r="O32" s="2490"/>
      <c r="P32" s="2027"/>
      <c r="V32" s="2027"/>
    </row>
    <row r="33" spans="1:26" ht="18.75" thickBot="1">
      <c r="A33" s="298" t="s">
        <v>340</v>
      </c>
      <c r="B33" s="1383" t="s">
        <v>1691</v>
      </c>
      <c r="C33" s="264">
        <f ca="1">ROUND(C32*10000/'数据-汇总表'!E3,0)</f>
        <v>6043</v>
      </c>
      <c r="D33" s="1384" t="s">
        <v>1692</v>
      </c>
      <c r="E33" s="3293" t="s">
        <v>338</v>
      </c>
      <c r="F33" s="296" t="s">
        <v>339</v>
      </c>
      <c r="G33" s="297"/>
      <c r="H33" s="979"/>
      <c r="I33" s="1258"/>
      <c r="J33" s="2027"/>
      <c r="K33" s="1257" t="str">
        <f>IF(项目基本情况!E9="——","——","抵押净值："&amp;C46&amp;"万元")</f>
        <v>——</v>
      </c>
      <c r="L33" s="1251"/>
      <c r="M33" s="1251"/>
      <c r="N33" s="1251"/>
      <c r="O33" s="1250"/>
      <c r="P33" s="2027"/>
      <c r="V33" s="2027"/>
    </row>
    <row r="34" spans="1:26" s="1253" customFormat="1" ht="18.75" thickBot="1">
      <c r="A34" s="300"/>
      <c r="B34" s="1385" t="s">
        <v>1693</v>
      </c>
      <c r="C34" s="264">
        <f ca="1">ROUND(C32*10000/'数据-汇总表'!D3,0)</f>
        <v>15107</v>
      </c>
      <c r="D34" s="1386" t="s">
        <v>1692</v>
      </c>
      <c r="E34" s="3334"/>
      <c r="F34" s="127" t="s">
        <v>341</v>
      </c>
      <c r="G34" s="299"/>
      <c r="H34" s="105"/>
      <c r="I34" s="311"/>
      <c r="J34" s="2027"/>
      <c r="K34" s="1260" t="str">
        <f>IF(K33="——","——","大写金额：人民币"&amp;NUMBERSTRING(INT(O41*10000),2)&amp;"元整")</f>
        <v>——</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1007</v>
      </c>
      <c r="D35" s="1389" t="s">
        <v>1694</v>
      </c>
      <c r="E35" s="3335"/>
      <c r="F35" s="301" t="s">
        <v>342</v>
      </c>
      <c r="G35" s="981"/>
      <c r="H35" s="980" t="s">
        <v>343</v>
      </c>
      <c r="I35" s="311"/>
      <c r="J35" s="2027"/>
      <c r="K35" s="3308" t="s">
        <v>350</v>
      </c>
      <c r="L35" s="3308" t="s">
        <v>351</v>
      </c>
      <c r="M35" s="1263" t="s">
        <v>352</v>
      </c>
      <c r="N35" s="3308" t="s">
        <v>353</v>
      </c>
      <c r="O35" s="3308" t="s">
        <v>354</v>
      </c>
      <c r="P35" s="2027"/>
      <c r="V35" s="2027"/>
    </row>
    <row r="36" spans="1:26" ht="16.5" customHeight="1">
      <c r="A36" s="303" t="s">
        <v>344</v>
      </c>
      <c r="B36" s="304" t="s">
        <v>333</v>
      </c>
      <c r="C36" s="305" t="s">
        <v>345</v>
      </c>
      <c r="D36" s="305" t="s">
        <v>346</v>
      </c>
      <c r="E36" s="306" t="s">
        <v>347</v>
      </c>
      <c r="F36" s="311"/>
      <c r="G36" s="311"/>
      <c r="H36" s="311"/>
      <c r="I36" s="311"/>
      <c r="J36" s="2029"/>
      <c r="K36" s="3309"/>
      <c r="L36" s="3309"/>
      <c r="M36" s="1265" t="s">
        <v>355</v>
      </c>
      <c r="N36" s="3309"/>
      <c r="O36" s="3309"/>
      <c r="P36" s="2027"/>
      <c r="V36" s="2027"/>
    </row>
    <row r="37" spans="1:26" ht="16.5" customHeight="1" thickBot="1">
      <c r="A37" s="1259" t="s">
        <v>348</v>
      </c>
      <c r="B37" s="307"/>
      <c r="C37" s="294"/>
      <c r="D37" s="294"/>
      <c r="E37" s="295"/>
      <c r="F37" s="311"/>
      <c r="G37" s="311"/>
      <c r="H37" s="311"/>
      <c r="I37" s="311"/>
      <c r="J37" s="2029"/>
      <c r="K37" s="3310"/>
      <c r="L37" s="3310"/>
      <c r="M37" s="1266"/>
      <c r="N37" s="3310"/>
      <c r="O37" s="3310"/>
      <c r="P37" s="2027"/>
      <c r="V37" s="2027"/>
    </row>
    <row r="38" spans="1:26" ht="16.5" customHeight="1" thickBot="1">
      <c r="A38" s="1259" t="s">
        <v>349</v>
      </c>
      <c r="B38" s="307"/>
      <c r="C38" s="294"/>
      <c r="D38" s="294"/>
      <c r="E38" s="295"/>
      <c r="F38" s="311"/>
      <c r="G38" s="311"/>
      <c r="H38" s="311"/>
      <c r="I38" s="311"/>
      <c r="J38" s="2029"/>
      <c r="K38" s="1267">
        <f>'数据-汇总表'!D3</f>
        <v>81852.679999999993</v>
      </c>
      <c r="L38" s="1268">
        <f>'数据-汇总表'!E3</f>
        <v>204632.7</v>
      </c>
      <c r="M38" s="1268">
        <f ca="1">C34</f>
        <v>15107</v>
      </c>
      <c r="N38" s="1268">
        <f ca="1">C33</f>
        <v>6043</v>
      </c>
      <c r="O38" s="1269">
        <f ca="1">C32</f>
        <v>123657</v>
      </c>
      <c r="P38" s="2027"/>
      <c r="V38" s="2027"/>
    </row>
    <row r="39" spans="1:26" ht="16.5" customHeight="1" thickBot="1">
      <c r="A39" s="1264"/>
      <c r="B39" s="308"/>
      <c r="C39" s="309"/>
      <c r="D39" s="309"/>
      <c r="E39" s="310"/>
      <c r="F39" s="311"/>
      <c r="G39" s="311"/>
      <c r="H39" s="311"/>
      <c r="I39" s="311"/>
      <c r="J39" s="2029"/>
      <c r="K39" s="3353" t="str">
        <f>MID(A44,3,LEN(A44)-2)</f>
        <v>抵押价格</v>
      </c>
      <c r="L39" s="3354"/>
      <c r="M39" s="3354"/>
      <c r="N39" s="3355"/>
      <c r="O39" s="1391">
        <f ca="1">C44</f>
        <v>123657</v>
      </c>
      <c r="P39" s="2027"/>
      <c r="V39" s="2027"/>
    </row>
    <row r="40" spans="1:26" ht="19.5" thickBot="1">
      <c r="A40" s="104" t="s">
        <v>873</v>
      </c>
      <c r="B40" s="311"/>
      <c r="C40" s="311"/>
      <c r="D40" s="311"/>
      <c r="E40" s="311"/>
      <c r="F40" s="311"/>
      <c r="G40" s="311"/>
      <c r="H40" s="311"/>
      <c r="I40" s="311"/>
      <c r="J40" s="2029"/>
      <c r="K40" s="3353" t="str">
        <f t="shared" ref="K40:K41" si="0">MID(A45,3,LEN(A45)-2)</f>
        <v/>
      </c>
      <c r="L40" s="3354"/>
      <c r="M40" s="3354"/>
      <c r="N40" s="3355"/>
      <c r="O40" s="1391" t="str">
        <f>C45</f>
        <v>——</v>
      </c>
      <c r="P40" s="2027"/>
      <c r="V40" s="2027"/>
    </row>
    <row r="41" spans="1:26" ht="16.5" thickBot="1">
      <c r="A41" s="312" t="s">
        <v>356</v>
      </c>
      <c r="B41" s="313"/>
      <c r="C41" s="314" t="s">
        <v>357</v>
      </c>
      <c r="D41" s="315" t="s">
        <v>358</v>
      </c>
      <c r="E41" s="315" t="s">
        <v>359</v>
      </c>
      <c r="F41" s="316" t="s">
        <v>360</v>
      </c>
      <c r="G41" s="311"/>
      <c r="H41" s="311"/>
      <c r="I41" s="311"/>
      <c r="J41" s="2029"/>
      <c r="K41" s="3353" t="str">
        <f t="shared" si="0"/>
        <v/>
      </c>
      <c r="L41" s="3354"/>
      <c r="M41" s="3354"/>
      <c r="N41" s="3355"/>
      <c r="O41" s="1391" t="str">
        <f>C46</f>
        <v>——</v>
      </c>
      <c r="P41" s="2027"/>
      <c r="V41" s="2027"/>
    </row>
    <row r="42" spans="1:26" ht="29.25">
      <c r="A42" s="3295" t="s">
        <v>2067</v>
      </c>
      <c r="B42" s="3296"/>
      <c r="C42" s="264">
        <f ca="1">C32</f>
        <v>123657</v>
      </c>
      <c r="D42" s="317">
        <f ca="1">C33</f>
        <v>6043</v>
      </c>
      <c r="E42" s="317">
        <f ca="1">C34</f>
        <v>15107</v>
      </c>
      <c r="F42" s="318">
        <f ca="1">C35</f>
        <v>1007</v>
      </c>
      <c r="G42" s="311"/>
      <c r="H42" s="311"/>
      <c r="I42" s="319"/>
      <c r="J42" s="2029"/>
      <c r="K42" s="1270" t="s">
        <v>361</v>
      </c>
      <c r="L42" s="2046" t="s">
        <v>362</v>
      </c>
      <c r="M42" s="1271" t="s">
        <v>363</v>
      </c>
      <c r="N42" s="2047" t="s">
        <v>364</v>
      </c>
      <c r="O42" s="2048" t="s">
        <v>365</v>
      </c>
      <c r="P42" s="2027"/>
      <c r="V42" s="2027"/>
    </row>
    <row r="43" spans="1:26" ht="30">
      <c r="A43" s="3306" t="s">
        <v>2731</v>
      </c>
      <c r="B43" s="3307"/>
      <c r="C43" s="264">
        <f>IF(H33="正常操作",G33+G34+G35,G34+G35)</f>
        <v>0</v>
      </c>
      <c r="D43" s="317" t="s">
        <v>43</v>
      </c>
      <c r="E43" s="317" t="s">
        <v>44</v>
      </c>
      <c r="F43" s="318" t="s">
        <v>44</v>
      </c>
      <c r="G43" s="2891" t="s">
        <v>952</v>
      </c>
      <c r="H43" s="311"/>
      <c r="I43" s="319"/>
      <c r="J43" s="2029"/>
      <c r="K43" s="1272" t="str">
        <f>C4</f>
        <v>比较法-住宅、综合</v>
      </c>
      <c r="L43" s="1273">
        <f ca="1">IF(L42="估价结果/万元",C19,C20)</f>
        <v>137452</v>
      </c>
      <c r="M43" s="1274">
        <f>C18</f>
        <v>0.5</v>
      </c>
      <c r="N43" s="1275">
        <f ca="1">IF(N42="测算结果/万元",G19,G20)</f>
        <v>123657</v>
      </c>
      <c r="O43" s="1276">
        <f ca="1">IF(O42="最终结果/万元",C32,C33)</f>
        <v>123657</v>
      </c>
      <c r="P43" s="2027"/>
      <c r="V43" s="2027"/>
    </row>
    <row r="44" spans="1:26" ht="30.75" thickBot="1">
      <c r="A44" s="3295" t="str">
        <f>IF(OR(项目基本情况!E8="抵押价格",项目基本情况!E8="已注销及未注销"),"3.抵押价格","——")</f>
        <v>3.抵押价格</v>
      </c>
      <c r="B44" s="3296"/>
      <c r="C44" s="264">
        <f ca="1">IF(A44="——","——",C42-C43)</f>
        <v>123657</v>
      </c>
      <c r="D44" s="317">
        <f ca="1">ROUND(C44*10000/'数据-汇总表'!E3,0)</f>
        <v>6043</v>
      </c>
      <c r="E44" s="317">
        <f ca="1">ROUND(C44*10000/'数据-汇总表'!D3,0)</f>
        <v>15107</v>
      </c>
      <c r="F44" s="318">
        <f ca="1">ROUND(C44/('数据-汇总表'!D3/666.67),0)</f>
        <v>1007</v>
      </c>
      <c r="G44" s="311"/>
      <c r="H44" s="311"/>
      <c r="I44" s="319"/>
      <c r="J44" s="2029"/>
      <c r="K44" s="1277" t="str">
        <f>D4</f>
        <v>剩余法-待开发</v>
      </c>
      <c r="L44" s="1278">
        <f ca="1">IF(L42="估价结果/万元",D19,D20)</f>
        <v>109862</v>
      </c>
      <c r="M44" s="1279">
        <f>D18</f>
        <v>0.5</v>
      </c>
      <c r="N44" s="1280"/>
      <c r="O44" s="1281"/>
      <c r="P44" s="2027"/>
      <c r="V44" s="2027"/>
    </row>
    <row r="45" spans="1:26" ht="15">
      <c r="A45" s="3301" t="str">
        <f>IF(项目基本情况!E8="已注销及未注销","4.抵押担保权已注销时的抵押价格",IF(项目基本情况!E8="已注销","3.抵押担保权已注销时的抵押价格","——"))</f>
        <v>——</v>
      </c>
      <c r="B45" s="3302"/>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297" t="str">
        <f>IF(项目基本情况!E9="抵押净值",IF(A45="——","4.抵押净值","5.抵押净值"),"——")</f>
        <v>——</v>
      </c>
      <c r="B46" s="3298"/>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2"/>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42" t="s">
        <v>374</v>
      </c>
      <c r="B63" s="3343"/>
      <c r="C63" s="3344"/>
      <c r="D63" s="341">
        <f ca="1">ROUND(C42*F63,0)</f>
        <v>74194</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03" t="s">
        <v>378</v>
      </c>
      <c r="B64" s="3304"/>
      <c r="C64" s="3304"/>
      <c r="D64" s="3304"/>
      <c r="E64" s="3304"/>
      <c r="F64" s="3304"/>
      <c r="G64" s="3305"/>
      <c r="H64" s="1287"/>
      <c r="I64" s="947"/>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7"/>
      <c r="I65" s="947"/>
      <c r="J65" s="1989"/>
      <c r="K65" s="1288"/>
      <c r="L65" s="1289"/>
      <c r="M65" s="1289"/>
      <c r="N65" s="1321" t="s">
        <v>379</v>
      </c>
      <c r="O65" s="1322"/>
      <c r="P65" s="1323"/>
      <c r="Q65" s="2027"/>
      <c r="R65" s="2027"/>
      <c r="S65" s="2027"/>
      <c r="T65" s="2027"/>
      <c r="U65" s="2027"/>
      <c r="V65" s="2027"/>
    </row>
    <row r="66" spans="1:22" ht="25.5">
      <c r="A66" s="3299" t="s">
        <v>386</v>
      </c>
      <c r="B66" s="3300"/>
      <c r="C66" s="3300"/>
      <c r="D66" s="261">
        <f ca="1">IF(H66="情况1",0,IF(H66="情况2",D70,IF(H66="情况3",D71,IF(H66="情况4",D72))))</f>
        <v>4328</v>
      </c>
      <c r="E66" s="992" t="str">
        <f>IF(H66="情况4","(销售额-原购置价)×税（费）率","销售额×税（费）率")</f>
        <v>销售额×税（费）率</v>
      </c>
      <c r="F66" s="350">
        <f>IF(H66="情况1","免征",'数据-取费表'!B41)</f>
        <v>6.1600000000000002E-2</v>
      </c>
      <c r="G66" s="351" t="s">
        <v>387</v>
      </c>
      <c r="H66" s="191" t="s">
        <v>388</v>
      </c>
      <c r="I66" s="1287"/>
      <c r="J66" s="2033"/>
      <c r="K66" s="1290">
        <v>1</v>
      </c>
      <c r="L66" s="3357" t="s">
        <v>385</v>
      </c>
      <c r="M66" s="3358"/>
      <c r="N66" s="2481"/>
      <c r="O66" s="2482"/>
      <c r="P66" s="2483"/>
      <c r="Q66" s="2027"/>
      <c r="R66" s="2027"/>
      <c r="S66" s="2027"/>
      <c r="T66" s="2027"/>
      <c r="U66" s="2027"/>
      <c r="V66" s="2027"/>
    </row>
    <row r="67" spans="1:22" ht="25.5" customHeight="1">
      <c r="A67" s="352" t="s">
        <v>390</v>
      </c>
      <c r="B67" s="3290" t="s">
        <v>391</v>
      </c>
      <c r="C67" s="3290"/>
      <c r="D67" s="353">
        <v>0</v>
      </c>
      <c r="E67" s="41" t="s">
        <v>392</v>
      </c>
      <c r="F67" s="62" t="s">
        <v>21</v>
      </c>
      <c r="G67" s="3345"/>
      <c r="H67" s="311"/>
      <c r="I67" s="1291"/>
      <c r="J67" s="2034"/>
      <c r="K67" s="1975">
        <v>2</v>
      </c>
      <c r="L67" s="3356" t="s">
        <v>389</v>
      </c>
      <c r="M67" s="3356"/>
      <c r="N67" s="1324">
        <f>'数据-取费表'!B2</f>
        <v>43068</v>
      </c>
      <c r="O67" s="1324"/>
      <c r="P67" s="1324"/>
      <c r="Q67" s="2027"/>
      <c r="R67" s="2027"/>
      <c r="S67" s="2027"/>
      <c r="T67" s="2027"/>
      <c r="U67" s="2027"/>
      <c r="V67" s="2027"/>
    </row>
    <row r="68" spans="1:22" ht="25.5" customHeight="1">
      <c r="A68" s="354"/>
      <c r="B68" s="3290" t="s">
        <v>394</v>
      </c>
      <c r="C68" s="3290"/>
      <c r="D68" s="355"/>
      <c r="E68" s="77"/>
      <c r="F68" s="356"/>
      <c r="G68" s="3346"/>
      <c r="H68" s="311"/>
      <c r="I68" s="1291"/>
      <c r="J68" s="2034"/>
      <c r="K68" s="1975">
        <v>3</v>
      </c>
      <c r="L68" s="3356" t="s">
        <v>393</v>
      </c>
      <c r="M68" s="3356"/>
      <c r="N68" s="1292">
        <f ca="1">C42</f>
        <v>123657</v>
      </c>
      <c r="O68" s="1292"/>
      <c r="P68" s="1292"/>
      <c r="Q68" s="2027"/>
      <c r="R68" s="2027"/>
      <c r="S68" s="2027"/>
      <c r="T68" s="2027"/>
      <c r="U68" s="2027"/>
      <c r="V68" s="2027"/>
    </row>
    <row r="69" spans="1:22" ht="12" customHeight="1">
      <c r="A69" s="357"/>
      <c r="B69" s="3290" t="s">
        <v>395</v>
      </c>
      <c r="C69" s="3290"/>
      <c r="D69" s="358"/>
      <c r="E69" s="73"/>
      <c r="F69" s="356"/>
      <c r="G69" s="3347"/>
      <c r="H69" s="311"/>
      <c r="I69" s="1291"/>
      <c r="J69" s="2034"/>
      <c r="K69" s="1293">
        <v>4</v>
      </c>
      <c r="L69" s="3361" t="s">
        <v>2884</v>
      </c>
      <c r="M69" s="3362"/>
      <c r="N69" s="1294">
        <f ca="1">C44</f>
        <v>123657</v>
      </c>
      <c r="O69" s="1294"/>
      <c r="P69" s="1294"/>
      <c r="Q69" s="2027"/>
      <c r="R69" s="2027"/>
      <c r="S69" s="2027"/>
      <c r="T69" s="2027"/>
      <c r="U69" s="2027"/>
      <c r="V69" s="2027"/>
    </row>
    <row r="70" spans="1:22" ht="24" customHeight="1">
      <c r="A70" s="359" t="s">
        <v>396</v>
      </c>
      <c r="B70" s="3290" t="s">
        <v>397</v>
      </c>
      <c r="C70" s="3290"/>
      <c r="D70" s="358">
        <f ca="1">ROUND(D63*'数据-取费表'!B41/(1+'数据-取费表'!C42),0)</f>
        <v>4328</v>
      </c>
      <c r="E70" s="17" t="s">
        <v>398</v>
      </c>
      <c r="F70" s="360">
        <f>'数据-取费表'!B41</f>
        <v>6.1600000000000002E-2</v>
      </c>
      <c r="G70" s="361"/>
      <c r="H70" s="311"/>
      <c r="I70" s="1291"/>
      <c r="J70" s="2034"/>
      <c r="K70" s="3087"/>
      <c r="L70" s="3088"/>
      <c r="M70" s="3088"/>
      <c r="N70" s="3089" t="s">
        <v>2889</v>
      </c>
      <c r="O70" s="3088"/>
      <c r="P70" s="3090"/>
      <c r="Q70" s="2027"/>
      <c r="R70" s="2027"/>
      <c r="S70" s="2027"/>
      <c r="T70" s="2027"/>
      <c r="U70" s="2027"/>
      <c r="V70" s="2027"/>
    </row>
    <row r="71" spans="1:22" ht="12" customHeight="1">
      <c r="A71" s="359" t="s">
        <v>404</v>
      </c>
      <c r="B71" s="3291" t="s">
        <v>405</v>
      </c>
      <c r="C71" s="3292"/>
      <c r="D71" s="358">
        <f ca="1">ROUND(D63*'数据-取费表'!B41/(1+'数据-取费表'!C42),0)</f>
        <v>4328</v>
      </c>
      <c r="E71" s="17" t="s">
        <v>398</v>
      </c>
      <c r="F71" s="360">
        <f>'数据-取费表'!B41</f>
        <v>6.1600000000000002E-2</v>
      </c>
      <c r="G71" s="361"/>
      <c r="H71" s="311"/>
      <c r="I71" s="1291"/>
      <c r="J71" s="2034"/>
      <c r="K71" s="3086" t="s">
        <v>399</v>
      </c>
      <c r="L71" s="3363" t="s">
        <v>400</v>
      </c>
      <c r="M71" s="3363"/>
      <c r="N71" s="3086" t="s">
        <v>401</v>
      </c>
      <c r="O71" s="3086" t="s">
        <v>402</v>
      </c>
      <c r="P71" s="3086" t="s">
        <v>403</v>
      </c>
      <c r="Q71" s="2027"/>
      <c r="R71" s="2027"/>
      <c r="S71" s="2027"/>
      <c r="T71" s="2027"/>
      <c r="U71" s="2027"/>
      <c r="V71" s="2027"/>
    </row>
    <row r="72" spans="1:22" ht="12" customHeight="1">
      <c r="A72" s="359" t="s">
        <v>407</v>
      </c>
      <c r="B72" s="3291" t="s">
        <v>408</v>
      </c>
      <c r="C72" s="3292"/>
      <c r="D72" s="358">
        <f ca="1">C86</f>
        <v>4205</v>
      </c>
      <c r="E72" s="73" t="s">
        <v>409</v>
      </c>
      <c r="F72" s="360">
        <f>'数据-取费表'!B41</f>
        <v>6.1600000000000002E-2</v>
      </c>
      <c r="G72" s="361"/>
      <c r="H72" s="1297"/>
      <c r="I72" s="1291"/>
      <c r="J72" s="2034"/>
      <c r="K72" s="1975">
        <v>1</v>
      </c>
      <c r="L72" s="3338" t="s">
        <v>406</v>
      </c>
      <c r="M72" s="3338"/>
      <c r="N72" s="1295">
        <f ca="1">D66</f>
        <v>4328</v>
      </c>
      <c r="O72" s="1858" t="str">
        <f>E66</f>
        <v>销售额×税（费）率</v>
      </c>
      <c r="P72" s="1296">
        <f>F66</f>
        <v>6.1600000000000002E-2</v>
      </c>
      <c r="Q72" s="2027"/>
      <c r="R72" s="2027"/>
      <c r="S72" s="2027"/>
      <c r="T72" s="2027"/>
      <c r="U72" s="2027"/>
      <c r="V72" s="2027"/>
    </row>
    <row r="73" spans="1:22" ht="24" customHeight="1">
      <c r="A73" s="3332" t="s">
        <v>411</v>
      </c>
      <c r="B73" s="3300"/>
      <c r="C73" s="3300"/>
      <c r="D73" s="362">
        <f>IF(H73="个人住宅",0,ROUND(D63*I73,0))</f>
        <v>0</v>
      </c>
      <c r="E73" s="17" t="s">
        <v>412</v>
      </c>
      <c r="F73" s="360" t="str">
        <f>IF(H73="正常",I73,"免征")</f>
        <v>免征</v>
      </c>
      <c r="G73" s="361"/>
      <c r="H73" s="191" t="s">
        <v>2454</v>
      </c>
      <c r="I73" s="360">
        <f>'数据-取费表'!B49</f>
        <v>5.0000000000000001E-4</v>
      </c>
      <c r="J73" s="2034"/>
      <c r="K73" s="1975">
        <v>2</v>
      </c>
      <c r="L73" s="3338" t="s">
        <v>410</v>
      </c>
      <c r="M73" s="3338"/>
      <c r="N73" s="1295">
        <f t="shared" ref="N73:P74" si="1">D73</f>
        <v>0</v>
      </c>
      <c r="O73" s="1858" t="str">
        <f t="shared" si="1"/>
        <v>销售额×税（费）率</v>
      </c>
      <c r="P73" s="1296" t="str">
        <f t="shared" si="1"/>
        <v>免征</v>
      </c>
      <c r="Q73" s="2027"/>
      <c r="R73" s="2027"/>
      <c r="S73" s="2027"/>
      <c r="T73" s="2027"/>
      <c r="U73" s="2027"/>
      <c r="V73" s="2027"/>
    </row>
    <row r="74" spans="1:22" ht="24.75">
      <c r="A74" s="3332" t="s">
        <v>415</v>
      </c>
      <c r="B74" s="3300"/>
      <c r="C74" s="3300"/>
      <c r="D74" s="362">
        <f ca="1">IF(H74="个人住宅",D75,D76)</f>
        <v>41122</v>
      </c>
      <c r="E74" s="17" t="s">
        <v>416</v>
      </c>
      <c r="F74" s="360" t="str">
        <f>IF(H74="正常",F76,"免征")</f>
        <v>——</v>
      </c>
      <c r="G74" s="982" t="s">
        <v>417</v>
      </c>
      <c r="H74" s="363" t="s">
        <v>413</v>
      </c>
      <c r="I74" s="42"/>
      <c r="J74" s="2034"/>
      <c r="K74" s="1975">
        <v>3</v>
      </c>
      <c r="L74" s="3338" t="s">
        <v>414</v>
      </c>
      <c r="M74" s="3338"/>
      <c r="N74" s="1295">
        <f t="shared" ca="1" si="1"/>
        <v>41122</v>
      </c>
      <c r="O74" s="1858" t="str">
        <f t="shared" si="1"/>
        <v>增值额×税（费）率</v>
      </c>
      <c r="P74" s="1298" t="str">
        <f t="shared" si="1"/>
        <v>——</v>
      </c>
      <c r="Q74" s="2027"/>
      <c r="R74" s="2027"/>
      <c r="S74" s="2027"/>
      <c r="T74" s="2027"/>
      <c r="U74" s="2027"/>
      <c r="V74" s="2027"/>
    </row>
    <row r="75" spans="1:22" ht="24">
      <c r="A75" s="359" t="s">
        <v>418</v>
      </c>
      <c r="B75" s="3288" t="s">
        <v>419</v>
      </c>
      <c r="C75" s="3318"/>
      <c r="D75" s="364">
        <v>0</v>
      </c>
      <c r="E75" s="41" t="s">
        <v>420</v>
      </c>
      <c r="F75" s="365"/>
      <c r="G75" s="361"/>
      <c r="H75" s="42"/>
      <c r="I75" s="42"/>
      <c r="J75" s="2034"/>
      <c r="K75" s="3079">
        <f>IF(H77="非个人房产","",4)</f>
        <v>4</v>
      </c>
      <c r="L75" s="3338" t="str">
        <f>IF(H77="非个人房产","——","个人所得税")</f>
        <v>个人所得税</v>
      </c>
      <c r="M75" s="3338"/>
      <c r="N75" s="1299">
        <f ca="1">D77</f>
        <v>742</v>
      </c>
      <c r="O75" s="1871" t="str">
        <f>E77</f>
        <v>销售额×税（费）率</v>
      </c>
      <c r="P75" s="1300">
        <f>F77</f>
        <v>0.01</v>
      </c>
      <c r="Q75" s="2027"/>
      <c r="R75" s="2027"/>
      <c r="S75" s="2027"/>
      <c r="T75" s="2027"/>
      <c r="U75" s="2027"/>
      <c r="V75" s="2027"/>
    </row>
    <row r="76" spans="1:22" ht="24.75">
      <c r="A76" s="359" t="s">
        <v>396</v>
      </c>
      <c r="B76" s="3288" t="s">
        <v>422</v>
      </c>
      <c r="C76" s="3289"/>
      <c r="D76" s="362">
        <f ca="1">IF(H76="转让取得",C99,C115)</f>
        <v>41122</v>
      </c>
      <c r="E76" s="17" t="s">
        <v>423</v>
      </c>
      <c r="F76" s="53" t="s">
        <v>21</v>
      </c>
      <c r="G76" s="361"/>
      <c r="H76" s="363" t="s">
        <v>424</v>
      </c>
      <c r="I76" s="42"/>
      <c r="J76" s="2034"/>
      <c r="K76" s="3079" t="str">
        <f>IF(项目基本情况!K6="上海银行",IF(K75="",4,K75+1),"")</f>
        <v/>
      </c>
      <c r="L76" s="3349" t="str">
        <f>IF(项目基本情况!K6="上海银行","其他处置费用","")</f>
        <v/>
      </c>
      <c r="M76" s="3350"/>
      <c r="N76" s="1295" t="str">
        <f>IF(项目基本情况!K6="上海银行",N89,"")</f>
        <v/>
      </c>
      <c r="O76" s="3351" t="str">
        <f>IF(项目基本情况!K6="上海银行","包含处置中涉及的律师、诉讼、拍卖、评估等费用","")</f>
        <v/>
      </c>
      <c r="P76" s="3352"/>
      <c r="Q76" s="2027"/>
      <c r="R76" s="2027"/>
      <c r="S76" s="2027"/>
      <c r="T76" s="2027"/>
      <c r="U76" s="2027"/>
      <c r="V76" s="2027"/>
    </row>
    <row r="77" spans="1:22" ht="26.25" thickBot="1">
      <c r="A77" s="3340" t="s">
        <v>426</v>
      </c>
      <c r="B77" s="3341"/>
      <c r="C77" s="3341"/>
      <c r="D77" s="366">
        <f ca="1">IF(H77="非个人房产","——",IF(H77="个人住宅",0,ROUND(D63*I77,0)))</f>
        <v>742</v>
      </c>
      <c r="E77" s="367" t="str">
        <f>IF(H77="非个人房产","——","销售额×税（费）率")</f>
        <v>销售额×税（费）率</v>
      </c>
      <c r="F77" s="368">
        <f>IF(H77="非个人房产","——",IF(H77="个人住宅","免征",I77))</f>
        <v>0.01</v>
      </c>
      <c r="G77" s="983" t="s">
        <v>417</v>
      </c>
      <c r="H77" s="363" t="s">
        <v>2885</v>
      </c>
      <c r="I77" s="369">
        <v>0.01</v>
      </c>
      <c r="J77" s="2034"/>
      <c r="K77" s="3339">
        <f>IF(AND(K75="",K76=""),4,IF(项目基本情况!K6="上海银行",K76+1,K75+1))</f>
        <v>5</v>
      </c>
      <c r="L77" s="3338" t="s">
        <v>2886</v>
      </c>
      <c r="M77" s="3085" t="s">
        <v>421</v>
      </c>
      <c r="N77" s="1301"/>
      <c r="O77" s="1302">
        <f ca="1">SUMIF(N72:N76,"&lt;9e307")</f>
        <v>46192</v>
      </c>
      <c r="P77" s="1303"/>
      <c r="Q77" s="3083">
        <f ca="1">O77/N69</f>
        <v>0.37354941491383425</v>
      </c>
      <c r="R77" s="2027"/>
      <c r="S77" s="2027"/>
      <c r="T77" s="2027"/>
      <c r="U77" s="2027"/>
      <c r="V77" s="2027"/>
    </row>
    <row r="78" spans="1:22" ht="12" customHeight="1">
      <c r="A78" s="1304"/>
      <c r="B78" s="311"/>
      <c r="C78" s="311"/>
      <c r="D78" s="311"/>
      <c r="E78" s="42"/>
      <c r="F78" s="42"/>
      <c r="G78" s="42"/>
      <c r="H78" s="1002"/>
      <c r="I78" s="311"/>
      <c r="J78" s="2034"/>
      <c r="K78" s="3339"/>
      <c r="L78" s="3338"/>
      <c r="M78" s="3085" t="s">
        <v>425</v>
      </c>
      <c r="N78" s="1301"/>
      <c r="O78" s="1302" t="str">
        <f ca="1">NUMBERSTRING(INT(O77*10000),2)&amp;"元整"</f>
        <v>肆亿陆仟壹佰玖拾贰万元整</v>
      </c>
      <c r="P78" s="1303"/>
      <c r="Q78" s="2027"/>
      <c r="R78" s="2027"/>
      <c r="S78" s="2027"/>
      <c r="T78" s="2027"/>
      <c r="U78" s="2027"/>
      <c r="V78" s="2027"/>
    </row>
    <row r="79" spans="1:22" ht="13.5" thickBot="1">
      <c r="A79" s="3333" t="s">
        <v>427</v>
      </c>
      <c r="B79" s="3333"/>
      <c r="C79" s="3333"/>
      <c r="D79" s="3333"/>
      <c r="E79" s="3333"/>
      <c r="F79" s="42"/>
      <c r="G79" s="42"/>
      <c r="H79" s="1002"/>
      <c r="I79" s="311"/>
      <c r="J79" s="2034"/>
      <c r="K79" s="3359">
        <f>K77+1</f>
        <v>6</v>
      </c>
      <c r="L79" s="3338" t="s">
        <v>2887</v>
      </c>
      <c r="M79" s="3085" t="s">
        <v>421</v>
      </c>
      <c r="N79" s="1301"/>
      <c r="O79" s="1302">
        <f ca="1">N69-O77</f>
        <v>77465</v>
      </c>
      <c r="P79" s="1303"/>
      <c r="Q79" s="2027"/>
      <c r="R79" s="2027"/>
      <c r="S79" s="2027"/>
      <c r="T79" s="2027"/>
      <c r="U79" s="2027"/>
      <c r="V79" s="2027"/>
    </row>
    <row r="80" spans="1:22" ht="25.5">
      <c r="A80" s="3328" t="s">
        <v>428</v>
      </c>
      <c r="B80" s="3329"/>
      <c r="C80" s="993"/>
      <c r="D80" s="993" t="s">
        <v>429</v>
      </c>
      <c r="E80" s="370" t="s">
        <v>430</v>
      </c>
      <c r="F80" s="42"/>
      <c r="G80" s="42"/>
      <c r="H80" s="1002"/>
      <c r="I80" s="311"/>
      <c r="J80" s="2027"/>
      <c r="K80" s="3360"/>
      <c r="L80" s="3338"/>
      <c r="M80" s="3085" t="s">
        <v>425</v>
      </c>
      <c r="N80" s="1301"/>
      <c r="O80" s="1302" t="str">
        <f ca="1">NUMBERSTRING(INT(O79*10000),2)&amp;"元整"</f>
        <v>柒亿柒仟肆佰陆拾伍万元整</v>
      </c>
      <c r="P80" s="1303"/>
      <c r="Q80" s="2027"/>
      <c r="R80" s="2027"/>
      <c r="S80" s="2027"/>
      <c r="T80" s="2027"/>
      <c r="U80" s="2027"/>
      <c r="V80" s="2027"/>
    </row>
    <row r="81" spans="1:26" ht="13.5" thickBot="1">
      <c r="A81" s="381" t="s">
        <v>1824</v>
      </c>
      <c r="B81" s="371" t="s">
        <v>431</v>
      </c>
      <c r="C81" s="372">
        <f ca="1">ROUND((C82+C83)/(1+'数据-取费表'!C42),0)</f>
        <v>70259</v>
      </c>
      <c r="D81" s="373"/>
      <c r="E81" s="374"/>
      <c r="F81" s="42"/>
      <c r="G81" s="42"/>
      <c r="H81" s="1002"/>
      <c r="I81" s="311"/>
      <c r="J81" s="2027"/>
      <c r="K81" s="3079">
        <f>K79+1</f>
        <v>7</v>
      </c>
      <c r="L81" s="3336" t="s">
        <v>2888</v>
      </c>
      <c r="M81" s="3337"/>
      <c r="N81" s="1305"/>
      <c r="O81" s="1306">
        <f ca="1">ROUND(O79*10000/'数据-汇总表'!E3,0)</f>
        <v>3786</v>
      </c>
      <c r="P81" s="1307"/>
      <c r="Q81" s="2027"/>
      <c r="R81" s="2027"/>
      <c r="S81" s="2027"/>
      <c r="T81" s="2027"/>
      <c r="U81" s="2027"/>
      <c r="V81" s="2027"/>
    </row>
    <row r="82" spans="1:26" ht="13.5" thickTop="1">
      <c r="A82" s="375" t="s">
        <v>1825</v>
      </c>
      <c r="B82" s="376" t="s">
        <v>432</v>
      </c>
      <c r="C82" s="377">
        <f ca="1">D63</f>
        <v>74194</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2"/>
      <c r="I83" s="311"/>
      <c r="J83" s="2027"/>
      <c r="K83" s="3348" t="s">
        <v>2875</v>
      </c>
      <c r="L83" s="3091" t="s">
        <v>2876</v>
      </c>
      <c r="M83" s="3081">
        <f ca="1">IF(N69&gt;10000,N69*0.5%,IF(AND(N69&gt;1000,N69&lt;=10000),N69*1%,IF(AND(N69&gt;100,N69&lt;=1000),N69*3%,IF(AND(N69&gt;10,N69&lt;=100),N69*5%,N69*8%))))</f>
        <v>618.28499999999997</v>
      </c>
      <c r="N83" s="53">
        <f ca="1">ROUND(M83,1)</f>
        <v>618.29999999999995</v>
      </c>
      <c r="O83" s="3084"/>
      <c r="P83" s="2027"/>
      <c r="Q83" s="2027"/>
      <c r="R83" s="2027"/>
      <c r="S83" s="2027"/>
      <c r="T83" s="2027"/>
      <c r="U83" s="2027"/>
      <c r="V83" s="2027"/>
    </row>
    <row r="84" spans="1:26" ht="12.75">
      <c r="A84" s="381" t="s">
        <v>1827</v>
      </c>
      <c r="B84" s="382" t="s">
        <v>434</v>
      </c>
      <c r="C84" s="383">
        <v>2000</v>
      </c>
      <c r="D84" s="384" t="s">
        <v>19</v>
      </c>
      <c r="E84" s="3126" t="s">
        <v>2940</v>
      </c>
      <c r="F84" s="42"/>
      <c r="G84" s="42"/>
      <c r="H84" s="1002"/>
      <c r="I84" s="311"/>
      <c r="J84" s="2027"/>
      <c r="K84" s="3348"/>
      <c r="L84" s="3091" t="s">
        <v>2877</v>
      </c>
      <c r="M84" s="3081">
        <f ca="1">IF(N69&gt;2000,N69*0.5%,IF(AND(N69&gt;1000,N69&lt;=2000),N69*0.6%,IF(AND(N69&gt;500,N69&lt;=1000),N69*0.7%,IF(AND(N69&gt;200,N69&lt;=500),N69*0.8%,IF(AND(N69&gt;100,N69&lt;=200),N69*0.9%,IF(AND(N69&gt;50,N69&lt;=100),N69*1%,IF(AND(N69&gt;20,N69&lt;=50),N69*1.5%,IF(AND(N69&gt;10,N69&lt;=20),N69*2%,IF(AND(N69&gt;1,N69&lt;=10),N69*2.5%)))))))))</f>
        <v>618.28499999999997</v>
      </c>
      <c r="N84" s="53">
        <f t="shared" ref="N84:N85" ca="1" si="2">ROUND(M84,1)</f>
        <v>618.29999999999995</v>
      </c>
      <c r="O84" s="2027" t="s">
        <v>2878</v>
      </c>
      <c r="P84" s="2027"/>
      <c r="Q84" s="2027"/>
      <c r="R84" s="2027"/>
      <c r="S84" s="2027"/>
      <c r="T84" s="2027"/>
      <c r="U84" s="2027"/>
      <c r="V84" s="2027"/>
    </row>
    <row r="85" spans="1:26" ht="12.75">
      <c r="A85" s="381" t="s">
        <v>1828</v>
      </c>
      <c r="B85" s="382" t="s">
        <v>435</v>
      </c>
      <c r="C85" s="385">
        <f ca="1">C81-C84</f>
        <v>68259</v>
      </c>
      <c r="D85" s="378" t="s">
        <v>19</v>
      </c>
      <c r="E85" s="379"/>
      <c r="F85" s="42"/>
      <c r="G85" s="42"/>
      <c r="H85" s="1002"/>
      <c r="I85" s="311"/>
      <c r="J85" s="2027"/>
      <c r="K85" s="3348"/>
      <c r="L85" s="3091" t="s">
        <v>2879</v>
      </c>
      <c r="M85" s="3081">
        <f ca="1">IF(N69&gt;1000,N69*0.1%,IF(AND(N69&gt;500,N69&lt;=1000),N69*0.5%,IF(AND(N69&gt;50,N69&lt;=500),N69*1%,IF(AND(N69&gt;1,N69&lt;=50),N69*1.5%))))</f>
        <v>123.657</v>
      </c>
      <c r="N85" s="53">
        <f t="shared" ca="1" si="2"/>
        <v>123.7</v>
      </c>
      <c r="O85" s="2027" t="s">
        <v>2878</v>
      </c>
      <c r="P85" s="2027"/>
      <c r="Q85" s="2027"/>
      <c r="R85" s="2027"/>
      <c r="S85" s="2027"/>
      <c r="T85" s="2027"/>
      <c r="U85" s="2027"/>
      <c r="V85" s="2027"/>
    </row>
    <row r="86" spans="1:26" ht="13.5" thickBot="1">
      <c r="A86" s="386" t="s">
        <v>1829</v>
      </c>
      <c r="B86" s="387" t="s">
        <v>436</v>
      </c>
      <c r="C86" s="388">
        <f ca="1">IF(C85&lt;=0,0,ROUND(C85*D86,0))</f>
        <v>4205</v>
      </c>
      <c r="D86" s="389">
        <f>'数据-取费表'!B41</f>
        <v>6.1600000000000002E-2</v>
      </c>
      <c r="E86" s="390"/>
      <c r="F86" s="42"/>
      <c r="G86" s="42"/>
      <c r="H86" s="1002"/>
      <c r="I86" s="311"/>
      <c r="J86" s="2027"/>
      <c r="K86" s="3348"/>
      <c r="L86" s="3091" t="s">
        <v>2880</v>
      </c>
      <c r="M86" s="3081">
        <f ca="1">N69*0.5%</f>
        <v>618.28499999999997</v>
      </c>
      <c r="N86" s="53">
        <f ca="1">IF(M86&gt;0.5,0.5,ROUND(M86,0))</f>
        <v>0.5</v>
      </c>
      <c r="O86" s="2027" t="s">
        <v>2881</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48"/>
      <c r="L87" s="3091" t="s">
        <v>2882</v>
      </c>
      <c r="M87" s="3081">
        <f ca="1">IF(N69&gt;=10000,(8.25+(N69-10000)*0.01%),IF(AND(N69&gt;=8000,N69&lt;10000),(7.85+(N69-8000)*0.02%),IF(AND(N69&gt;=5000,N69&lt;8000),(6.65+(N69-5000)*0.04%),IF(AND(N69&gt;=2000,N69&lt;5000),(4.25+(PN69-2000)*0.08%),IF(AND(N69&gt;=1000,N69&lt;2000),(2.75+(N69-1000)*0.15%),IF(AND(N69&gt;=100,N69&lt;1000),(0.5+(N69-100)*0.25%),IF(AND(N69&gt;0,N69&lt;100),N69*0.5%)))))))</f>
        <v>19.6157</v>
      </c>
      <c r="N87" s="53">
        <f ca="1">ROUND(M87*0.9,1)</f>
        <v>17.7</v>
      </c>
      <c r="O87" s="3084"/>
      <c r="P87" s="311"/>
      <c r="Q87" s="2027"/>
      <c r="R87" s="2027"/>
      <c r="S87" s="2027"/>
      <c r="T87" s="2027"/>
      <c r="U87" s="2027"/>
      <c r="V87" s="2027"/>
      <c r="W87" s="292"/>
      <c r="X87" s="292"/>
      <c r="Y87" s="292"/>
      <c r="Z87" s="292"/>
    </row>
    <row r="88" spans="1:26" s="1313" customFormat="1" ht="15" thickBot="1">
      <c r="A88" s="3330" t="s">
        <v>437</v>
      </c>
      <c r="B88" s="3331"/>
      <c r="C88" s="3331"/>
      <c r="D88" s="3331"/>
      <c r="E88" s="3331"/>
      <c r="F88" s="3331"/>
      <c r="G88" s="3331"/>
      <c r="H88" s="3331"/>
      <c r="I88" s="1314"/>
      <c r="J88" s="2035"/>
      <c r="K88" s="3348"/>
      <c r="L88" s="3091" t="s">
        <v>2883</v>
      </c>
      <c r="M88" s="3081">
        <f ca="1">IF(N69&gt;10000,N69*0.5%,IF(AND(N69&gt;5000,N69&lt;=10000),N69*1%,IF(AND(N69&gt;1000,N69&lt;=5000),N69*2%,IF(AND(N69&gt;200,N69&lt;=1000),N69*3%,N69*5%))))</f>
        <v>618.28499999999997</v>
      </c>
      <c r="N88" s="53">
        <f ca="1">ROUND(M88,1)</f>
        <v>618.29999999999995</v>
      </c>
      <c r="O88" s="3084"/>
      <c r="P88" s="11"/>
      <c r="Q88" s="2032"/>
      <c r="R88" s="2032"/>
      <c r="S88" s="2032"/>
      <c r="T88" s="2032"/>
      <c r="U88" s="2032"/>
      <c r="V88" s="2032"/>
      <c r="W88" s="2036"/>
      <c r="X88" s="2036"/>
      <c r="Y88" s="2036"/>
      <c r="Z88" s="2036"/>
    </row>
    <row r="89" spans="1:26" s="1313" customFormat="1" ht="14.25">
      <c r="A89" s="3328" t="s">
        <v>428</v>
      </c>
      <c r="B89" s="3329"/>
      <c r="C89" s="993"/>
      <c r="D89" s="993" t="s">
        <v>429</v>
      </c>
      <c r="E89" s="391" t="s">
        <v>438</v>
      </c>
      <c r="F89" s="392"/>
      <c r="G89" s="392"/>
      <c r="H89" s="393"/>
      <c r="I89" s="1315"/>
      <c r="J89" s="2037"/>
      <c r="K89" s="3348"/>
      <c r="L89" s="3091" t="s">
        <v>27</v>
      </c>
      <c r="M89" s="3082"/>
      <c r="N89" s="53">
        <f ca="1">ROUND(SUM(N83:N88),0)</f>
        <v>1997</v>
      </c>
      <c r="O89" s="3092">
        <f ca="1">N89/N69</f>
        <v>1.6149510339083108E-2</v>
      </c>
      <c r="P89" s="2032"/>
      <c r="Q89" s="2032"/>
      <c r="R89" s="2032"/>
      <c r="S89" s="2032"/>
      <c r="T89" s="2032"/>
      <c r="U89" s="2032"/>
      <c r="V89" s="2032"/>
      <c r="W89" s="2036"/>
      <c r="X89" s="2036"/>
      <c r="Y89" s="2036"/>
      <c r="Z89" s="2036"/>
    </row>
    <row r="90" spans="1:26" s="1313" customFormat="1" ht="14.25">
      <c r="A90" s="381" t="s">
        <v>1824</v>
      </c>
      <c r="B90" s="382" t="s">
        <v>439</v>
      </c>
      <c r="C90" s="385">
        <f ca="1">ROUND(D63/(1+'数据-取费表'!C42),0)</f>
        <v>70259</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1830</v>
      </c>
      <c r="B91" s="348" t="s">
        <v>440</v>
      </c>
      <c r="C91" s="385">
        <f ca="1">C92+C96</f>
        <v>2974</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1831</v>
      </c>
      <c r="B92" s="376" t="s">
        <v>441</v>
      </c>
      <c r="C92" s="378">
        <f>ROUND(IF(G95="2016年5月1日后购买",C93/(1+'数据-取费表'!C30)+C94+C95,C93+C94+C95),0)</f>
        <v>2581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1833</v>
      </c>
      <c r="B94" s="400" t="s">
        <v>446</v>
      </c>
      <c r="C94" s="378">
        <f>IF(F93="购房发票",ROUND(C93*H93*5%,0),0)</f>
        <v>500</v>
      </c>
      <c r="D94" s="401">
        <v>0.05</v>
      </c>
      <c r="E94" s="3291" t="s">
        <v>447</v>
      </c>
      <c r="F94" s="3290"/>
      <c r="G94" s="3290"/>
      <c r="H94" s="3327"/>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2427</v>
      </c>
      <c r="H95" s="998" t="str">
        <f>IF(G95="个人买卖住房","免征印花税"," ")</f>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1835</v>
      </c>
      <c r="B96" s="376" t="s">
        <v>450</v>
      </c>
      <c r="C96" s="405">
        <f ca="1">ROUND(D63*D96/(1+'数据-取费表'!C42),0)</f>
        <v>393</v>
      </c>
      <c r="D96" s="406">
        <f>'数据-取费表'!B43</f>
        <v>5.6000000000000008E-3</v>
      </c>
      <c r="E96" s="3319" t="s">
        <v>2426</v>
      </c>
      <c r="F96" s="3320"/>
      <c r="G96" s="3320"/>
      <c r="H96" s="3321"/>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1836</v>
      </c>
      <c r="B97" s="382" t="s">
        <v>451</v>
      </c>
      <c r="C97" s="385">
        <f ca="1">C90-C91</f>
        <v>67285</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1837</v>
      </c>
      <c r="B98" s="382" t="s">
        <v>452</v>
      </c>
      <c r="C98" s="407">
        <f ca="1">IF(C97&lt;=0,0,C97/C91)</f>
        <v>22.624411566913249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1838</v>
      </c>
      <c r="B99" s="387" t="s">
        <v>453</v>
      </c>
      <c r="C99" s="408">
        <f ca="1">ROUND(IF(C97&lt;=0,0,IF(C98&gt;=200%,C97*60%-C91*35%,IF(C98&gt;=100%,C97*50%-C91*15%,IF(C98&gt;=50%,C97*40%-C91*5%,IF(C98&lt;50%,C97*30%,0))))),0)</f>
        <v>39330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30" t="s">
        <v>454</v>
      </c>
      <c r="B101" s="3331"/>
      <c r="C101" s="3331"/>
      <c r="D101" s="3331"/>
      <c r="E101" s="3331"/>
      <c r="F101" s="3331"/>
      <c r="G101" s="3331"/>
      <c r="H101" s="3331"/>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28" t="s">
        <v>428</v>
      </c>
      <c r="B102" s="3329"/>
      <c r="C102" s="993"/>
      <c r="D102" s="993"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1824</v>
      </c>
      <c r="B103" s="382" t="s">
        <v>439</v>
      </c>
      <c r="C103" s="385">
        <f ca="1">ROUND(D63/(1+'数据-取费表'!C42),0)</f>
        <v>70259</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1830</v>
      </c>
      <c r="B104" s="348" t="s">
        <v>440</v>
      </c>
      <c r="C104" s="385">
        <f ca="1">IF(H106="仅含出让金",C105+C108+C109+C110+C111+C112,C105+C109+C110+C111+C112)</f>
        <v>1088</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1831</v>
      </c>
      <c r="B105" s="376" t="s">
        <v>455</v>
      </c>
      <c r="C105" s="405">
        <f>C106+C107</f>
        <v>577</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1832</v>
      </c>
      <c r="B106" s="376" t="s">
        <v>456</v>
      </c>
      <c r="C106" s="416">
        <v>555</v>
      </c>
      <c r="D106" s="406"/>
      <c r="E106" s="417" t="s">
        <v>457</v>
      </c>
      <c r="F106" s="985"/>
      <c r="G106" s="418" t="s">
        <v>458</v>
      </c>
      <c r="H106" s="419" t="s">
        <v>2437</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1833</v>
      </c>
      <c r="B107" s="376" t="s">
        <v>448</v>
      </c>
      <c r="C107" s="405">
        <f>ROUND(C106*D107,0)</f>
        <v>22</v>
      </c>
      <c r="D107" s="406">
        <f>'数据-取费表'!B48+'数据-取费表'!B49</f>
        <v>4.0500000000000001E-2</v>
      </c>
      <c r="E107" s="417"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1835</v>
      </c>
      <c r="B108" s="376" t="s">
        <v>460</v>
      </c>
      <c r="C108" s="416"/>
      <c r="D108" s="406"/>
      <c r="E108" s="417" t="str">
        <f>IF(H106="-","土地取得成本中已包含该笔费用"," ")</f>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1839</v>
      </c>
      <c r="B109" s="376" t="s">
        <v>461</v>
      </c>
      <c r="C109" s="405">
        <f>IF(H109="——",IF(F1="现房",'剩余法-现房'!C18,'剩余法-待开发'!C18),I109)</f>
        <v>55</v>
      </c>
      <c r="D109" s="406"/>
      <c r="E109" s="3322" t="s">
        <v>462</v>
      </c>
      <c r="F109" s="3320"/>
      <c r="G109" s="3320"/>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1840</v>
      </c>
      <c r="B110" s="376" t="s">
        <v>463</v>
      </c>
      <c r="C110" s="405">
        <f>ROUND((C105+C108+C109)*D110,0)</f>
        <v>63</v>
      </c>
      <c r="D110" s="406">
        <v>0.1</v>
      </c>
      <c r="E110" s="3322" t="s">
        <v>464</v>
      </c>
      <c r="F110" s="3320"/>
      <c r="G110" s="3320"/>
      <c r="H110" s="3321"/>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1841</v>
      </c>
      <c r="B111" s="376" t="s">
        <v>450</v>
      </c>
      <c r="C111" s="405">
        <f ca="1">ROUND(D63*D111/(1+'数据-取费表'!C42),0)</f>
        <v>393</v>
      </c>
      <c r="D111" s="406">
        <f>'数据-取费表'!B43</f>
        <v>5.6000000000000008E-3</v>
      </c>
      <c r="E111" s="3319" t="s">
        <v>2426</v>
      </c>
      <c r="F111" s="3320"/>
      <c r="G111" s="3320"/>
      <c r="H111" s="3321"/>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1842</v>
      </c>
      <c r="B112" s="376" t="s">
        <v>465</v>
      </c>
      <c r="C112" s="405">
        <f>ROUND(C108*D112,0)</f>
        <v>0</v>
      </c>
      <c r="D112" s="406">
        <v>0.2</v>
      </c>
      <c r="E112" s="3322" t="s">
        <v>2451</v>
      </c>
      <c r="F112" s="3320"/>
      <c r="G112" s="3320"/>
      <c r="H112" s="3321"/>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1836</v>
      </c>
      <c r="B113" s="382" t="s">
        <v>451</v>
      </c>
      <c r="C113" s="385">
        <f ca="1">ROUND(C103-C104,0)</f>
        <v>69171</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1837</v>
      </c>
      <c r="B114" s="382" t="s">
        <v>452</v>
      </c>
      <c r="C114" s="407">
        <f ca="1">IF(C113&lt;=0,0,C113/C104)</f>
        <v>63.576286764705884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1838</v>
      </c>
      <c r="B115" s="387" t="s">
        <v>453</v>
      </c>
      <c r="C115" s="408">
        <f ca="1">ROUND(IF(C113&lt;=0,0,IF(C114&gt;=200%,C113*60%-C104*35%,IF(C114&gt;=100%,C113*50%-C104*15%,IF(C114&gt;=50%,C113*40%-C104*5%,IF(C114&lt;50%,C113*30%,0))))),0)</f>
        <v>41122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25" zoomScale="80" zoomScaleNormal="95" zoomScaleSheetLayoutView="80" workbookViewId="0">
      <selection activeCell="M17" sqref="M17"/>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517</v>
      </c>
      <c r="B1" s="503"/>
      <c r="C1" s="504" t="s">
        <v>518</v>
      </c>
      <c r="D1" s="505" t="s">
        <v>519</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f>F68</f>
        <v>137452</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1685</v>
      </c>
      <c r="B3" s="510">
        <f>ROUND(B2*10000/'数据-汇总表'!E3,0)</f>
        <v>6717</v>
      </c>
      <c r="C3" s="2060"/>
      <c r="D3" s="2593"/>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521</v>
      </c>
      <c r="B4" s="427">
        <f>IF(B48="单位面积地价",C50,ROUND(B2*10000/'数据-汇总表'!D3,0))</f>
        <v>16793</v>
      </c>
      <c r="C4" s="2060"/>
      <c r="D4" s="2593"/>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1120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522</v>
      </c>
      <c r="B6" s="513"/>
      <c r="C6" s="3373" t="s">
        <v>523</v>
      </c>
      <c r="D6" s="3374"/>
      <c r="E6" s="3373" t="s">
        <v>524</v>
      </c>
      <c r="F6" s="3374"/>
      <c r="G6" s="3373" t="s">
        <v>525</v>
      </c>
      <c r="H6" s="3374"/>
      <c r="I6" s="3373" t="s">
        <v>526</v>
      </c>
      <c r="J6" s="3374"/>
      <c r="K6" s="514" t="s">
        <v>527</v>
      </c>
      <c r="L6" s="2132"/>
      <c r="M6" s="2131"/>
      <c r="N6" s="2131"/>
      <c r="O6" s="2133"/>
      <c r="P6" s="3375" t="s">
        <v>528</v>
      </c>
      <c r="Q6" s="3376"/>
      <c r="R6" s="3381" t="s">
        <v>524</v>
      </c>
      <c r="S6" s="3382"/>
      <c r="T6" s="3381" t="s">
        <v>525</v>
      </c>
      <c r="U6" s="3382"/>
      <c r="V6" s="3368" t="s">
        <v>526</v>
      </c>
      <c r="W6" s="3368"/>
      <c r="X6" s="1566"/>
      <c r="Y6" s="3381" t="s">
        <v>528</v>
      </c>
      <c r="Z6" s="3382"/>
      <c r="AA6" s="3370" t="s">
        <v>524</v>
      </c>
      <c r="AB6" s="3371" t="s">
        <v>525</v>
      </c>
      <c r="AC6" s="3370" t="s">
        <v>526</v>
      </c>
    </row>
    <row r="7" spans="1:30" ht="20.25">
      <c r="A7" s="515"/>
      <c r="B7" s="516"/>
      <c r="C7" s="3391" t="s">
        <v>2927</v>
      </c>
      <c r="D7" s="3390"/>
      <c r="E7" s="3389" t="s">
        <v>3022</v>
      </c>
      <c r="F7" s="3390"/>
      <c r="G7" s="3389" t="s">
        <v>3061</v>
      </c>
      <c r="H7" s="3390"/>
      <c r="I7" s="3389" t="s">
        <v>3063</v>
      </c>
      <c r="J7" s="3390"/>
      <c r="K7" s="514"/>
      <c r="L7" s="2132"/>
      <c r="M7" s="2131"/>
      <c r="N7" s="2131"/>
      <c r="O7" s="2133"/>
      <c r="P7" s="3377"/>
      <c r="Q7" s="3378"/>
      <c r="R7" s="3383"/>
      <c r="S7" s="3384"/>
      <c r="T7" s="3383"/>
      <c r="U7" s="3384"/>
      <c r="V7" s="3368"/>
      <c r="W7" s="3368"/>
      <c r="X7" s="1566"/>
      <c r="Y7" s="3383"/>
      <c r="Z7" s="3384"/>
      <c r="AA7" s="3371"/>
      <c r="AB7" s="3371"/>
      <c r="AC7" s="3371"/>
    </row>
    <row r="8" spans="1:30" ht="21" thickBot="1">
      <c r="A8" s="515"/>
      <c r="B8" s="516"/>
      <c r="C8" s="3392" t="s">
        <v>2931</v>
      </c>
      <c r="D8" s="3393"/>
      <c r="E8" s="3394" t="s">
        <v>3023</v>
      </c>
      <c r="F8" s="3393"/>
      <c r="G8" s="3387" t="s">
        <v>3062</v>
      </c>
      <c r="H8" s="3388"/>
      <c r="I8" s="3387" t="s">
        <v>3064</v>
      </c>
      <c r="J8" s="3388"/>
      <c r="K8" s="514" t="s">
        <v>529</v>
      </c>
      <c r="L8" s="2132"/>
      <c r="M8" s="2131"/>
      <c r="N8" s="2131"/>
      <c r="O8" s="2133"/>
      <c r="P8" s="3379"/>
      <c r="Q8" s="3380"/>
      <c r="R8" s="3383"/>
      <c r="S8" s="3384"/>
      <c r="T8" s="3385"/>
      <c r="U8" s="3386"/>
      <c r="V8" s="3368"/>
      <c r="W8" s="3368"/>
      <c r="X8" s="1566"/>
      <c r="Y8" s="3385"/>
      <c r="Z8" s="3386"/>
      <c r="AA8" s="3372"/>
      <c r="AB8" s="3372"/>
      <c r="AC8" s="3372"/>
    </row>
    <row r="9" spans="1:30" s="1219" customFormat="1" ht="21" thickBot="1">
      <c r="A9" s="2937"/>
      <c r="B9" s="2944" t="s">
        <v>530</v>
      </c>
      <c r="C9" s="2936">
        <f>'数据-取费表'!B2</f>
        <v>43068</v>
      </c>
      <c r="D9" s="520">
        <v>100</v>
      </c>
      <c r="E9" s="521">
        <v>42969</v>
      </c>
      <c r="F9" s="522">
        <f>SUMIF(72:72,YEAR(E9)&amp;"-"&amp;INT((MONTH(E9)+2)/3),73:73)</f>
        <v>99</v>
      </c>
      <c r="G9" s="523">
        <v>43025</v>
      </c>
      <c r="H9" s="520">
        <f>SUMIF(72:72,YEAR(G9)&amp;"-"&amp;INT((MONTH(G9)+2)/3),73:73)</f>
        <v>100</v>
      </c>
      <c r="I9" s="523">
        <v>43025</v>
      </c>
      <c r="J9" s="520">
        <f>SUMIF(72:72,YEAR(I9)&amp;"-"&amp;INT((MONTH(I9)+2)/3),73:73)</f>
        <v>100</v>
      </c>
      <c r="K9" s="524"/>
      <c r="L9" s="2134"/>
      <c r="M9" s="2131"/>
      <c r="N9" s="2131"/>
      <c r="O9" s="2135"/>
      <c r="P9" s="3400" t="s">
        <v>531</v>
      </c>
      <c r="Q9" s="3402"/>
      <c r="R9" s="1567" t="s">
        <v>8</v>
      </c>
      <c r="S9" s="1568">
        <f t="shared" ref="S9:S17" si="0">F9</f>
        <v>99</v>
      </c>
      <c r="T9" s="1567" t="s">
        <v>8</v>
      </c>
      <c r="U9" s="1568">
        <f t="shared" ref="U9:U17" si="1">H9</f>
        <v>100</v>
      </c>
      <c r="V9" s="1567" t="s">
        <v>8</v>
      </c>
      <c r="W9" s="1568">
        <f t="shared" ref="W9:W17" si="2">J9</f>
        <v>100</v>
      </c>
      <c r="X9" s="1569"/>
      <c r="Y9" s="3400" t="s">
        <v>531</v>
      </c>
      <c r="Z9" s="3401"/>
      <c r="AA9" s="1570">
        <f>D9/F9</f>
        <v>1.0101010101010102</v>
      </c>
      <c r="AB9" s="1570">
        <f>D9/H9</f>
        <v>1</v>
      </c>
      <c r="AC9" s="1570">
        <f>D9/J9</f>
        <v>1</v>
      </c>
    </row>
    <row r="10" spans="1:30" s="1219" customFormat="1" ht="21" thickBot="1">
      <c r="A10" s="2938"/>
      <c r="B10" s="2945" t="s">
        <v>532</v>
      </c>
      <c r="C10" s="856" t="s">
        <v>533</v>
      </c>
      <c r="D10" s="520">
        <v>100</v>
      </c>
      <c r="E10" s="525" t="s">
        <v>3024</v>
      </c>
      <c r="F10" s="522">
        <f>SUMIF(75:75,E10,76:76)-SUMIF(75:75,C10,76:76)+100</f>
        <v>100</v>
      </c>
      <c r="G10" s="525" t="s">
        <v>3024</v>
      </c>
      <c r="H10" s="520">
        <f>SUMIF(75:75,G10,76:76)-SUMIF(75:75,C10,76:76)+100</f>
        <v>100</v>
      </c>
      <c r="I10" s="525" t="s">
        <v>3024</v>
      </c>
      <c r="J10" s="520">
        <f>SUMIF(75:75,I10,76:76)-SUMIF(75:75,C10,76:76)+100</f>
        <v>100</v>
      </c>
      <c r="K10" s="524"/>
      <c r="L10" s="2134"/>
      <c r="M10" s="2131"/>
      <c r="N10" s="2131"/>
      <c r="O10" s="2135"/>
      <c r="P10" s="3400" t="s">
        <v>534</v>
      </c>
      <c r="Q10" s="3401"/>
      <c r="R10" s="1567" t="s">
        <v>8</v>
      </c>
      <c r="S10" s="1568">
        <f t="shared" si="0"/>
        <v>100</v>
      </c>
      <c r="T10" s="1567" t="s">
        <v>8</v>
      </c>
      <c r="U10" s="1568">
        <f t="shared" si="1"/>
        <v>100</v>
      </c>
      <c r="V10" s="1567" t="s">
        <v>8</v>
      </c>
      <c r="W10" s="1568">
        <f t="shared" si="2"/>
        <v>100</v>
      </c>
      <c r="X10" s="1569"/>
      <c r="Y10" s="3400" t="s">
        <v>534</v>
      </c>
      <c r="Z10" s="3401"/>
      <c r="AA10" s="1570">
        <f t="shared" ref="AA10:AA47" si="3">D10/F10</f>
        <v>1</v>
      </c>
      <c r="AB10" s="1570">
        <f t="shared" ref="AB10:AB47" si="4">D10/H10</f>
        <v>1</v>
      </c>
      <c r="AC10" s="1570">
        <f t="shared" ref="AC10:AC47" si="5">D10/J10</f>
        <v>1</v>
      </c>
    </row>
    <row r="11" spans="1:30" s="1219" customFormat="1" ht="20.25">
      <c r="A11" s="2939"/>
      <c r="B11" s="2946" t="s">
        <v>2757</v>
      </c>
      <c r="C11" s="2933" t="s">
        <v>3025</v>
      </c>
      <c r="D11" s="254">
        <v>100</v>
      </c>
      <c r="E11" s="526" t="s">
        <v>3025</v>
      </c>
      <c r="F11" s="254">
        <f>SUMIF(77:77,E11,78:78)-SUMIF(77:77,C11,78:78)+100</f>
        <v>100</v>
      </c>
      <c r="G11" s="526" t="s">
        <v>3025</v>
      </c>
      <c r="H11" s="254">
        <f>SUMIF(77:77,G11,78:78)-SUMIF(77:77,C11,78:78)+100</f>
        <v>100</v>
      </c>
      <c r="I11" s="526" t="s">
        <v>3065</v>
      </c>
      <c r="J11" s="254">
        <f>SUMIF(77:77,I11,78:78)-SUMIF(77:77,C11,78:78)+100</f>
        <v>100</v>
      </c>
      <c r="K11" s="524"/>
      <c r="L11" s="2134"/>
      <c r="M11" s="2131"/>
      <c r="N11" s="2131"/>
      <c r="O11" s="2136"/>
      <c r="P11" s="3367" t="s">
        <v>536</v>
      </c>
      <c r="Q11" s="1150" t="str">
        <f t="shared" ref="Q11:Q17" si="6">B11</f>
        <v>用途</v>
      </c>
      <c r="R11" s="1567" t="s">
        <v>8</v>
      </c>
      <c r="S11" s="1568">
        <f t="shared" si="0"/>
        <v>100</v>
      </c>
      <c r="T11" s="1567" t="s">
        <v>8</v>
      </c>
      <c r="U11" s="1568">
        <f t="shared" si="1"/>
        <v>100</v>
      </c>
      <c r="V11" s="1567" t="s">
        <v>8</v>
      </c>
      <c r="W11" s="1568">
        <f t="shared" si="2"/>
        <v>100</v>
      </c>
      <c r="X11" s="1569"/>
      <c r="Y11" s="3313" t="s">
        <v>537</v>
      </c>
      <c r="Z11" s="1149" t="str">
        <f t="shared" ref="Z11:Z17" si="7">Q11</f>
        <v>用途</v>
      </c>
      <c r="AA11" s="1570">
        <f t="shared" si="3"/>
        <v>1</v>
      </c>
      <c r="AB11" s="1570">
        <f t="shared" si="4"/>
        <v>1</v>
      </c>
      <c r="AC11" s="1570">
        <f t="shared" si="5"/>
        <v>1</v>
      </c>
    </row>
    <row r="12" spans="1:30" s="1337" customFormat="1" ht="28.5">
      <c r="A12" s="2940"/>
      <c r="B12" s="2945" t="s">
        <v>2758</v>
      </c>
      <c r="C12" s="909" t="str">
        <f>项目基本情况!D20</f>
        <v>住宅70年，商业39.98年</v>
      </c>
      <c r="D12" s="255">
        <v>100</v>
      </c>
      <c r="E12" s="529" t="s">
        <v>3059</v>
      </c>
      <c r="F12" s="255">
        <f>ROUND(100/'数据-取费表'!G16,0)</f>
        <v>100</v>
      </c>
      <c r="G12" s="530" t="s">
        <v>3067</v>
      </c>
      <c r="H12" s="255">
        <f>ROUND(100/'数据-取费表'!G16,0)</f>
        <v>100</v>
      </c>
      <c r="I12" s="530" t="s">
        <v>3059</v>
      </c>
      <c r="J12" s="255">
        <f>ROUND(100/'数据-取费表'!G16,0)</f>
        <v>100</v>
      </c>
      <c r="K12" s="531"/>
      <c r="L12" s="2137"/>
      <c r="M12" s="2131"/>
      <c r="N12" s="2131"/>
      <c r="O12" s="2138"/>
      <c r="P12" s="3367"/>
      <c r="Q12" s="1150" t="str">
        <f t="shared" si="6"/>
        <v>土地使用年限（年）</v>
      </c>
      <c r="R12" s="1567" t="s">
        <v>8</v>
      </c>
      <c r="S12" s="1568">
        <f t="shared" si="0"/>
        <v>100</v>
      </c>
      <c r="T12" s="1567" t="s">
        <v>8</v>
      </c>
      <c r="U12" s="1568">
        <f t="shared" si="1"/>
        <v>100</v>
      </c>
      <c r="V12" s="1567" t="s">
        <v>8</v>
      </c>
      <c r="W12" s="1568">
        <f t="shared" si="2"/>
        <v>100</v>
      </c>
      <c r="X12" s="1569"/>
      <c r="Y12" s="3313"/>
      <c r="Z12" s="1149" t="str">
        <f t="shared" si="7"/>
        <v>土地使用年限（年）</v>
      </c>
      <c r="AA12" s="1570">
        <f t="shared" si="3"/>
        <v>1</v>
      </c>
      <c r="AB12" s="1570">
        <f t="shared" si="4"/>
        <v>1</v>
      </c>
      <c r="AC12" s="1570">
        <f t="shared" si="5"/>
        <v>1</v>
      </c>
    </row>
    <row r="13" spans="1:30" ht="21" thickBot="1">
      <c r="A13" s="2941"/>
      <c r="B13" s="2945" t="s">
        <v>2759</v>
      </c>
      <c r="C13" s="534">
        <v>2.5</v>
      </c>
      <c r="D13" s="255">
        <v>100</v>
      </c>
      <c r="E13" s="533">
        <v>2.5</v>
      </c>
      <c r="F13" s="255">
        <f>LOOKUP(E13,82:82,83:83)-LOOKUP(C13,82:82,83:83)+100</f>
        <v>100</v>
      </c>
      <c r="G13" s="534">
        <v>2</v>
      </c>
      <c r="H13" s="255">
        <f>LOOKUP(G13,82:82,83:83)-LOOKUP(C13,82:82,83:83)+100</f>
        <v>100</v>
      </c>
      <c r="I13" s="533">
        <v>2</v>
      </c>
      <c r="J13" s="255">
        <f>LOOKUP(I13,82:82,83:83)-LOOKUP(C13,82:82,83:83)+100</f>
        <v>100</v>
      </c>
      <c r="K13" s="535">
        <v>1</v>
      </c>
      <c r="L13" s="2139"/>
      <c r="M13" s="2131"/>
      <c r="N13" s="2131"/>
      <c r="O13" s="2140"/>
      <c r="P13" s="3367"/>
      <c r="Q13" s="1150" t="str">
        <f t="shared" si="6"/>
        <v>容积率</v>
      </c>
      <c r="R13" s="1567" t="s">
        <v>8</v>
      </c>
      <c r="S13" s="1568">
        <f t="shared" si="0"/>
        <v>100</v>
      </c>
      <c r="T13" s="1567" t="s">
        <v>8</v>
      </c>
      <c r="U13" s="1568">
        <f t="shared" si="1"/>
        <v>100</v>
      </c>
      <c r="V13" s="1567" t="s">
        <v>8</v>
      </c>
      <c r="W13" s="1568">
        <f t="shared" si="2"/>
        <v>100</v>
      </c>
      <c r="X13" s="1569"/>
      <c r="Y13" s="3313"/>
      <c r="Z13" s="1149" t="str">
        <f t="shared" si="7"/>
        <v>容积率</v>
      </c>
      <c r="AA13" s="1570">
        <f t="shared" si="3"/>
        <v>1</v>
      </c>
      <c r="AB13" s="1570">
        <f t="shared" si="4"/>
        <v>1</v>
      </c>
      <c r="AC13" s="1570">
        <f t="shared" si="5"/>
        <v>1</v>
      </c>
    </row>
    <row r="14" spans="1:30" s="1219" customFormat="1" ht="20.25" hidden="1">
      <c r="A14" s="2938"/>
      <c r="B14" s="2947" t="s">
        <v>2760</v>
      </c>
      <c r="C14" s="2934"/>
      <c r="D14" s="538">
        <v>100</v>
      </c>
      <c r="E14" s="1373"/>
      <c r="F14" s="255">
        <f>SUMIF(84:84,E14,85:85)-SUMIF(84:84,C14,85:85)+100</f>
        <v>100</v>
      </c>
      <c r="G14" s="530"/>
      <c r="H14" s="255">
        <f>SUMIF(84:84,G14,85:85)-SUMIF(84:84,C14,85:85)+100</f>
        <v>100</v>
      </c>
      <c r="I14" s="529"/>
      <c r="J14" s="255">
        <f>SUMIF(84:84,I14,85:85)-SUMIF(84:84,C14,85:85)+100</f>
        <v>100</v>
      </c>
      <c r="K14" s="531"/>
      <c r="L14" s="2134"/>
      <c r="M14" s="2131"/>
      <c r="N14" s="2131"/>
      <c r="O14" s="2136"/>
      <c r="P14" s="3367"/>
      <c r="Q14" s="1150" t="str">
        <f t="shared" si="6"/>
        <v>配建</v>
      </c>
      <c r="R14" s="1567" t="s">
        <v>8</v>
      </c>
      <c r="S14" s="1568">
        <f t="shared" si="0"/>
        <v>100</v>
      </c>
      <c r="T14" s="1567" t="s">
        <v>8</v>
      </c>
      <c r="U14" s="1568">
        <f t="shared" si="1"/>
        <v>100</v>
      </c>
      <c r="V14" s="1567" t="s">
        <v>8</v>
      </c>
      <c r="W14" s="1568">
        <f t="shared" si="2"/>
        <v>100</v>
      </c>
      <c r="X14" s="1569"/>
      <c r="Y14" s="3313"/>
      <c r="Z14" s="1149" t="str">
        <f t="shared" si="7"/>
        <v>配建</v>
      </c>
      <c r="AA14" s="1570">
        <f>D14/F14</f>
        <v>1</v>
      </c>
      <c r="AB14" s="1570">
        <f>D14/H14</f>
        <v>1</v>
      </c>
      <c r="AC14" s="1570">
        <f>D14/J14</f>
        <v>1</v>
      </c>
    </row>
    <row r="15" spans="1:30" ht="20.25" hidden="1">
      <c r="A15" s="2942"/>
      <c r="B15" s="2948">
        <v>111</v>
      </c>
      <c r="C15" s="911"/>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67"/>
      <c r="Q15" s="1150">
        <f t="shared" si="6"/>
        <v>111</v>
      </c>
      <c r="R15" s="1567" t="s">
        <v>8</v>
      </c>
      <c r="S15" s="1568">
        <f t="shared" si="0"/>
        <v>100</v>
      </c>
      <c r="T15" s="1567" t="s">
        <v>8</v>
      </c>
      <c r="U15" s="1568">
        <f t="shared" si="1"/>
        <v>100</v>
      </c>
      <c r="V15" s="1567" t="s">
        <v>8</v>
      </c>
      <c r="W15" s="1568">
        <f t="shared" si="2"/>
        <v>100</v>
      </c>
      <c r="X15" s="1569"/>
      <c r="Y15" s="3313"/>
      <c r="Z15" s="1149">
        <f t="shared" si="7"/>
        <v>111</v>
      </c>
      <c r="AA15" s="1570">
        <f>D15/F15</f>
        <v>1</v>
      </c>
      <c r="AB15" s="1570">
        <f>D15/H15</f>
        <v>1</v>
      </c>
      <c r="AC15" s="1570">
        <f>D15/J15</f>
        <v>1</v>
      </c>
    </row>
    <row r="16" spans="1:30" ht="21" hidden="1" thickBot="1">
      <c r="A16" s="2943"/>
      <c r="B16" s="2949">
        <v>111</v>
      </c>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67"/>
      <c r="Q16" s="1150">
        <f t="shared" si="6"/>
        <v>111</v>
      </c>
      <c r="R16" s="1567" t="s">
        <v>8</v>
      </c>
      <c r="S16" s="1568">
        <f t="shared" si="0"/>
        <v>100</v>
      </c>
      <c r="T16" s="1567" t="s">
        <v>8</v>
      </c>
      <c r="U16" s="1568">
        <f t="shared" si="1"/>
        <v>100</v>
      </c>
      <c r="V16" s="1567" t="s">
        <v>8</v>
      </c>
      <c r="W16" s="1568">
        <f t="shared" si="2"/>
        <v>100</v>
      </c>
      <c r="X16" s="1569"/>
      <c r="Y16" s="3313"/>
      <c r="Z16" s="1149">
        <f t="shared" si="7"/>
        <v>111</v>
      </c>
      <c r="AA16" s="1570">
        <f>D16/F16</f>
        <v>1</v>
      </c>
      <c r="AB16" s="1570">
        <f>D16/H16</f>
        <v>1</v>
      </c>
      <c r="AC16" s="1570">
        <f>D16/J16</f>
        <v>1</v>
      </c>
    </row>
    <row r="17" spans="1:29" ht="99.75">
      <c r="A17" s="2935"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5</v>
      </c>
      <c r="L17" s="2141"/>
      <c r="M17" s="2131"/>
      <c r="N17" s="2131"/>
      <c r="O17" s="2140"/>
      <c r="P17" s="3403" t="s">
        <v>541</v>
      </c>
      <c r="Q17" s="1571" t="str">
        <f t="shared" si="6"/>
        <v>居住社区成熟度</v>
      </c>
      <c r="R17" s="1572" t="s">
        <v>8</v>
      </c>
      <c r="S17" s="1573">
        <f t="shared" si="0"/>
        <v>100</v>
      </c>
      <c r="T17" s="1572" t="s">
        <v>8</v>
      </c>
      <c r="U17" s="1573">
        <f t="shared" si="1"/>
        <v>100</v>
      </c>
      <c r="V17" s="1572" t="s">
        <v>8</v>
      </c>
      <c r="W17" s="1573">
        <f t="shared" si="2"/>
        <v>100</v>
      </c>
      <c r="X17" s="1566"/>
      <c r="Y17" s="3403" t="s">
        <v>541</v>
      </c>
      <c r="Z17" s="1574" t="str">
        <f t="shared" si="7"/>
        <v>居住社区成熟度</v>
      </c>
      <c r="AA17" s="1575">
        <f t="shared" si="3"/>
        <v>1</v>
      </c>
      <c r="AB17" s="1575">
        <f t="shared" si="4"/>
        <v>1</v>
      </c>
      <c r="AC17" s="1575">
        <f t="shared" si="5"/>
        <v>1</v>
      </c>
    </row>
    <row r="18" spans="1:29" ht="20.25">
      <c r="A18" s="532"/>
      <c r="B18" s="553"/>
      <c r="C18" s="554" t="s">
        <v>3041</v>
      </c>
      <c r="D18" s="557"/>
      <c r="E18" s="558" t="s">
        <v>3041</v>
      </c>
      <c r="F18" s="555"/>
      <c r="G18" s="556" t="s">
        <v>3041</v>
      </c>
      <c r="H18" s="559"/>
      <c r="I18" s="558" t="s">
        <v>3041</v>
      </c>
      <c r="J18" s="555"/>
      <c r="K18" s="531"/>
      <c r="L18" s="2141"/>
      <c r="M18" s="2131"/>
      <c r="N18" s="2131"/>
      <c r="O18" s="2140"/>
      <c r="P18" s="3404"/>
      <c r="Q18" s="1571"/>
      <c r="R18" s="1572"/>
      <c r="S18" s="1573"/>
      <c r="T18" s="1572"/>
      <c r="U18" s="1573"/>
      <c r="V18" s="1572"/>
      <c r="W18" s="1573"/>
      <c r="X18" s="1566"/>
      <c r="Y18" s="3404"/>
      <c r="Z18" s="1574"/>
      <c r="AA18" s="1575">
        <v>1</v>
      </c>
      <c r="AB18" s="1575">
        <v>1</v>
      </c>
      <c r="AC18" s="1575">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103</v>
      </c>
      <c r="I19" s="564"/>
      <c r="J19" s="565">
        <f>SUMIF(92:92,I20,93:93)-SUMIF(92:92,C20,93:93)+100</f>
        <v>103</v>
      </c>
      <c r="K19" s="535">
        <v>3</v>
      </c>
      <c r="L19" s="2141"/>
      <c r="M19" s="2131"/>
      <c r="N19" s="2131"/>
      <c r="O19" s="2140"/>
      <c r="P19" s="3404"/>
      <c r="Q19" s="1571" t="str">
        <f>B19</f>
        <v>商业繁华度</v>
      </c>
      <c r="R19" s="1572" t="s">
        <v>8</v>
      </c>
      <c r="S19" s="1573">
        <f>F19</f>
        <v>100</v>
      </c>
      <c r="T19" s="1572" t="s">
        <v>8</v>
      </c>
      <c r="U19" s="1573">
        <f>H19</f>
        <v>103</v>
      </c>
      <c r="V19" s="1572" t="s">
        <v>8</v>
      </c>
      <c r="W19" s="1573">
        <f>J19</f>
        <v>103</v>
      </c>
      <c r="X19" s="1566"/>
      <c r="Y19" s="3404"/>
      <c r="Z19" s="1574" t="str">
        <f>Q19</f>
        <v>商业繁华度</v>
      </c>
      <c r="AA19" s="1575">
        <f t="shared" si="3"/>
        <v>1</v>
      </c>
      <c r="AB19" s="1575">
        <f t="shared" si="4"/>
        <v>0.970873786407767</v>
      </c>
      <c r="AC19" s="1575">
        <f t="shared" si="5"/>
        <v>0.970873786407767</v>
      </c>
    </row>
    <row r="20" spans="1:29" ht="20.25">
      <c r="A20" s="532"/>
      <c r="B20" s="566"/>
      <c r="C20" s="567" t="s">
        <v>3043</v>
      </c>
      <c r="D20" s="563"/>
      <c r="E20" s="569" t="s">
        <v>3043</v>
      </c>
      <c r="F20" s="559"/>
      <c r="G20" s="568" t="s">
        <v>3041</v>
      </c>
      <c r="H20" s="555"/>
      <c r="I20" s="569" t="s">
        <v>3041</v>
      </c>
      <c r="J20" s="555"/>
      <c r="K20" s="531"/>
      <c r="L20" s="2141"/>
      <c r="M20" s="2131"/>
      <c r="N20" s="2131"/>
      <c r="O20" s="2140"/>
      <c r="P20" s="3404"/>
      <c r="Q20" s="1571"/>
      <c r="R20" s="1572"/>
      <c r="S20" s="1573"/>
      <c r="T20" s="1572"/>
      <c r="U20" s="1573"/>
      <c r="V20" s="1572"/>
      <c r="W20" s="1573"/>
      <c r="X20" s="1566"/>
      <c r="Y20" s="3404"/>
      <c r="Z20" s="1574"/>
      <c r="AA20" s="1575">
        <v>1</v>
      </c>
      <c r="AB20" s="1575">
        <v>1</v>
      </c>
      <c r="AC20" s="1575">
        <v>1</v>
      </c>
    </row>
    <row r="21" spans="1:29" ht="71.25" hidden="1">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1"/>
      <c r="M21" s="2131"/>
      <c r="N21" s="2131"/>
      <c r="O21" s="2140"/>
      <c r="P21" s="3404"/>
      <c r="Q21" s="1571" t="str">
        <f>B21</f>
        <v>办公集聚程度</v>
      </c>
      <c r="R21" s="1572" t="s">
        <v>8</v>
      </c>
      <c r="S21" s="1573">
        <f>F21</f>
        <v>100</v>
      </c>
      <c r="T21" s="1572" t="s">
        <v>8</v>
      </c>
      <c r="U21" s="1573">
        <f>H21</f>
        <v>100</v>
      </c>
      <c r="V21" s="1572" t="s">
        <v>8</v>
      </c>
      <c r="W21" s="1573">
        <f>J21</f>
        <v>100</v>
      </c>
      <c r="X21" s="1566"/>
      <c r="Y21" s="3404"/>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8"/>
      <c r="J22" s="555"/>
      <c r="K22" s="531"/>
      <c r="L22" s="2141"/>
      <c r="M22" s="2131"/>
      <c r="N22" s="2131"/>
      <c r="O22" s="2140"/>
      <c r="P22" s="3404"/>
      <c r="Q22" s="1571"/>
      <c r="R22" s="1572"/>
      <c r="S22" s="1573"/>
      <c r="T22" s="1572"/>
      <c r="U22" s="1573"/>
      <c r="V22" s="1572"/>
      <c r="W22" s="1573"/>
      <c r="X22" s="1566"/>
      <c r="Y22" s="3404"/>
      <c r="Z22" s="1574"/>
      <c r="AA22" s="1575">
        <v>1</v>
      </c>
      <c r="AB22" s="1575">
        <v>1</v>
      </c>
      <c r="AC22" s="1575">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1"/>
      <c r="M23" s="2131"/>
      <c r="N23" s="2131"/>
      <c r="O23" s="2140"/>
      <c r="P23" s="3404"/>
      <c r="Q23" s="1571" t="str">
        <f>B23</f>
        <v>交通便捷度</v>
      </c>
      <c r="R23" s="1572" t="s">
        <v>8</v>
      </c>
      <c r="S23" s="1573">
        <f>F23</f>
        <v>100</v>
      </c>
      <c r="T23" s="1572" t="s">
        <v>8</v>
      </c>
      <c r="U23" s="1573">
        <f>H23</f>
        <v>100</v>
      </c>
      <c r="V23" s="1572" t="s">
        <v>8</v>
      </c>
      <c r="W23" s="1573">
        <f>J23</f>
        <v>100</v>
      </c>
      <c r="X23" s="1566"/>
      <c r="Y23" s="3404"/>
      <c r="Z23" s="1574" t="str">
        <f>Q23</f>
        <v>交通便捷度</v>
      </c>
      <c r="AA23" s="1575">
        <f t="shared" si="3"/>
        <v>1</v>
      </c>
      <c r="AB23" s="1575">
        <f t="shared" si="4"/>
        <v>1</v>
      </c>
      <c r="AC23" s="1575">
        <f t="shared" si="5"/>
        <v>1</v>
      </c>
    </row>
    <row r="24" spans="1:29" ht="20.25">
      <c r="A24" s="532"/>
      <c r="B24" s="578"/>
      <c r="C24" s="554" t="s">
        <v>3041</v>
      </c>
      <c r="D24" s="557"/>
      <c r="E24" s="558" t="s">
        <v>3041</v>
      </c>
      <c r="F24" s="555"/>
      <c r="G24" s="556" t="s">
        <v>3041</v>
      </c>
      <c r="H24" s="555"/>
      <c r="I24" s="558" t="s">
        <v>3041</v>
      </c>
      <c r="J24" s="555"/>
      <c r="K24" s="531"/>
      <c r="L24" s="2141"/>
      <c r="M24" s="2131"/>
      <c r="N24" s="2131"/>
      <c r="O24" s="2140"/>
      <c r="P24" s="3404"/>
      <c r="Q24" s="1571"/>
      <c r="R24" s="1572"/>
      <c r="S24" s="1573"/>
      <c r="T24" s="1572"/>
      <c r="U24" s="1573"/>
      <c r="V24" s="1572"/>
      <c r="W24" s="1573"/>
      <c r="X24" s="1566"/>
      <c r="Y24" s="3404"/>
      <c r="Z24" s="1574"/>
      <c r="AA24" s="1575">
        <v>1</v>
      </c>
      <c r="AB24" s="1575">
        <v>1</v>
      </c>
      <c r="AC24" s="1575">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1"/>
      <c r="M25" s="2131"/>
      <c r="N25" s="2131"/>
      <c r="O25" s="2140"/>
      <c r="P25" s="3404"/>
      <c r="Q25" s="1571" t="str">
        <f t="shared" ref="Q25:Q39" si="8">B25</f>
        <v>区域土地利用方向</v>
      </c>
      <c r="R25" s="1572" t="s">
        <v>8</v>
      </c>
      <c r="S25" s="1573">
        <f>F25</f>
        <v>100</v>
      </c>
      <c r="T25" s="1572" t="s">
        <v>8</v>
      </c>
      <c r="U25" s="1573">
        <f>H25</f>
        <v>100</v>
      </c>
      <c r="V25" s="1572" t="s">
        <v>8</v>
      </c>
      <c r="W25" s="1573">
        <f>J25</f>
        <v>100</v>
      </c>
      <c r="X25" s="1566"/>
      <c r="Y25" s="3404"/>
      <c r="Z25" s="1574" t="str">
        <f>Q25</f>
        <v>区域土地利用方向</v>
      </c>
      <c r="AA25" s="1575">
        <f t="shared" si="3"/>
        <v>1</v>
      </c>
      <c r="AB25" s="1575">
        <f t="shared" si="4"/>
        <v>1</v>
      </c>
      <c r="AC25" s="1575">
        <f t="shared" si="5"/>
        <v>1</v>
      </c>
    </row>
    <row r="26" spans="1:29" ht="20.25">
      <c r="A26" s="515"/>
      <c r="B26" s="1006"/>
      <c r="C26" s="554" t="s">
        <v>3041</v>
      </c>
      <c r="D26" s="557"/>
      <c r="E26" s="558" t="s">
        <v>3041</v>
      </c>
      <c r="F26" s="555"/>
      <c r="G26" s="556" t="s">
        <v>3041</v>
      </c>
      <c r="H26" s="555"/>
      <c r="I26" s="558" t="s">
        <v>3041</v>
      </c>
      <c r="J26" s="555"/>
      <c r="K26" s="531"/>
      <c r="L26" s="2141"/>
      <c r="M26" s="2131"/>
      <c r="N26" s="2131"/>
      <c r="O26" s="2140"/>
      <c r="P26" s="3404"/>
      <c r="Q26" s="1571"/>
      <c r="R26" s="1572"/>
      <c r="S26" s="1573"/>
      <c r="T26" s="1572"/>
      <c r="U26" s="1573"/>
      <c r="V26" s="1572"/>
      <c r="W26" s="1573"/>
      <c r="X26" s="1566"/>
      <c r="Y26" s="3404"/>
      <c r="Z26" s="1574"/>
      <c r="AA26" s="1575"/>
      <c r="AB26" s="1575"/>
      <c r="AC26" s="1575"/>
    </row>
    <row r="27" spans="1:29" ht="57">
      <c r="A27" s="515"/>
      <c r="B27" s="578" t="s">
        <v>546</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1"/>
      <c r="M27" s="2131"/>
      <c r="N27" s="2131"/>
      <c r="O27" s="2140"/>
      <c r="P27" s="3404"/>
      <c r="Q27" s="1571" t="str">
        <f t="shared" si="8"/>
        <v>自然及人文环境状况</v>
      </c>
      <c r="R27" s="1572" t="s">
        <v>8</v>
      </c>
      <c r="S27" s="1573">
        <f>F27</f>
        <v>100</v>
      </c>
      <c r="T27" s="1572" t="s">
        <v>8</v>
      </c>
      <c r="U27" s="1573">
        <f>H27</f>
        <v>100</v>
      </c>
      <c r="V27" s="1572" t="s">
        <v>8</v>
      </c>
      <c r="W27" s="1573">
        <f>J27</f>
        <v>100</v>
      </c>
      <c r="X27" s="1566"/>
      <c r="Y27" s="3404"/>
      <c r="Z27" s="1574" t="str">
        <f>Q27</f>
        <v>自然及人文环境状况</v>
      </c>
      <c r="AA27" s="1575">
        <f t="shared" si="3"/>
        <v>1</v>
      </c>
      <c r="AB27" s="1575">
        <f t="shared" si="4"/>
        <v>1</v>
      </c>
      <c r="AC27" s="1575">
        <f t="shared" si="5"/>
        <v>1</v>
      </c>
    </row>
    <row r="28" spans="1:29" ht="20.25">
      <c r="A28" s="515"/>
      <c r="B28" s="566"/>
      <c r="C28" s="554" t="s">
        <v>3041</v>
      </c>
      <c r="D28" s="557"/>
      <c r="E28" s="576" t="s">
        <v>3041</v>
      </c>
      <c r="F28" s="555"/>
      <c r="G28" s="554" t="s">
        <v>3041</v>
      </c>
      <c r="H28" s="555"/>
      <c r="I28" s="576" t="s">
        <v>3041</v>
      </c>
      <c r="J28" s="555"/>
      <c r="K28" s="531"/>
      <c r="L28" s="2141"/>
      <c r="M28" s="2131"/>
      <c r="N28" s="2131"/>
      <c r="O28" s="2140"/>
      <c r="P28" s="3404"/>
      <c r="Q28" s="1571"/>
      <c r="R28" s="1572"/>
      <c r="S28" s="1573"/>
      <c r="T28" s="1572"/>
      <c r="U28" s="1573"/>
      <c r="V28" s="1572"/>
      <c r="W28" s="1573"/>
      <c r="X28" s="1566"/>
      <c r="Y28" s="3404"/>
      <c r="Z28" s="1574"/>
      <c r="AA28" s="1575">
        <v>1</v>
      </c>
      <c r="AB28" s="1575">
        <v>1</v>
      </c>
      <c r="AC28" s="1575">
        <v>1</v>
      </c>
    </row>
    <row r="29" spans="1:29" s="1219" customFormat="1" ht="42.75">
      <c r="A29" s="577"/>
      <c r="B29" s="2614"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105</v>
      </c>
      <c r="I29" s="564"/>
      <c r="J29" s="559">
        <f>SUMIF(102:102,I30,103:103)-SUMIF(102:102,C30,103:103)+100</f>
        <v>105</v>
      </c>
      <c r="K29" s="535">
        <v>5</v>
      </c>
      <c r="L29" s="2134"/>
      <c r="M29" s="2131"/>
      <c r="N29" s="2131"/>
      <c r="O29" s="2136"/>
      <c r="P29" s="3404"/>
      <c r="Q29" s="1150" t="str">
        <f t="shared" si="8"/>
        <v>公共配套设施</v>
      </c>
      <c r="R29" s="1567" t="s">
        <v>8</v>
      </c>
      <c r="S29" s="1568">
        <f>F29</f>
        <v>100</v>
      </c>
      <c r="T29" s="1567" t="s">
        <v>8</v>
      </c>
      <c r="U29" s="1568">
        <f>H29</f>
        <v>105</v>
      </c>
      <c r="V29" s="1567" t="s">
        <v>8</v>
      </c>
      <c r="W29" s="1568">
        <f>J29</f>
        <v>105</v>
      </c>
      <c r="X29" s="1569"/>
      <c r="Y29" s="3404"/>
      <c r="Z29" s="1149" t="str">
        <f>Q29</f>
        <v>公共配套设施</v>
      </c>
      <c r="AA29" s="1575">
        <f>D29/F29</f>
        <v>1</v>
      </c>
      <c r="AB29" s="1575">
        <f>D29/H29</f>
        <v>0.95238095238095233</v>
      </c>
      <c r="AC29" s="1575">
        <f>D29/J29</f>
        <v>0.95238095238095233</v>
      </c>
    </row>
    <row r="30" spans="1:29" s="1219" customFormat="1" ht="20.25">
      <c r="A30" s="577"/>
      <c r="B30" s="566"/>
      <c r="C30" s="579" t="s">
        <v>3043</v>
      </c>
      <c r="D30" s="557"/>
      <c r="E30" s="576" t="s">
        <v>3043</v>
      </c>
      <c r="F30" s="555"/>
      <c r="G30" s="554" t="s">
        <v>3041</v>
      </c>
      <c r="H30" s="555"/>
      <c r="I30" s="576" t="s">
        <v>3041</v>
      </c>
      <c r="J30" s="555"/>
      <c r="K30" s="531"/>
      <c r="L30" s="2134"/>
      <c r="M30" s="2131"/>
      <c r="N30" s="2131"/>
      <c r="O30" s="2136"/>
      <c r="P30" s="3404"/>
      <c r="Q30" s="1150"/>
      <c r="R30" s="1567"/>
      <c r="S30" s="1568"/>
      <c r="T30" s="1567"/>
      <c r="U30" s="1568"/>
      <c r="V30" s="1567"/>
      <c r="W30" s="1568"/>
      <c r="X30" s="1569"/>
      <c r="Y30" s="3404"/>
      <c r="Z30" s="1149"/>
      <c r="AA30" s="1575">
        <v>1</v>
      </c>
      <c r="AB30" s="1575">
        <v>1</v>
      </c>
      <c r="AC30" s="1575">
        <v>1</v>
      </c>
    </row>
    <row r="31" spans="1:29" s="1219" customFormat="1" ht="28.5">
      <c r="A31" s="577"/>
      <c r="B31" s="2614"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4"/>
      <c r="M31" s="2131"/>
      <c r="N31" s="2131"/>
      <c r="O31" s="2136"/>
      <c r="P31" s="3404"/>
      <c r="Q31" s="2601" t="str">
        <f t="shared" ref="Q31" si="9">B31</f>
        <v>基础设施水平</v>
      </c>
      <c r="R31" s="1567" t="s">
        <v>8</v>
      </c>
      <c r="S31" s="1568">
        <f>F31</f>
        <v>100</v>
      </c>
      <c r="T31" s="1567" t="s">
        <v>8</v>
      </c>
      <c r="U31" s="1568">
        <f>H31</f>
        <v>100</v>
      </c>
      <c r="V31" s="1567" t="s">
        <v>8</v>
      </c>
      <c r="W31" s="1568">
        <f>J31</f>
        <v>100</v>
      </c>
      <c r="X31" s="1569"/>
      <c r="Y31" s="3404"/>
      <c r="Z31" s="2598" t="str">
        <f>Q31</f>
        <v>基础设施水平</v>
      </c>
      <c r="AA31" s="1575">
        <f>D31/F31</f>
        <v>1</v>
      </c>
      <c r="AB31" s="1575">
        <f>D31/H31</f>
        <v>1</v>
      </c>
      <c r="AC31" s="1575">
        <f>D31/J31</f>
        <v>1</v>
      </c>
    </row>
    <row r="32" spans="1:29" s="1219" customFormat="1" ht="20.25">
      <c r="A32" s="577"/>
      <c r="B32" s="566"/>
      <c r="C32" s="579" t="s">
        <v>3048</v>
      </c>
      <c r="D32" s="557"/>
      <c r="E32" s="2615" t="s">
        <v>3048</v>
      </c>
      <c r="F32" s="555"/>
      <c r="G32" s="579" t="s">
        <v>3048</v>
      </c>
      <c r="H32" s="555"/>
      <c r="I32" s="579" t="s">
        <v>3048</v>
      </c>
      <c r="J32" s="555"/>
      <c r="K32" s="531"/>
      <c r="L32" s="2134"/>
      <c r="M32" s="2131"/>
      <c r="N32" s="2131"/>
      <c r="O32" s="2136"/>
      <c r="P32" s="3404"/>
      <c r="Q32" s="2601"/>
      <c r="R32" s="1567"/>
      <c r="S32" s="1568"/>
      <c r="T32" s="1567"/>
      <c r="U32" s="1568"/>
      <c r="V32" s="1567"/>
      <c r="W32" s="1568"/>
      <c r="X32" s="1569"/>
      <c r="Y32" s="3404"/>
      <c r="Z32" s="2598"/>
      <c r="AA32" s="1575">
        <v>1</v>
      </c>
      <c r="AB32" s="1575">
        <v>1</v>
      </c>
      <c r="AC32" s="1575">
        <v>1</v>
      </c>
    </row>
    <row r="33" spans="1:29" ht="20.25">
      <c r="A33" s="532"/>
      <c r="B33" s="566" t="s">
        <v>548</v>
      </c>
      <c r="C33" s="580" t="s">
        <v>3058</v>
      </c>
      <c r="D33" s="575">
        <v>100</v>
      </c>
      <c r="E33" s="583" t="s">
        <v>3058</v>
      </c>
      <c r="F33" s="540">
        <f>SUMIF(106:106,E33,107:107)-SUMIF(106:106,C33,107:107)+100</f>
        <v>100</v>
      </c>
      <c r="G33" s="580" t="s">
        <v>3058</v>
      </c>
      <c r="H33" s="540">
        <f>SUMIF(106:106,G33,107:107)-SUMIF(106:106,C33,107:107)+100</f>
        <v>100</v>
      </c>
      <c r="I33" s="580" t="s">
        <v>3058</v>
      </c>
      <c r="J33" s="540">
        <f>SUMIF(106:106,I33,107:107)-SUMIF(106:106,C33,107:107)+100</f>
        <v>100</v>
      </c>
      <c r="K33" s="535">
        <v>2</v>
      </c>
      <c r="L33" s="2141"/>
      <c r="M33" s="2131"/>
      <c r="N33" s="2131"/>
      <c r="O33" s="2140"/>
      <c r="P33" s="3404"/>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04"/>
      <c r="Z33" s="1574" t="str">
        <f t="shared" ref="Z33:Z47" si="13">Q33</f>
        <v>临街状况</v>
      </c>
      <c r="AA33" s="1575">
        <f t="shared" si="3"/>
        <v>1</v>
      </c>
      <c r="AB33" s="1575">
        <f t="shared" si="4"/>
        <v>1</v>
      </c>
      <c r="AC33" s="1575">
        <f t="shared" si="5"/>
        <v>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1"/>
      <c r="M34" s="2131"/>
      <c r="N34" s="2131"/>
      <c r="O34" s="2140"/>
      <c r="P34" s="3404"/>
      <c r="Q34" s="1571" t="str">
        <f t="shared" si="8"/>
        <v>毗邻道路的类型与等级</v>
      </c>
      <c r="R34" s="1572" t="s">
        <v>8</v>
      </c>
      <c r="S34" s="1573">
        <f t="shared" si="10"/>
        <v>100</v>
      </c>
      <c r="T34" s="1572" t="s">
        <v>8</v>
      </c>
      <c r="U34" s="1573">
        <f t="shared" si="11"/>
        <v>100</v>
      </c>
      <c r="V34" s="1572" t="s">
        <v>8</v>
      </c>
      <c r="W34" s="1573">
        <f t="shared" si="12"/>
        <v>100</v>
      </c>
      <c r="X34" s="1566"/>
      <c r="Y34" s="3404"/>
      <c r="Z34" s="1574" t="str">
        <f t="shared" si="13"/>
        <v>毗邻道路的类型与等级</v>
      </c>
      <c r="AA34" s="1575">
        <f t="shared" si="3"/>
        <v>1</v>
      </c>
      <c r="AB34" s="1575">
        <f t="shared" si="4"/>
        <v>1</v>
      </c>
      <c r="AC34" s="1575">
        <f t="shared" si="5"/>
        <v>1</v>
      </c>
    </row>
    <row r="35" spans="1:29" ht="21" thickBot="1">
      <c r="A35" s="532"/>
      <c r="B35" s="566"/>
      <c r="C35" s="554" t="s">
        <v>3029</v>
      </c>
      <c r="D35" s="557"/>
      <c r="E35" s="576" t="s">
        <v>3029</v>
      </c>
      <c r="F35" s="555"/>
      <c r="G35" s="554" t="s">
        <v>3029</v>
      </c>
      <c r="H35" s="555"/>
      <c r="I35" s="576" t="s">
        <v>3029</v>
      </c>
      <c r="J35" s="555"/>
      <c r="K35" s="581"/>
      <c r="L35" s="2141"/>
      <c r="M35" s="2131"/>
      <c r="N35" s="2131"/>
      <c r="O35" s="2140"/>
      <c r="P35" s="3404"/>
      <c r="Q35" s="1571"/>
      <c r="R35" s="1572"/>
      <c r="S35" s="1573"/>
      <c r="T35" s="1572"/>
      <c r="U35" s="1573"/>
      <c r="V35" s="1572"/>
      <c r="W35" s="1573"/>
      <c r="X35" s="1566"/>
      <c r="Y35" s="3404"/>
      <c r="Z35" s="1574"/>
      <c r="AA35" s="1575">
        <v>1</v>
      </c>
      <c r="AB35" s="1575">
        <v>1</v>
      </c>
      <c r="AC35" s="1575">
        <v>1</v>
      </c>
    </row>
    <row r="36" spans="1:29" ht="20.25" hidden="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04"/>
      <c r="Q36" s="1571" t="str">
        <f t="shared" si="8"/>
        <v>土地级别</v>
      </c>
      <c r="R36" s="1572" t="s">
        <v>8</v>
      </c>
      <c r="S36" s="1573">
        <f t="shared" si="10"/>
        <v>100</v>
      </c>
      <c r="T36" s="1572" t="s">
        <v>8</v>
      </c>
      <c r="U36" s="1573">
        <f t="shared" si="11"/>
        <v>100</v>
      </c>
      <c r="V36" s="1572" t="s">
        <v>8</v>
      </c>
      <c r="W36" s="1573">
        <f t="shared" si="12"/>
        <v>100</v>
      </c>
      <c r="X36" s="1566"/>
      <c r="Y36" s="3404"/>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04"/>
      <c r="Q37" s="1571">
        <f t="shared" si="8"/>
        <v>111</v>
      </c>
      <c r="R37" s="1572" t="s">
        <v>8</v>
      </c>
      <c r="S37" s="1573">
        <f t="shared" si="10"/>
        <v>100</v>
      </c>
      <c r="T37" s="1572" t="s">
        <v>8</v>
      </c>
      <c r="U37" s="1573">
        <f t="shared" si="11"/>
        <v>100</v>
      </c>
      <c r="V37" s="1572" t="s">
        <v>8</v>
      </c>
      <c r="W37" s="1573">
        <f t="shared" si="12"/>
        <v>100</v>
      </c>
      <c r="X37" s="1566"/>
      <c r="Y37" s="3404"/>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05" t="s">
        <v>551</v>
      </c>
      <c r="Q38" s="1571">
        <f t="shared" si="8"/>
        <v>111</v>
      </c>
      <c r="R38" s="1572" t="s">
        <v>8</v>
      </c>
      <c r="S38" s="1573">
        <f t="shared" si="10"/>
        <v>100</v>
      </c>
      <c r="T38" s="1572" t="s">
        <v>8</v>
      </c>
      <c r="U38" s="1573">
        <f t="shared" si="11"/>
        <v>100</v>
      </c>
      <c r="V38" s="1572" t="s">
        <v>8</v>
      </c>
      <c r="W38" s="1573">
        <f t="shared" si="12"/>
        <v>100</v>
      </c>
      <c r="X38" s="1566"/>
      <c r="Y38" s="3406" t="s">
        <v>551</v>
      </c>
      <c r="Z38" s="1574">
        <f t="shared" si="13"/>
        <v>111</v>
      </c>
      <c r="AA38" s="1575">
        <f t="shared" si="3"/>
        <v>1</v>
      </c>
      <c r="AB38" s="1575">
        <f t="shared" si="4"/>
        <v>1</v>
      </c>
      <c r="AC38" s="1575">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06"/>
      <c r="Q39" s="1571">
        <f t="shared" si="8"/>
        <v>111</v>
      </c>
      <c r="R39" s="1576" t="s">
        <v>8</v>
      </c>
      <c r="S39" s="1577">
        <f t="shared" si="10"/>
        <v>100</v>
      </c>
      <c r="T39" s="1576" t="s">
        <v>8</v>
      </c>
      <c r="U39" s="1577">
        <f t="shared" si="11"/>
        <v>100</v>
      </c>
      <c r="V39" s="1576" t="s">
        <v>8</v>
      </c>
      <c r="W39" s="1577">
        <f t="shared" si="12"/>
        <v>100</v>
      </c>
      <c r="X39" s="1578"/>
      <c r="Y39" s="3406"/>
      <c r="Z39" s="1579">
        <f t="shared" si="13"/>
        <v>111</v>
      </c>
      <c r="AA39" s="1575">
        <f t="shared" si="3"/>
        <v>1</v>
      </c>
      <c r="AB39" s="1575">
        <f t="shared" si="4"/>
        <v>1</v>
      </c>
      <c r="AC39" s="1575">
        <f t="shared" si="5"/>
        <v>1</v>
      </c>
    </row>
    <row r="40" spans="1:29" ht="20.25">
      <c r="A40" s="2932" t="s">
        <v>2756</v>
      </c>
      <c r="B40" s="595" t="s">
        <v>553</v>
      </c>
      <c r="C40" s="596">
        <f>'数据-基础表'!A3</f>
        <v>81852.679999999993</v>
      </c>
      <c r="D40" s="597">
        <v>100</v>
      </c>
      <c r="E40" s="596">
        <v>25774</v>
      </c>
      <c r="F40" s="597">
        <f>LOOKUP(E40,119:119,120:120)-LOOKUP(C40,119:119,120:120)+100</f>
        <v>100</v>
      </c>
      <c r="G40" s="596">
        <v>44977.78</v>
      </c>
      <c r="H40" s="597">
        <f>LOOKUP(G40,119:119,120:120)-LOOKUP(C40,119:119,120:120)+100</f>
        <v>100</v>
      </c>
      <c r="I40" s="598">
        <v>10774.94</v>
      </c>
      <c r="J40" s="597">
        <f>LOOKUP(I40,119:119,120:120)-LOOKUP(C40,119:119,120:120)+100</f>
        <v>100</v>
      </c>
      <c r="K40" s="581"/>
      <c r="L40" s="2141"/>
      <c r="M40" s="2131"/>
      <c r="N40" s="2131"/>
      <c r="O40" s="2140"/>
      <c r="P40" s="3406"/>
      <c r="Q40" s="1571" t="str">
        <f>B40</f>
        <v>宗地面积</v>
      </c>
      <c r="R40" s="1572" t="s">
        <v>8</v>
      </c>
      <c r="S40" s="1573">
        <f t="shared" si="10"/>
        <v>100</v>
      </c>
      <c r="T40" s="1572" t="s">
        <v>8</v>
      </c>
      <c r="U40" s="1573">
        <f t="shared" si="11"/>
        <v>100</v>
      </c>
      <c r="V40" s="1572" t="s">
        <v>8</v>
      </c>
      <c r="W40" s="1573">
        <f t="shared" si="12"/>
        <v>100</v>
      </c>
      <c r="X40" s="1566"/>
      <c r="Y40" s="3406"/>
      <c r="Z40" s="1574" t="str">
        <f t="shared" si="13"/>
        <v>宗地面积</v>
      </c>
      <c r="AA40" s="1575">
        <f t="shared" si="3"/>
        <v>1</v>
      </c>
      <c r="AB40" s="1575">
        <f t="shared" si="4"/>
        <v>1</v>
      </c>
      <c r="AC40" s="1575">
        <f t="shared" si="5"/>
        <v>1</v>
      </c>
    </row>
    <row r="41" spans="1:29" ht="20.25">
      <c r="A41" s="594"/>
      <c r="B41" s="527" t="s">
        <v>554</v>
      </c>
      <c r="C41" s="599" t="s">
        <v>3035</v>
      </c>
      <c r="D41" s="540">
        <v>100</v>
      </c>
      <c r="E41" s="599" t="s">
        <v>3035</v>
      </c>
      <c r="F41" s="540">
        <f>SUMIF(121:121,E41,122:122)-SUMIF(121:121,C41,122:122)+100</f>
        <v>100</v>
      </c>
      <c r="G41" s="599" t="s">
        <v>3033</v>
      </c>
      <c r="H41" s="540">
        <f>SUMIF(121:121,G41,122:122)-SUMIF(121:121,C41,122:122)+100</f>
        <v>105</v>
      </c>
      <c r="I41" s="599" t="s">
        <v>3033</v>
      </c>
      <c r="J41" s="540">
        <f>SUMIF(121:121,I41,122:122)-SUMIF(121:121,C41,122:122)+100</f>
        <v>105</v>
      </c>
      <c r="K41" s="584">
        <v>5</v>
      </c>
      <c r="L41" s="2141"/>
      <c r="M41" s="2131"/>
      <c r="N41" s="2131"/>
      <c r="O41" s="2140"/>
      <c r="P41" s="3406"/>
      <c r="Q41" s="1571" t="str">
        <f t="shared" ref="Q41:Q47" si="14">B41</f>
        <v>宗地形状</v>
      </c>
      <c r="R41" s="1572" t="s">
        <v>8</v>
      </c>
      <c r="S41" s="1573">
        <f t="shared" si="10"/>
        <v>100</v>
      </c>
      <c r="T41" s="1572" t="s">
        <v>8</v>
      </c>
      <c r="U41" s="1573">
        <f t="shared" si="11"/>
        <v>105</v>
      </c>
      <c r="V41" s="1572" t="s">
        <v>8</v>
      </c>
      <c r="W41" s="1573">
        <f t="shared" si="12"/>
        <v>105</v>
      </c>
      <c r="X41" s="1566"/>
      <c r="Y41" s="3406"/>
      <c r="Z41" s="1574" t="str">
        <f t="shared" si="13"/>
        <v>宗地形状</v>
      </c>
      <c r="AA41" s="1575">
        <f t="shared" si="3"/>
        <v>1</v>
      </c>
      <c r="AB41" s="1575">
        <f t="shared" si="4"/>
        <v>0.95238095238095233</v>
      </c>
      <c r="AC41" s="1575">
        <f t="shared" si="5"/>
        <v>0.95238095238095233</v>
      </c>
    </row>
    <row r="42" spans="1:29" ht="20.25">
      <c r="A42" s="594"/>
      <c r="B42" s="527" t="s">
        <v>555</v>
      </c>
      <c r="C42" s="599" t="s">
        <v>3041</v>
      </c>
      <c r="D42" s="540">
        <v>100</v>
      </c>
      <c r="E42" s="599" t="s">
        <v>3041</v>
      </c>
      <c r="F42" s="540">
        <f>SUMIF(123:123,E42,124:124)-SUMIF(123:123,C42,124:124)+100</f>
        <v>100</v>
      </c>
      <c r="G42" s="599" t="s">
        <v>3043</v>
      </c>
      <c r="H42" s="540">
        <f>SUMIF(123:123,G42,124:124)-SUMIF(123:123,C42,124:124)+100</f>
        <v>98</v>
      </c>
      <c r="I42" s="599" t="s">
        <v>3041</v>
      </c>
      <c r="J42" s="540">
        <f>SUMIF(123:123,I42,124:124)-SUMIF(123:123,C42,124:124)+100</f>
        <v>100</v>
      </c>
      <c r="K42" s="584">
        <v>2</v>
      </c>
      <c r="L42" s="2141"/>
      <c r="M42" s="2131"/>
      <c r="N42" s="2131"/>
      <c r="O42" s="2140"/>
      <c r="P42" s="3406"/>
      <c r="Q42" s="1571" t="str">
        <f t="shared" si="14"/>
        <v>临街宽度及深度</v>
      </c>
      <c r="R42" s="1572" t="s">
        <v>8</v>
      </c>
      <c r="S42" s="1573">
        <f t="shared" si="10"/>
        <v>100</v>
      </c>
      <c r="T42" s="1572" t="s">
        <v>8</v>
      </c>
      <c r="U42" s="1573">
        <f t="shared" si="11"/>
        <v>98</v>
      </c>
      <c r="V42" s="1572" t="s">
        <v>8</v>
      </c>
      <c r="W42" s="1573">
        <f t="shared" si="12"/>
        <v>100</v>
      </c>
      <c r="X42" s="1566"/>
      <c r="Y42" s="3406"/>
      <c r="Z42" s="1574" t="str">
        <f t="shared" si="13"/>
        <v>临街宽度及深度</v>
      </c>
      <c r="AA42" s="1575">
        <f t="shared" si="3"/>
        <v>1</v>
      </c>
      <c r="AB42" s="1575">
        <f t="shared" si="4"/>
        <v>1.0204081632653061</v>
      </c>
      <c r="AC42" s="1575">
        <f t="shared" si="5"/>
        <v>1</v>
      </c>
    </row>
    <row r="43" spans="1:29" s="1219" customFormat="1" ht="20.25">
      <c r="A43" s="600"/>
      <c r="B43" s="1894" t="s">
        <v>2422</v>
      </c>
      <c r="C43" s="601" t="s">
        <v>3048</v>
      </c>
      <c r="D43" s="255">
        <v>100</v>
      </c>
      <c r="E43" s="601" t="s">
        <v>3048</v>
      </c>
      <c r="F43" s="540">
        <f>SUMIF(125:125,E43,126:126)-SUMIF(125:125,C43,126:126)+100</f>
        <v>100</v>
      </c>
      <c r="G43" s="601" t="s">
        <v>3048</v>
      </c>
      <c r="H43" s="540">
        <f>SUMIF(125:125,G43,126:126)-SUMIF(125:125,C43,126:126)+100</f>
        <v>100</v>
      </c>
      <c r="I43" s="601" t="s">
        <v>3048</v>
      </c>
      <c r="J43" s="540">
        <f>SUMIF(125:125,I43,126:126)-SUMIF(125:125,C43,126:126)+100</f>
        <v>100</v>
      </c>
      <c r="K43" s="584"/>
      <c r="L43" s="2134"/>
      <c r="M43" s="2131"/>
      <c r="N43" s="2131"/>
      <c r="O43" s="2136"/>
      <c r="P43" s="3406"/>
      <c r="Q43" s="1571" t="str">
        <f t="shared" si="14"/>
        <v>宗地开发程度</v>
      </c>
      <c r="R43" s="1567" t="s">
        <v>8</v>
      </c>
      <c r="S43" s="1568">
        <f t="shared" si="10"/>
        <v>100</v>
      </c>
      <c r="T43" s="1567" t="s">
        <v>8</v>
      </c>
      <c r="U43" s="1568">
        <f t="shared" si="11"/>
        <v>100</v>
      </c>
      <c r="V43" s="1567" t="s">
        <v>8</v>
      </c>
      <c r="W43" s="1568">
        <f t="shared" si="12"/>
        <v>100</v>
      </c>
      <c r="X43" s="1569"/>
      <c r="Y43" s="3406"/>
      <c r="Z43" s="1149" t="str">
        <f t="shared" si="13"/>
        <v>宗地开发程度</v>
      </c>
      <c r="AA43" s="1570">
        <f t="shared" si="3"/>
        <v>1</v>
      </c>
      <c r="AB43" s="1570">
        <f t="shared" si="4"/>
        <v>1</v>
      </c>
      <c r="AC43" s="1570">
        <f t="shared" si="5"/>
        <v>1</v>
      </c>
    </row>
    <row r="44" spans="1:29" ht="21" thickBot="1">
      <c r="A44" s="594"/>
      <c r="B44" s="527" t="s">
        <v>556</v>
      </c>
      <c r="C44" s="599" t="s">
        <v>3041</v>
      </c>
      <c r="D44" s="540">
        <v>100</v>
      </c>
      <c r="E44" s="599" t="s">
        <v>3041</v>
      </c>
      <c r="F44" s="540">
        <f>SUMIF(127:127,E44,128:128)-SUMIF(127:127,C44,128:128)+100</f>
        <v>100</v>
      </c>
      <c r="G44" s="599" t="s">
        <v>3041</v>
      </c>
      <c r="H44" s="540">
        <f>SUMIF(127:127,G44,128:128)-SUMIF(127:127,C44,128:128)+100</f>
        <v>100</v>
      </c>
      <c r="I44" s="599" t="s">
        <v>3041</v>
      </c>
      <c r="J44" s="540">
        <f>SUMIF(127:127,I44,128:128)-SUMIF(127:127,C44,128:128)+100</f>
        <v>100</v>
      </c>
      <c r="K44" s="584"/>
      <c r="L44" s="2141"/>
      <c r="M44" s="2131"/>
      <c r="N44" s="2131"/>
      <c r="O44" s="2140"/>
      <c r="P44" s="3406" t="s">
        <v>551</v>
      </c>
      <c r="Q44" s="1571" t="str">
        <f t="shared" si="14"/>
        <v>工程地质条件</v>
      </c>
      <c r="R44" s="1572" t="s">
        <v>8</v>
      </c>
      <c r="S44" s="1573">
        <f t="shared" si="10"/>
        <v>100</v>
      </c>
      <c r="T44" s="1572" t="s">
        <v>8</v>
      </c>
      <c r="U44" s="1573">
        <f t="shared" si="11"/>
        <v>100</v>
      </c>
      <c r="V44" s="1572" t="s">
        <v>8</v>
      </c>
      <c r="W44" s="1573">
        <f t="shared" si="12"/>
        <v>100</v>
      </c>
      <c r="X44" s="1566"/>
      <c r="Y44" s="3406" t="s">
        <v>551</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06"/>
      <c r="Q45" s="1571">
        <f t="shared" si="14"/>
        <v>111</v>
      </c>
      <c r="R45" s="1572" t="s">
        <v>8</v>
      </c>
      <c r="S45" s="1573">
        <f t="shared" si="10"/>
        <v>100</v>
      </c>
      <c r="T45" s="1572" t="s">
        <v>8</v>
      </c>
      <c r="U45" s="1573">
        <f t="shared" si="11"/>
        <v>100</v>
      </c>
      <c r="V45" s="1572" t="s">
        <v>8</v>
      </c>
      <c r="W45" s="1573">
        <f t="shared" si="12"/>
        <v>100</v>
      </c>
      <c r="X45" s="1566"/>
      <c r="Y45" s="3406"/>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06"/>
      <c r="Q46" s="1571">
        <f t="shared" si="14"/>
        <v>111</v>
      </c>
      <c r="R46" s="1572" t="s">
        <v>8</v>
      </c>
      <c r="S46" s="1573">
        <f t="shared" si="10"/>
        <v>100</v>
      </c>
      <c r="T46" s="1572" t="s">
        <v>8</v>
      </c>
      <c r="U46" s="1573">
        <f t="shared" si="11"/>
        <v>100</v>
      </c>
      <c r="V46" s="1572" t="s">
        <v>8</v>
      </c>
      <c r="W46" s="1573">
        <f t="shared" si="12"/>
        <v>100</v>
      </c>
      <c r="X46" s="1566"/>
      <c r="Y46" s="3406"/>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06"/>
      <c r="Q47" s="1571">
        <f t="shared" si="14"/>
        <v>111</v>
      </c>
      <c r="R47" s="1576" t="s">
        <v>8</v>
      </c>
      <c r="S47" s="1577">
        <f t="shared" si="10"/>
        <v>100</v>
      </c>
      <c r="T47" s="1576" t="s">
        <v>8</v>
      </c>
      <c r="U47" s="1577">
        <f t="shared" si="11"/>
        <v>100</v>
      </c>
      <c r="V47" s="1576" t="s">
        <v>8</v>
      </c>
      <c r="W47" s="1577">
        <f t="shared" si="12"/>
        <v>100</v>
      </c>
      <c r="X47" s="1578"/>
      <c r="Y47" s="3406"/>
      <c r="Z47" s="1579">
        <f t="shared" si="13"/>
        <v>111</v>
      </c>
      <c r="AA47" s="1575">
        <f t="shared" si="3"/>
        <v>1</v>
      </c>
      <c r="AB47" s="1575">
        <f t="shared" si="4"/>
        <v>1</v>
      </c>
      <c r="AC47" s="1575">
        <f t="shared" si="5"/>
        <v>1</v>
      </c>
    </row>
    <row r="48" spans="1:29" ht="20.25">
      <c r="A48" s="607" t="s">
        <v>557</v>
      </c>
      <c r="B48" s="608" t="s">
        <v>3021</v>
      </c>
      <c r="C48" s="609" t="s">
        <v>1</v>
      </c>
      <c r="D48" s="610"/>
      <c r="E48" s="611">
        <v>7100</v>
      </c>
      <c r="F48" s="612"/>
      <c r="G48" s="613">
        <v>6800</v>
      </c>
      <c r="H48" s="614"/>
      <c r="I48" s="611">
        <v>7800</v>
      </c>
      <c r="J48" s="614"/>
      <c r="K48" s="1339"/>
      <c r="L48" s="2143"/>
      <c r="M48" s="2131"/>
      <c r="N48" s="2131"/>
      <c r="O48" s="2144"/>
      <c r="P48" s="3367" t="str">
        <f>A48</f>
        <v>成交单价</v>
      </c>
      <c r="Q48" s="3367"/>
      <c r="R48" s="3368">
        <f>E48</f>
        <v>7100</v>
      </c>
      <c r="S48" s="3368"/>
      <c r="T48" s="3368">
        <f>G48</f>
        <v>6800</v>
      </c>
      <c r="U48" s="3368"/>
      <c r="V48" s="3368">
        <f>I48</f>
        <v>7800</v>
      </c>
      <c r="W48" s="3368"/>
      <c r="X48" s="1558"/>
      <c r="Y48" s="1580"/>
      <c r="Z48" s="1558"/>
      <c r="AA48" s="1558"/>
      <c r="AB48" s="1558"/>
      <c r="AC48" s="1558"/>
    </row>
    <row r="49" spans="1:29" ht="21" thickBot="1">
      <c r="A49" s="615" t="s">
        <v>2694</v>
      </c>
      <c r="B49" s="616"/>
      <c r="C49" s="617">
        <f>R50</f>
        <v>6717</v>
      </c>
      <c r="D49" s="618"/>
      <c r="E49" s="617">
        <f>R49</f>
        <v>7172</v>
      </c>
      <c r="F49" s="619"/>
      <c r="G49" s="620">
        <f>T49</f>
        <v>6110</v>
      </c>
      <c r="H49" s="618"/>
      <c r="I49" s="617">
        <f>V49</f>
        <v>6869</v>
      </c>
      <c r="J49" s="618"/>
      <c r="K49" s="1340"/>
      <c r="L49" s="2143"/>
      <c r="M49" s="2131"/>
      <c r="N49" s="2131"/>
      <c r="O49" s="2144"/>
      <c r="P49" s="3367" t="str">
        <f>A49</f>
        <v>比较价格（元/平方米）</v>
      </c>
      <c r="Q49" s="3367"/>
      <c r="R49" s="3369">
        <f>ROUND(PRODUCT(R48,AA9:AA47),0)</f>
        <v>7172</v>
      </c>
      <c r="S49" s="3369"/>
      <c r="T49" s="3369">
        <f>ROUND(PRODUCT(T48,AB9:AB47),0)</f>
        <v>6110</v>
      </c>
      <c r="U49" s="3369"/>
      <c r="V49" s="3369">
        <f>ROUND(PRODUCT(V48,AC9:AC47),0)</f>
        <v>6869</v>
      </c>
      <c r="W49" s="3369"/>
      <c r="X49" s="1558"/>
      <c r="Y49" s="1558"/>
      <c r="Z49" s="1558"/>
      <c r="AA49" s="1558"/>
      <c r="AB49" s="1558"/>
      <c r="AC49" s="1558"/>
    </row>
    <row r="50" spans="1:29" ht="21" thickBot="1">
      <c r="A50" s="621" t="s">
        <v>2933</v>
      </c>
      <c r="B50" s="622"/>
      <c r="C50" s="623">
        <f>R50</f>
        <v>6717</v>
      </c>
      <c r="D50" s="623"/>
      <c r="E50" s="623"/>
      <c r="F50" s="623"/>
      <c r="G50" s="623"/>
      <c r="H50" s="623"/>
      <c r="I50" s="623"/>
      <c r="J50" s="623"/>
      <c r="K50" s="1341"/>
      <c r="L50" s="2143"/>
      <c r="M50" s="2131"/>
      <c r="N50" s="2131"/>
      <c r="O50" s="2144"/>
      <c r="P50" s="3364" t="str">
        <f>A50</f>
        <v>估价对象XX用房的比较价格（楼面单价，元/平方米）</v>
      </c>
      <c r="Q50" s="3365"/>
      <c r="R50" s="3366">
        <f>ROUND(AVERAGE(R49:V49),0)</f>
        <v>6717</v>
      </c>
      <c r="S50" s="3366"/>
      <c r="T50" s="3366"/>
      <c r="U50" s="3366"/>
      <c r="V50" s="3366"/>
      <c r="W50" s="3366"/>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558</v>
      </c>
      <c r="D53" s="625"/>
      <c r="E53" s="626">
        <f>IF(E48&lt;E49,E49/E48-1,E48/E49-1)</f>
        <v>1.0140845070422566E-2</v>
      </c>
      <c r="F53" s="627" t="str">
        <f>IF(OR(E53&gt;=0.3,E53&lt;=-0.3),"超过30%","")</f>
        <v/>
      </c>
      <c r="G53" s="626">
        <f>IF(G48&lt;G49,G49/G48-1,G48/G49-1)</f>
        <v>0.11292962356792136</v>
      </c>
      <c r="H53" s="627" t="str">
        <f>IF(OR(G53&gt;=0.3,G53&lt;=-0.3),"超过30%","")</f>
        <v/>
      </c>
      <c r="I53" s="626">
        <f>IF(I48&lt;I49,I49/I48-1,I48/I49-1)</f>
        <v>0.13553646819042076</v>
      </c>
      <c r="J53" s="627"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559</v>
      </c>
      <c r="D54" s="628"/>
      <c r="E54" s="626">
        <f>IF(E49&lt;G49,G49/E49-1,E49/G49-1)</f>
        <v>0.17381342062193128</v>
      </c>
      <c r="F54" s="627" t="str">
        <f>IF(OR(E54&gt;=0.2,E54&lt;=-0.2),"超过20%","")</f>
        <v/>
      </c>
      <c r="G54" s="626">
        <f>IF(G49&lt;I49,I49/G49-1,G49/I49-1)</f>
        <v>0.12422258592471369</v>
      </c>
      <c r="H54" s="627" t="str">
        <f>IF(OR(G54&gt;=0.2,G54&lt;=-0.2),"超过20%","")</f>
        <v/>
      </c>
      <c r="I54" s="626">
        <f>IF(I49&lt;E49,E49/I49-1,I49/E49-1)</f>
        <v>4.4111224341243371E-2</v>
      </c>
      <c r="J54" s="627"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4" t="s">
        <v>560</v>
      </c>
      <c r="D55" s="628"/>
      <c r="E55" s="626">
        <f>IF(E48&lt;G48,G48/E48-1,E48/G48-1)</f>
        <v>4.4117647058823595E-2</v>
      </c>
      <c r="F55" s="627" t="str">
        <f>IF(OR(E55&gt;=0.3,E55&lt;=-0.3),"超过30%","")</f>
        <v/>
      </c>
      <c r="G55" s="626">
        <f>IF(G48&lt;I48,I48/G48-1,G48/I48-1)</f>
        <v>0.14705882352941169</v>
      </c>
      <c r="H55" s="627" t="str">
        <f>IF(OR(G55&gt;=0.3,G55&lt;=-0.3),"超过30%","")</f>
        <v/>
      </c>
      <c r="I55" s="626">
        <f>IF(I48&lt;E48,E48/I48-1,I48/E48-1)</f>
        <v>9.8591549295774739E-2</v>
      </c>
      <c r="J55" s="627"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561</v>
      </c>
      <c r="B57" s="630" t="s">
        <v>562</v>
      </c>
      <c r="C57" s="1559" t="s">
        <v>1725</v>
      </c>
      <c r="D57" s="2226" t="s">
        <v>2293</v>
      </c>
      <c r="E57" s="631" t="s">
        <v>563</v>
      </c>
      <c r="F57" s="632" t="s">
        <v>564</v>
      </c>
      <c r="G57" s="3395" t="s">
        <v>2281</v>
      </c>
      <c r="H57" s="3396"/>
      <c r="I57" s="1554" t="s">
        <v>1723</v>
      </c>
      <c r="J57" s="1554" t="str">
        <f>项目基本情况!F41</f>
        <v>四川省成都市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565</v>
      </c>
      <c r="B58" s="634">
        <f>C50</f>
        <v>6717</v>
      </c>
      <c r="C58" s="635">
        <v>1</v>
      </c>
      <c r="D58" s="2227">
        <v>1</v>
      </c>
      <c r="E58" s="635">
        <f>'数据-汇总表'!E8+'数据-汇总表'!E9</f>
        <v>204632.7</v>
      </c>
      <c r="F58" s="636">
        <f t="shared" ref="F58:F67" si="15">ROUND(B58*E58/10000,0)</f>
        <v>137452</v>
      </c>
      <c r="G58" s="3397"/>
      <c r="H58" s="3398"/>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566</v>
      </c>
      <c r="B59" s="638">
        <f>ROUND($C$50*C59*D59,0)</f>
        <v>0</v>
      </c>
      <c r="C59" s="378">
        <f t="shared" ref="C59:C67" si="16">IF($C$57="北京市系数",I59,J59)</f>
        <v>0</v>
      </c>
      <c r="D59" s="2228">
        <v>0.25</v>
      </c>
      <c r="E59" s="639">
        <v>0</v>
      </c>
      <c r="F59" s="636">
        <f t="shared" si="15"/>
        <v>0</v>
      </c>
      <c r="G59" s="3399" t="s">
        <v>2282</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567</v>
      </c>
      <c r="B60" s="638">
        <f t="shared" ref="B60:B67" si="17">ROUND($C$50*C60*D60,0)</f>
        <v>0</v>
      </c>
      <c r="C60" s="378">
        <f t="shared" si="16"/>
        <v>0</v>
      </c>
      <c r="D60" s="2228">
        <v>0.25</v>
      </c>
      <c r="E60" s="639">
        <v>0</v>
      </c>
      <c r="F60" s="636">
        <f t="shared" si="15"/>
        <v>0</v>
      </c>
      <c r="G60" s="3399"/>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568</v>
      </c>
      <c r="B61" s="638">
        <f t="shared" si="17"/>
        <v>0</v>
      </c>
      <c r="C61" s="378">
        <f t="shared" si="16"/>
        <v>0</v>
      </c>
      <c r="D61" s="2228">
        <v>0.25</v>
      </c>
      <c r="E61" s="639">
        <v>0</v>
      </c>
      <c r="F61" s="636">
        <f t="shared" si="15"/>
        <v>0</v>
      </c>
      <c r="G61" s="3399"/>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569</v>
      </c>
      <c r="B62" s="638">
        <f t="shared" si="17"/>
        <v>0</v>
      </c>
      <c r="C62" s="378">
        <f t="shared" si="16"/>
        <v>0</v>
      </c>
      <c r="D62" s="2228">
        <v>0.25</v>
      </c>
      <c r="E62" s="639">
        <v>0</v>
      </c>
      <c r="F62" s="636">
        <f t="shared" si="15"/>
        <v>0</v>
      </c>
      <c r="G62" s="3399"/>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2326</v>
      </c>
      <c r="B63" s="638">
        <f t="shared" si="17"/>
        <v>0</v>
      </c>
      <c r="C63" s="378">
        <f t="shared" si="16"/>
        <v>0</v>
      </c>
      <c r="D63" s="2228">
        <v>0.25</v>
      </c>
      <c r="E63" s="641">
        <f>'数据-汇总表'!E11</f>
        <v>0</v>
      </c>
      <c r="F63" s="636">
        <f t="shared" si="15"/>
        <v>0</v>
      </c>
      <c r="G63" s="1944" t="s">
        <v>2283</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570</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571</v>
      </c>
      <c r="B65" s="638">
        <f t="shared" si="17"/>
        <v>0</v>
      </c>
      <c r="C65" s="378">
        <f t="shared" si="16"/>
        <v>0</v>
      </c>
      <c r="D65" s="2228">
        <v>0.25</v>
      </c>
      <c r="E65" s="641">
        <f>'数据-汇总表'!E13</f>
        <v>0</v>
      </c>
      <c r="F65" s="636">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572</v>
      </c>
      <c r="B66" s="638">
        <f t="shared" si="17"/>
        <v>0</v>
      </c>
      <c r="C66" s="378">
        <f t="shared" si="16"/>
        <v>0</v>
      </c>
      <c r="D66" s="2228">
        <v>0.25</v>
      </c>
      <c r="E66" s="641">
        <f>'数据-汇总表'!E14</f>
        <v>0</v>
      </c>
      <c r="F66" s="636">
        <f t="shared" si="15"/>
        <v>0</v>
      </c>
      <c r="G66" s="1944" t="s">
        <v>2282</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573</v>
      </c>
      <c r="B67" s="638">
        <f t="shared" si="17"/>
        <v>0</v>
      </c>
      <c r="C67" s="378">
        <f t="shared" si="16"/>
        <v>0</v>
      </c>
      <c r="D67" s="2228">
        <v>0.25</v>
      </c>
      <c r="E67" s="641">
        <f>'数据-汇总表'!E15</f>
        <v>0</v>
      </c>
      <c r="F67" s="636">
        <f t="shared" si="15"/>
        <v>0</v>
      </c>
      <c r="G67" s="1946" t="s">
        <v>2283</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574</v>
      </c>
      <c r="B68" s="643" t="s">
        <v>17</v>
      </c>
      <c r="C68" s="643" t="s">
        <v>18</v>
      </c>
      <c r="D68" s="643" t="s">
        <v>2294</v>
      </c>
      <c r="E68" s="643">
        <f>IF(B48="楼面地价",SUM(E58:E67),'数据-汇总表'!D3)</f>
        <v>204632.7</v>
      </c>
      <c r="F68" s="644">
        <f>IF(B48="楼面地价",SUM(F58:F67),ROUND(C50*E68/10000,0))</f>
        <v>137452</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4" t="str">
        <f>YEAR(C9)&amp;"-"&amp;MONTH(C9)&amp;"-1"</f>
        <v>2017-11-1</v>
      </c>
      <c r="D70" s="2824">
        <f>EDATE(C70,-3)</f>
        <v>42948</v>
      </c>
      <c r="E70" s="2824">
        <f t="shared" ref="E70:N70" si="18">EDATE(D70,-3)</f>
        <v>42856</v>
      </c>
      <c r="F70" s="2824">
        <f t="shared" si="18"/>
        <v>42767</v>
      </c>
      <c r="G70" s="2824">
        <f t="shared" si="18"/>
        <v>42675</v>
      </c>
      <c r="H70" s="2824">
        <f t="shared" si="18"/>
        <v>42583</v>
      </c>
      <c r="I70" s="2824">
        <f t="shared" si="18"/>
        <v>42491</v>
      </c>
      <c r="J70" s="2824">
        <f t="shared" si="18"/>
        <v>42401</v>
      </c>
      <c r="K70" s="2824">
        <f t="shared" si="18"/>
        <v>42309</v>
      </c>
      <c r="L70" s="2824">
        <f t="shared" si="18"/>
        <v>42217</v>
      </c>
      <c r="M70" s="2824">
        <f t="shared" si="18"/>
        <v>42125</v>
      </c>
      <c r="N70" s="2824">
        <f t="shared" si="18"/>
        <v>42036</v>
      </c>
      <c r="O70" s="2144"/>
      <c r="P70" s="2144"/>
      <c r="Q70" s="2144"/>
      <c r="R70" s="2144"/>
      <c r="S70" s="2144"/>
      <c r="T70" s="2144"/>
      <c r="U70" s="2144"/>
      <c r="V70" s="2144"/>
      <c r="W70" s="2144"/>
      <c r="X70" s="2144"/>
      <c r="Y70" s="2144"/>
      <c r="Z70" s="2144"/>
      <c r="AA70" s="2144"/>
      <c r="AB70" s="2144"/>
      <c r="AC70" s="2144"/>
    </row>
    <row r="71" spans="1:29" ht="21.75" thickBot="1">
      <c r="A71" s="1583" t="s">
        <v>575</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91" t="s">
        <v>2532</v>
      </c>
      <c r="B72" s="2592"/>
      <c r="C72" s="2819" t="str">
        <f>YEAR(C70)&amp;"-"&amp;ROUNDUP(MONTH(C70)/3,0)</f>
        <v>2017-4</v>
      </c>
      <c r="D72" s="2826" t="str">
        <f>YEAR(D70)&amp;"-"&amp;ROUNDUP(MONTH(D70)/3,0)</f>
        <v>2017-3</v>
      </c>
      <c r="E72" s="2826" t="str">
        <f t="shared" ref="E72:N72" si="19">YEAR(E70)&amp;"-"&amp;ROUNDUP(MONTH(E70)/3,0)</f>
        <v>2017-2</v>
      </c>
      <c r="F72" s="2826" t="str">
        <f t="shared" si="19"/>
        <v>2017-1</v>
      </c>
      <c r="G72" s="2826" t="str">
        <f t="shared" si="19"/>
        <v>2016-4</v>
      </c>
      <c r="H72" s="2826" t="str">
        <f t="shared" si="19"/>
        <v>2016-3</v>
      </c>
      <c r="I72" s="2826" t="str">
        <f t="shared" si="19"/>
        <v>2016-2</v>
      </c>
      <c r="J72" s="2826" t="str">
        <f t="shared" si="19"/>
        <v>2016-1</v>
      </c>
      <c r="K72" s="2826" t="str">
        <f t="shared" si="19"/>
        <v>2015-4</v>
      </c>
      <c r="L72" s="2826" t="str">
        <f t="shared" si="19"/>
        <v>2015-3</v>
      </c>
      <c r="M72" s="2826" t="str">
        <f t="shared" si="19"/>
        <v>2015-2</v>
      </c>
      <c r="N72" s="2826" t="str">
        <f t="shared" si="19"/>
        <v>2015-1</v>
      </c>
      <c r="O72" s="2158"/>
      <c r="P72" s="2159"/>
      <c r="Q72" s="2160"/>
      <c r="R72" s="2160"/>
      <c r="S72" s="2160"/>
      <c r="T72" s="2160"/>
      <c r="U72" s="2160"/>
      <c r="V72" s="2160"/>
      <c r="W72" s="2160"/>
      <c r="X72" s="2160"/>
      <c r="Y72" s="2160"/>
      <c r="Z72" s="2160"/>
      <c r="AA72" s="2160"/>
      <c r="AB72" s="2160"/>
      <c r="AC72" s="2160"/>
    </row>
    <row r="73" spans="1:29" s="1219" customFormat="1" ht="27" customHeight="1">
      <c r="A73" s="2831" t="s">
        <v>923</v>
      </c>
      <c r="B73" s="479" t="str">
        <f>"北京市平均增长率"&amp;TEXT(SUMIF(基准地价!N21:N25,A73,基准地价!P21:P25),"0.00%")</f>
        <v>北京市平均增长率2.78%</v>
      </c>
      <c r="C73" s="894">
        <v>100</v>
      </c>
      <c r="D73" s="730">
        <v>99</v>
      </c>
      <c r="E73" s="730">
        <v>98</v>
      </c>
      <c r="F73" s="730">
        <v>97</v>
      </c>
      <c r="G73" s="730">
        <v>96</v>
      </c>
      <c r="H73" s="730">
        <v>95</v>
      </c>
      <c r="I73" s="730">
        <v>94</v>
      </c>
      <c r="J73" s="730"/>
      <c r="K73" s="730"/>
      <c r="L73" s="730"/>
      <c r="M73" s="2817"/>
      <c r="N73" s="2818"/>
      <c r="O73" s="2161"/>
      <c r="P73" s="2157"/>
      <c r="Q73" s="1992"/>
      <c r="R73" s="1992"/>
      <c r="S73" s="1992"/>
      <c r="T73" s="1992"/>
      <c r="U73" s="1992"/>
      <c r="V73" s="1992"/>
      <c r="W73" s="1992"/>
      <c r="X73" s="1992"/>
      <c r="Y73" s="1992"/>
      <c r="Z73" s="1992"/>
      <c r="AA73" s="1992"/>
      <c r="AB73" s="1992"/>
      <c r="AC73" s="1992"/>
    </row>
    <row r="74" spans="1:29" s="1219" customFormat="1" ht="15" customHeight="1" thickBot="1">
      <c r="A74" s="2821" t="s">
        <v>2648</v>
      </c>
      <c r="B74" s="2830"/>
      <c r="C74" s="2815"/>
      <c r="D74" s="2816"/>
      <c r="E74" s="2816"/>
      <c r="F74" s="2816"/>
      <c r="G74" s="2816"/>
      <c r="H74" s="2816"/>
      <c r="I74" s="2816"/>
      <c r="J74" s="2816"/>
      <c r="K74" s="2816"/>
      <c r="L74" s="2816"/>
      <c r="M74" s="2816"/>
      <c r="N74" s="2816"/>
      <c r="O74" s="2161"/>
      <c r="P74" s="2157"/>
      <c r="Q74" s="2157"/>
      <c r="R74" s="1992"/>
      <c r="S74" s="1992"/>
      <c r="T74" s="1992"/>
      <c r="U74" s="1992"/>
      <c r="V74" s="1992"/>
      <c r="W74" s="1992"/>
      <c r="X74" s="1992"/>
      <c r="Y74" s="1992"/>
      <c r="Z74" s="1992"/>
      <c r="AA74" s="1992"/>
      <c r="AB74" s="1992"/>
      <c r="AC74" s="1992"/>
    </row>
    <row r="75" spans="1:29" s="1219" customFormat="1" ht="15">
      <c r="A75" s="659" t="s">
        <v>532</v>
      </c>
      <c r="B75" s="648"/>
      <c r="C75" s="660" t="s">
        <v>577</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ht="27">
      <c r="A77" s="664" t="s">
        <v>578</v>
      </c>
      <c r="B77" s="665" t="s">
        <v>535</v>
      </c>
      <c r="C77" s="3175" t="s">
        <v>3026</v>
      </c>
      <c r="D77" s="3175" t="s">
        <v>3066</v>
      </c>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v>100</v>
      </c>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538</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539</v>
      </c>
      <c r="C81" s="682" t="str">
        <f>C82&amp;"（含）"&amp;"-"&amp;D82</f>
        <v>0（含）-2</v>
      </c>
      <c r="D81" s="682" t="str">
        <f t="shared" ref="D81:L81" si="20">D82&amp;"（含）"&amp;"-"&amp;E82</f>
        <v>2（含）-4</v>
      </c>
      <c r="E81" s="682" t="str">
        <f t="shared" si="20"/>
        <v>4（含）-6</v>
      </c>
      <c r="F81" s="682" t="str">
        <f t="shared" si="20"/>
        <v>6（含）-8</v>
      </c>
      <c r="G81" s="682" t="str">
        <f t="shared" si="20"/>
        <v>8（含）-</v>
      </c>
      <c r="H81" s="682" t="str">
        <f t="shared" si="20"/>
        <v>（含）-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2</v>
      </c>
      <c r="E82" s="541">
        <v>4</v>
      </c>
      <c r="F82" s="541">
        <v>6</v>
      </c>
      <c r="G82" s="541">
        <v>8</v>
      </c>
      <c r="H82" s="541"/>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5"/>
      <c r="O83" s="2165"/>
      <c r="P83" s="2164"/>
      <c r="Q83" s="2157"/>
      <c r="R83" s="2144"/>
      <c r="S83" s="2144"/>
      <c r="T83" s="2144"/>
      <c r="U83" s="2144"/>
      <c r="V83" s="2144"/>
      <c r="W83" s="2144"/>
      <c r="X83" s="2144"/>
      <c r="Y83" s="2144"/>
      <c r="Z83" s="2144"/>
      <c r="AA83" s="2144"/>
      <c r="AB83" s="2144"/>
      <c r="AC83" s="2144"/>
    </row>
    <row r="84" spans="1:29" s="1338" customFormat="1" ht="15.75" hidden="1" thickTop="1">
      <c r="A84" s="687"/>
      <c r="B84" s="673" t="str">
        <f>B14</f>
        <v>配建</v>
      </c>
      <c r="C84" s="688"/>
      <c r="D84" s="1374"/>
      <c r="E84" s="1375"/>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hidden="1"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hidden="1"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hidden="1"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hidden="1"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hidden="1"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ht="15" thickTop="1">
      <c r="A90" s="664" t="s">
        <v>540</v>
      </c>
      <c r="B90" s="665" t="s">
        <v>579</v>
      </c>
      <c r="C90" s="703" t="s">
        <v>580</v>
      </c>
      <c r="D90" s="703" t="s">
        <v>581</v>
      </c>
      <c r="E90" s="703" t="s">
        <v>582</v>
      </c>
      <c r="F90" s="703" t="s">
        <v>583</v>
      </c>
      <c r="G90" s="703" t="s">
        <v>584</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95</v>
      </c>
      <c r="E91" s="679">
        <f>D91-$K17</f>
        <v>90</v>
      </c>
      <c r="F91" s="679">
        <f>E91-$K17</f>
        <v>85</v>
      </c>
      <c r="G91" s="679">
        <f>F91-$K17</f>
        <v>80</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585</v>
      </c>
      <c r="C92" s="708" t="s">
        <v>580</v>
      </c>
      <c r="D92" s="708" t="s">
        <v>581</v>
      </c>
      <c r="E92" s="708" t="s">
        <v>582</v>
      </c>
      <c r="F92" s="708" t="s">
        <v>583</v>
      </c>
      <c r="G92" s="708" t="s">
        <v>584</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97</v>
      </c>
      <c r="E93" s="679">
        <f>D93-$K19</f>
        <v>94</v>
      </c>
      <c r="F93" s="679">
        <f>E93-$K19</f>
        <v>91</v>
      </c>
      <c r="G93" s="679">
        <f>F93-$K19</f>
        <v>88</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586</v>
      </c>
      <c r="C94" s="708" t="s">
        <v>580</v>
      </c>
      <c r="D94" s="708" t="s">
        <v>581</v>
      </c>
      <c r="E94" s="708" t="s">
        <v>582</v>
      </c>
      <c r="F94" s="708" t="s">
        <v>583</v>
      </c>
      <c r="G94" s="708" t="s">
        <v>584</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587</v>
      </c>
      <c r="C96" s="708" t="s">
        <v>580</v>
      </c>
      <c r="D96" s="708" t="s">
        <v>581</v>
      </c>
      <c r="E96" s="708" t="s">
        <v>582</v>
      </c>
      <c r="F96" s="708" t="s">
        <v>583</v>
      </c>
      <c r="G96" s="708" t="s">
        <v>584</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98</v>
      </c>
      <c r="E97" s="679">
        <f>D97-$K23</f>
        <v>96</v>
      </c>
      <c r="F97" s="679">
        <f>E97-$K23</f>
        <v>94</v>
      </c>
      <c r="G97" s="679">
        <f>F97-$K23</f>
        <v>92</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588</v>
      </c>
      <c r="C98" s="708" t="s">
        <v>580</v>
      </c>
      <c r="D98" s="708" t="s">
        <v>581</v>
      </c>
      <c r="E98" s="708" t="s">
        <v>582</v>
      </c>
      <c r="F98" s="708" t="s">
        <v>583</v>
      </c>
      <c r="G98" s="708" t="s">
        <v>584</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100</v>
      </c>
      <c r="E99" s="679">
        <f>D99-$K25</f>
        <v>100</v>
      </c>
      <c r="F99" s="679">
        <f>E99-$K25</f>
        <v>100</v>
      </c>
      <c r="G99" s="679">
        <f>F99-$K25</f>
        <v>100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589</v>
      </c>
      <c r="C100" s="703" t="s">
        <v>580</v>
      </c>
      <c r="D100" s="703" t="s">
        <v>581</v>
      </c>
      <c r="E100" s="703" t="s">
        <v>582</v>
      </c>
      <c r="F100" s="703" t="s">
        <v>583</v>
      </c>
      <c r="G100" s="703" t="s">
        <v>584</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2548</v>
      </c>
      <c r="C102" s="703" t="s">
        <v>580</v>
      </c>
      <c r="D102" s="703" t="s">
        <v>581</v>
      </c>
      <c r="E102" s="703" t="s">
        <v>582</v>
      </c>
      <c r="F102" s="703" t="s">
        <v>583</v>
      </c>
      <c r="G102" s="703" t="s">
        <v>584</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620" t="s">
        <v>2550</v>
      </c>
      <c r="C104" s="2621" t="s">
        <v>2551</v>
      </c>
      <c r="D104" s="2621" t="s">
        <v>2552</v>
      </c>
      <c r="E104" s="2621" t="s">
        <v>2553</v>
      </c>
      <c r="F104" s="2621" t="s">
        <v>2554</v>
      </c>
      <c r="G104" s="2621" t="s">
        <v>2555</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3"/>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549</v>
      </c>
      <c r="C108" s="3176" t="s">
        <v>3027</v>
      </c>
      <c r="D108" s="3176" t="s">
        <v>3028</v>
      </c>
      <c r="E108" s="3176" t="s">
        <v>3030</v>
      </c>
      <c r="F108" s="3176" t="s">
        <v>3031</v>
      </c>
      <c r="G108" s="3176" t="s">
        <v>3032</v>
      </c>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hidden="1" thickTop="1">
      <c r="A110" s="669"/>
      <c r="B110" s="673" t="s">
        <v>550</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hidden="1"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hidden="1"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hidden="1"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hidden="1"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hidden="1"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hidden="1"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hidden="1"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9.25" thickTop="1">
      <c r="A118" s="664" t="s">
        <v>552</v>
      </c>
      <c r="B118" s="665" t="s">
        <v>594</v>
      </c>
      <c r="C118" s="704" t="str">
        <f t="shared" ref="C118:L118" si="25">C119&amp;"(含)"&amp;"-"&amp;D119</f>
        <v>0(含)-100000</v>
      </c>
      <c r="D118" s="704" t="str">
        <f t="shared" si="25"/>
        <v>100000(含)-200000</v>
      </c>
      <c r="E118" s="704" t="str">
        <f t="shared" si="25"/>
        <v>200000(含)-300000</v>
      </c>
      <c r="F118" s="704" t="str">
        <f t="shared" si="25"/>
        <v>300000(含)-400000</v>
      </c>
      <c r="G118" s="704" t="str">
        <f t="shared" si="25"/>
        <v>400000(含)-500000</v>
      </c>
      <c r="H118" s="704" t="str">
        <f t="shared" si="25"/>
        <v>500000(含)-</v>
      </c>
      <c r="I118" s="704" t="str">
        <f t="shared" si="25"/>
        <v>(含)-</v>
      </c>
      <c r="J118" s="3118" t="str">
        <f t="shared" si="25"/>
        <v>(含)-</v>
      </c>
      <c r="K118" s="3118" t="str">
        <f t="shared" si="25"/>
        <v>(含)-</v>
      </c>
      <c r="L118" s="3119" t="str">
        <f t="shared" si="25"/>
        <v>(含)-</v>
      </c>
      <c r="M118" s="3120"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100000</v>
      </c>
      <c r="E119" s="730">
        <v>200000</v>
      </c>
      <c r="F119" s="730">
        <v>300000</v>
      </c>
      <c r="G119" s="730">
        <v>400000</v>
      </c>
      <c r="H119" s="730">
        <v>500000</v>
      </c>
      <c r="I119" s="730"/>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101</v>
      </c>
      <c r="E120" s="726">
        <v>102</v>
      </c>
      <c r="F120" s="726">
        <v>103</v>
      </c>
      <c r="G120" s="726">
        <v>104</v>
      </c>
      <c r="H120" s="726">
        <v>105</v>
      </c>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595</v>
      </c>
      <c r="C121" s="3177" t="s">
        <v>3034</v>
      </c>
      <c r="D121" s="3177" t="s">
        <v>3036</v>
      </c>
      <c r="E121" s="3177" t="s">
        <v>3037</v>
      </c>
      <c r="F121" s="3177" t="s">
        <v>3038</v>
      </c>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95</v>
      </c>
      <c r="E122" s="679">
        <f t="shared" si="26"/>
        <v>90</v>
      </c>
      <c r="F122" s="679">
        <f t="shared" si="26"/>
        <v>85</v>
      </c>
      <c r="G122" s="679">
        <f t="shared" si="26"/>
        <v>80</v>
      </c>
      <c r="H122" s="679">
        <f t="shared" si="26"/>
        <v>75</v>
      </c>
      <c r="I122" s="679">
        <f t="shared" si="26"/>
        <v>70</v>
      </c>
      <c r="J122" s="679">
        <f t="shared" si="26"/>
        <v>65</v>
      </c>
      <c r="K122" s="679">
        <f t="shared" si="26"/>
        <v>60</v>
      </c>
      <c r="L122" s="679">
        <f t="shared" si="26"/>
        <v>55</v>
      </c>
      <c r="M122" s="680">
        <f t="shared" si="26"/>
        <v>50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596</v>
      </c>
      <c r="C123" s="3176" t="s">
        <v>3040</v>
      </c>
      <c r="D123" s="3176" t="s">
        <v>3042</v>
      </c>
      <c r="E123" s="3176" t="s">
        <v>3044</v>
      </c>
      <c r="F123" s="3177" t="s">
        <v>3045</v>
      </c>
      <c r="G123" s="3177" t="s">
        <v>3046</v>
      </c>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2423</v>
      </c>
      <c r="C125" s="1374" t="s">
        <v>3047</v>
      </c>
      <c r="D125" s="1374" t="s">
        <v>3049</v>
      </c>
      <c r="E125" s="1374" t="s">
        <v>3050</v>
      </c>
      <c r="F125" s="1374" t="s">
        <v>3051</v>
      </c>
      <c r="G125" s="1374" t="s">
        <v>3052</v>
      </c>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597</v>
      </c>
      <c r="C127" s="3176" t="s">
        <v>3040</v>
      </c>
      <c r="D127" s="3176" t="s">
        <v>3042</v>
      </c>
      <c r="E127" s="3176" t="s">
        <v>3044</v>
      </c>
      <c r="F127" s="3177" t="s">
        <v>3045</v>
      </c>
      <c r="G127" s="3177" t="s">
        <v>3046</v>
      </c>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5"/>
      <c r="O128" s="2165"/>
      <c r="P128" s="2164"/>
      <c r="Q128" s="2157"/>
      <c r="R128" s="2144"/>
      <c r="S128" s="2144"/>
      <c r="T128" s="2144"/>
      <c r="U128" s="2144"/>
      <c r="V128" s="2144"/>
      <c r="W128" s="2144"/>
      <c r="X128" s="2144"/>
      <c r="Y128" s="2144"/>
      <c r="Z128" s="2144"/>
      <c r="AA128" s="2144"/>
      <c r="AB128" s="2144"/>
      <c r="AC128" s="2144"/>
    </row>
    <row r="129" spans="1:29" ht="15" hidden="1"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hidden="1"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hidden="1"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hidden="1"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hidden="1"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hidden="1"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ht="15" thickTop="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N26" sqref="N26"/>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34"/>
      <c r="C1" s="2103"/>
      <c r="D1" s="2103"/>
      <c r="E1" s="2103"/>
      <c r="F1" s="2103"/>
      <c r="G1" s="2103"/>
      <c r="H1" s="2103"/>
      <c r="I1" s="2103"/>
      <c r="J1" s="2103"/>
      <c r="K1" s="422">
        <f>MATCH(B1,'数据-取费表'!A6:A16,0)+5</f>
        <v>10</v>
      </c>
    </row>
    <row r="2" spans="1:31" s="2040" customFormat="1" ht="18" customHeight="1">
      <c r="A2" s="2100" t="s">
        <v>467</v>
      </c>
      <c r="B2" s="2104">
        <f ca="1">C36</f>
        <v>109862</v>
      </c>
      <c r="C2" s="2103"/>
      <c r="D2" s="2103"/>
      <c r="E2" s="2103"/>
      <c r="F2" s="2103"/>
      <c r="G2" s="2103"/>
      <c r="H2" s="2103"/>
      <c r="I2" s="2103"/>
      <c r="J2" s="2103"/>
      <c r="K2" s="2103"/>
    </row>
    <row r="3" spans="1:31" s="2040" customFormat="1" ht="18" customHeight="1">
      <c r="A3" s="2105" t="s">
        <v>1685</v>
      </c>
      <c r="B3" s="2106">
        <f ca="1">ROUND(B2*10000/IF(B1="",'数据-汇总表'!E3,INDIRECT("'数据-取费表'!K"&amp;$K$1)),0)</f>
        <v>5369</v>
      </c>
      <c r="C3" s="2103"/>
      <c r="D3" s="2103"/>
      <c r="E3" s="2103"/>
      <c r="F3" s="2103"/>
      <c r="G3" s="2103"/>
      <c r="H3" s="2103"/>
      <c r="I3" s="2103"/>
      <c r="J3" s="2103"/>
      <c r="K3" s="2103"/>
    </row>
    <row r="4" spans="1:31" s="2040" customFormat="1" ht="18" customHeight="1">
      <c r="A4" s="426" t="s">
        <v>468</v>
      </c>
      <c r="B4" s="427">
        <f ca="1">ROUND(B2*10000/IF(B1="",'数据-汇总表'!D3,INDIRECT("'数据-取费表'!R"&amp;$K$1)),0)</f>
        <v>13422</v>
      </c>
      <c r="C4" s="428"/>
      <c r="D4" s="422"/>
      <c r="E4" s="422"/>
      <c r="F4" s="422"/>
      <c r="G4" s="422"/>
      <c r="H4" s="422"/>
      <c r="I4" s="422"/>
      <c r="J4" s="422"/>
      <c r="K4" s="422"/>
    </row>
    <row r="5" spans="1:31" s="2040" customFormat="1" ht="18" customHeight="1" thickBot="1">
      <c r="A5" s="429"/>
      <c r="B5" s="430">
        <f ca="1">ROUND(B2/(IF(B1="",'数据-汇总表'!D3,INDIRECT("'数据-取费表'!R"&amp;$K$1))/666.67),0)</f>
        <v>895</v>
      </c>
      <c r="C5" s="431" t="s">
        <v>469</v>
      </c>
      <c r="D5" s="422"/>
      <c r="E5" s="422"/>
      <c r="F5" s="422"/>
      <c r="G5" s="422"/>
      <c r="H5" s="422"/>
      <c r="I5" s="422"/>
      <c r="J5" s="422"/>
      <c r="K5" s="422"/>
    </row>
    <row r="6" spans="1:31" s="2110" customFormat="1" ht="16.5" customHeight="1">
      <c r="A6" s="2853" t="s">
        <v>1843</v>
      </c>
      <c r="B6" s="2854"/>
      <c r="C6" s="2855">
        <f ca="1">SUM(C10:K10)</f>
        <v>212055</v>
      </c>
      <c r="D6" s="2854"/>
      <c r="E6" s="2854"/>
      <c r="F6" s="2854"/>
      <c r="G6" s="2854"/>
      <c r="H6" s="2854"/>
      <c r="I6" s="2854"/>
      <c r="J6" s="2854"/>
      <c r="K6" s="2856"/>
    </row>
    <row r="7" spans="1:31" s="2112" customFormat="1" ht="15">
      <c r="A7" s="2857" t="s">
        <v>470</v>
      </c>
      <c r="B7" s="2858" t="s">
        <v>471</v>
      </c>
      <c r="C7" s="436" t="s">
        <v>923</v>
      </c>
      <c r="D7" s="436" t="s">
        <v>3005</v>
      </c>
      <c r="E7" s="436" t="s">
        <v>3009</v>
      </c>
      <c r="F7" s="436" t="s">
        <v>1678</v>
      </c>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59">
        <f>'不动产比较法-住宅'!B3</f>
        <v>9172</v>
      </c>
      <c r="D8" s="2859">
        <f>'不动产比较法-商业'!B3</f>
        <v>27232</v>
      </c>
      <c r="E8" s="2859">
        <f>典型户型修正!R22</f>
        <v>16067</v>
      </c>
      <c r="F8" s="2859">
        <f>'不动产比较法-办公'!B3</f>
        <v>6686</v>
      </c>
      <c r="G8" s="2859"/>
      <c r="H8" s="2859"/>
      <c r="I8" s="2859"/>
      <c r="J8" s="2859"/>
      <c r="K8" s="2860"/>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163706.16</v>
      </c>
      <c r="D9" s="441">
        <f>SUMIF('数据-汇总表'!$C19:$C33,'剩余法-待开发'!D7,'数据-汇总表'!$E19:$E33)</f>
        <v>10926.54</v>
      </c>
      <c r="E9" s="441">
        <f>SUMIF('数据-汇总表'!$C19:$C33,'剩余法-待开发'!E7,'数据-汇总表'!$E19:$E33)</f>
        <v>15000</v>
      </c>
      <c r="F9" s="441">
        <f>SUMIF('数据-汇总表'!$C19:$C33,'剩余法-待开发'!F7,'数据-汇总表'!$E19:$E33)</f>
        <v>15000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61" t="s">
        <v>1848</v>
      </c>
      <c r="B10" s="2847" t="s">
        <v>474</v>
      </c>
      <c r="C10" s="3054">
        <f>'不动产比较法-住宅'!B2</f>
        <v>150151</v>
      </c>
      <c r="D10" s="3054">
        <f ca="1">不动产收益法!B2</f>
        <v>27774</v>
      </c>
      <c r="E10" s="3054">
        <f>典型户型修正!S22</f>
        <v>24101</v>
      </c>
      <c r="F10" s="2862">
        <f>'不动产比较法-办公'!B2</f>
        <v>10029</v>
      </c>
      <c r="G10" s="2862"/>
      <c r="H10" s="2862"/>
      <c r="I10" s="2862"/>
      <c r="J10" s="2862"/>
      <c r="K10" s="2863"/>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4" t="s">
        <v>1844</v>
      </c>
      <c r="B11" s="2854"/>
      <c r="C11" s="2854"/>
      <c r="D11" s="2854"/>
      <c r="E11" s="2854"/>
      <c r="F11" s="2854"/>
      <c r="G11" s="2854"/>
      <c r="H11" s="2854"/>
      <c r="I11" s="2854"/>
      <c r="J11" s="2854"/>
      <c r="K11" s="2856"/>
    </row>
    <row r="12" spans="1:31" s="2084" customFormat="1" ht="13.5" customHeight="1">
      <c r="A12" s="2865" t="s">
        <v>470</v>
      </c>
      <c r="B12" s="2837" t="s">
        <v>471</v>
      </c>
      <c r="C12" s="2866" t="s">
        <v>475</v>
      </c>
      <c r="D12" s="2833" t="s">
        <v>476</v>
      </c>
      <c r="E12" s="2833" t="s">
        <v>477</v>
      </c>
      <c r="F12" s="2833" t="s">
        <v>478</v>
      </c>
      <c r="G12" s="2837"/>
      <c r="H12" s="2838"/>
      <c r="I12" s="2838"/>
      <c r="J12" s="2838"/>
      <c r="K12" s="2839"/>
    </row>
    <row r="13" spans="1:31" s="2115" customFormat="1" ht="13.5" customHeight="1">
      <c r="A13" s="2867" t="s">
        <v>1849</v>
      </c>
      <c r="B13" s="2868" t="s">
        <v>479</v>
      </c>
      <c r="C13" s="450">
        <f ca="1">IF(B1="",'数据-取费表'!P16,INDIRECT("'数据-取费表'!p"&amp;$K$1)+INDIRECT("'数据-取费表'!t"&amp;$K$1))</f>
        <v>35060</v>
      </c>
      <c r="D13" s="2869"/>
      <c r="E13" s="2870"/>
      <c r="F13" s="2871"/>
      <c r="G13" s="2837"/>
      <c r="H13" s="2838"/>
      <c r="I13" s="2838"/>
      <c r="J13" s="2838"/>
      <c r="K13" s="2839"/>
    </row>
    <row r="14" spans="1:31" s="2115" customFormat="1" ht="13.5" customHeight="1">
      <c r="A14" s="2867" t="s">
        <v>1850</v>
      </c>
      <c r="B14" s="2868" t="s">
        <v>480</v>
      </c>
      <c r="C14" s="53">
        <f ca="1">ROUND(C13*F14,0)</f>
        <v>1052</v>
      </c>
      <c r="D14" s="2869"/>
      <c r="E14" s="2870"/>
      <c r="F14" s="2872">
        <f>'数据-取费表'!B33</f>
        <v>0.03</v>
      </c>
      <c r="G14" s="2837" t="s">
        <v>481</v>
      </c>
      <c r="H14" s="2838"/>
      <c r="I14" s="2838"/>
      <c r="J14" s="2838"/>
      <c r="K14" s="2839"/>
    </row>
    <row r="15" spans="1:31" s="2115" customFormat="1" ht="13.5" customHeight="1">
      <c r="A15" s="2867" t="s">
        <v>1851</v>
      </c>
      <c r="B15" s="2868" t="s">
        <v>482</v>
      </c>
      <c r="C15" s="53">
        <f ca="1">ROUND(IF(B1="",SUMIF('数据-取费表'!C:C,"住宅",'数据-取费表'!P:P)*F15,IF(INDIRECT("'数据-取费表'!c"&amp;$K$1)="住宅",INDIRECT("'数据-取费表'!P"&amp;$K$1)*F15,0)),0)</f>
        <v>1310</v>
      </c>
      <c r="D15" s="2869"/>
      <c r="E15" s="2870"/>
      <c r="F15" s="2872">
        <f>'数据-取费表'!B34</f>
        <v>0.05</v>
      </c>
      <c r="G15" s="2837" t="s">
        <v>483</v>
      </c>
      <c r="H15" s="2838"/>
      <c r="I15" s="2838"/>
      <c r="J15" s="2838"/>
      <c r="K15" s="2839"/>
    </row>
    <row r="16" spans="1:31" s="2116" customFormat="1" ht="13.5" customHeight="1">
      <c r="A16" s="2867" t="s">
        <v>1852</v>
      </c>
      <c r="B16" s="2868" t="s">
        <v>484</v>
      </c>
      <c r="C16" s="53">
        <f ca="1">ROUND(D16*E16/10000,0)</f>
        <v>4093</v>
      </c>
      <c r="D16" s="2869">
        <f ca="1">IF(B1="",'数据-汇总表'!E3,INDIRECT("'数据-取费表'!K"&amp;$K$1)+INDIRECT("'数据-取费表'!S"&amp;$K$1))</f>
        <v>204632.7</v>
      </c>
      <c r="E16" s="53">
        <f>'数据-取费表'!B35</f>
        <v>200</v>
      </c>
      <c r="F16" s="2872"/>
      <c r="G16" s="2837"/>
      <c r="H16" s="2838"/>
      <c r="I16" s="2838"/>
      <c r="J16" s="2838"/>
      <c r="K16" s="2839"/>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7" t="s">
        <v>1853</v>
      </c>
      <c r="B17" s="2868" t="s">
        <v>485</v>
      </c>
      <c r="C17" s="2873">
        <f ca="1">ROUND(C13*F17,0)</f>
        <v>526</v>
      </c>
      <c r="D17" s="475"/>
      <c r="E17" s="2873"/>
      <c r="F17" s="2874">
        <f>'数据-取费表'!B36</f>
        <v>1.4999999999999999E-2</v>
      </c>
      <c r="G17" s="261" t="s">
        <v>486</v>
      </c>
      <c r="H17" s="2840"/>
      <c r="I17" s="2840"/>
      <c r="J17" s="2840"/>
      <c r="K17" s="279"/>
    </row>
    <row r="18" spans="1:14" s="2115" customFormat="1" ht="13.5" customHeight="1">
      <c r="A18" s="2875" t="s">
        <v>1854</v>
      </c>
      <c r="B18" s="2876" t="s">
        <v>487</v>
      </c>
      <c r="C18" s="2877">
        <f ca="1">SUM(C13:C17)</f>
        <v>42041</v>
      </c>
      <c r="D18" s="2878"/>
      <c r="E18" s="468"/>
      <c r="F18" s="468"/>
      <c r="G18" s="2841" t="s">
        <v>2428</v>
      </c>
      <c r="H18" s="2842"/>
      <c r="I18" s="2842"/>
      <c r="J18" s="2842"/>
      <c r="K18" s="2843"/>
    </row>
    <row r="19" spans="1:14" s="2115" customFormat="1" ht="13.5" customHeight="1">
      <c r="A19" s="2875" t="s">
        <v>1855</v>
      </c>
      <c r="B19" s="2876" t="s">
        <v>488</v>
      </c>
      <c r="C19" s="2833">
        <f ca="1">ROUND(D19*E19/10000,0)</f>
        <v>0</v>
      </c>
      <c r="D19" s="2879">
        <f ca="1">D16</f>
        <v>204632.7</v>
      </c>
      <c r="E19" s="2833">
        <f>'数据-取费表'!B32</f>
        <v>0</v>
      </c>
      <c r="F19" s="468"/>
      <c r="G19" s="2837" t="s">
        <v>489</v>
      </c>
      <c r="H19" s="2838"/>
      <c r="I19" s="2842"/>
      <c r="J19" s="2842"/>
      <c r="K19" s="2843"/>
    </row>
    <row r="20" spans="1:14" s="2115" customFormat="1" ht="13.5" customHeight="1">
      <c r="A20" s="2875" t="s">
        <v>1856</v>
      </c>
      <c r="B20" s="2876" t="s">
        <v>490</v>
      </c>
      <c r="C20" s="2833">
        <f ca="1">C21+C22-IF(B1="",'数据-取费表'!B29,IF(G20="已全部缴纳",C21+C22,H20))</f>
        <v>2455</v>
      </c>
      <c r="D20" s="2879"/>
      <c r="E20" s="2833"/>
      <c r="F20" s="2880"/>
      <c r="G20" s="3114"/>
      <c r="H20" s="2835"/>
      <c r="I20" s="2836" t="s">
        <v>2652</v>
      </c>
      <c r="J20" s="2842"/>
      <c r="K20" s="2843"/>
    </row>
    <row r="21" spans="1:14" s="2115" customFormat="1" ht="13.5" customHeight="1">
      <c r="A21" s="2867" t="s">
        <v>1857</v>
      </c>
      <c r="B21" s="2868" t="s">
        <v>491</v>
      </c>
      <c r="C21" s="53">
        <f ca="1">ROUND(D21*E21/10000,0)</f>
        <v>1964</v>
      </c>
      <c r="D21" s="2869">
        <f ca="1">IF(B1="",'数据-汇总表'!E5,IF(INDIRECT("'数据-取费表'!c"&amp;$K$1)="住宅",INDIRECT("'数据-取费表'!k"&amp;$K$1),0))</f>
        <v>163706.16</v>
      </c>
      <c r="E21" s="53">
        <f>'数据-取费表'!B27</f>
        <v>120</v>
      </c>
      <c r="F21" s="2872"/>
      <c r="G21" s="26"/>
      <c r="H21" s="51"/>
      <c r="I21" s="51"/>
      <c r="J21" s="51"/>
      <c r="K21" s="2844"/>
    </row>
    <row r="22" spans="1:14" s="2115" customFormat="1" ht="13.5" customHeight="1">
      <c r="A22" s="2867" t="s">
        <v>1858</v>
      </c>
      <c r="B22" s="2868" t="s">
        <v>492</v>
      </c>
      <c r="C22" s="53">
        <f ca="1">ROUND(D22*E22/10000,0)</f>
        <v>491</v>
      </c>
      <c r="D22" s="2869">
        <f ca="1">IF(B1="",'数据-汇总表'!E6,IF(INDIRECT("'数据-取费表'!c"&amp;$K$1)="住宅",INDIRECT("'数据-取费表'!s"&amp;$K$1),INDIRECT("'数据-取费表'!k"&amp;$K$1)+INDIRECT("'数据-取费表'!s"&amp;$K$1)))</f>
        <v>40926.540000000008</v>
      </c>
      <c r="E22" s="53">
        <f>'数据-取费表'!B28</f>
        <v>120</v>
      </c>
      <c r="F22" s="2872"/>
      <c r="G22" s="26"/>
      <c r="H22" s="51"/>
      <c r="I22" s="51"/>
      <c r="J22" s="51"/>
      <c r="K22" s="2844"/>
    </row>
    <row r="23" spans="1:14" s="2115" customFormat="1" ht="13.5" customHeight="1">
      <c r="A23" s="2875" t="s">
        <v>1859</v>
      </c>
      <c r="B23" s="3060" t="s">
        <v>2835</v>
      </c>
      <c r="C23" s="2877">
        <f ca="1">ROUND((C18+C19+C20)*F23,0)</f>
        <v>667</v>
      </c>
      <c r="D23" s="468"/>
      <c r="E23" s="468"/>
      <c r="F23" s="2881">
        <f>'数据-取费表'!B37</f>
        <v>1.4999999999999999E-2</v>
      </c>
      <c r="G23" s="2837" t="s">
        <v>2429</v>
      </c>
      <c r="H23" s="2838"/>
      <c r="I23" s="2838"/>
      <c r="J23" s="2838"/>
      <c r="K23" s="2839"/>
      <c r="L23" s="2117"/>
      <c r="M23" s="2117"/>
      <c r="N23" s="2117"/>
    </row>
    <row r="24" spans="1:14" s="2115" customFormat="1" ht="13.5" customHeight="1">
      <c r="A24" s="2875" t="s">
        <v>1860</v>
      </c>
      <c r="B24" s="3060" t="s">
        <v>2838</v>
      </c>
      <c r="C24" s="2877">
        <f ca="1">ROUND(C6*F24,0)</f>
        <v>5301</v>
      </c>
      <c r="D24" s="475"/>
      <c r="E24" s="473"/>
      <c r="F24" s="2881">
        <f>'数据-取费表'!B38</f>
        <v>2.5000000000000001E-2</v>
      </c>
      <c r="G24" s="2846" t="s">
        <v>499</v>
      </c>
      <c r="H24" s="2840"/>
      <c r="I24" s="2840"/>
      <c r="J24" s="2840"/>
      <c r="K24" s="279"/>
      <c r="L24" s="2117"/>
      <c r="M24" s="2117"/>
      <c r="N24" s="2117"/>
    </row>
    <row r="25" spans="1:14" s="2118" customFormat="1" ht="13.5" customHeight="1">
      <c r="A25" s="2875" t="s">
        <v>1861</v>
      </c>
      <c r="B25" s="3060" t="s">
        <v>2836</v>
      </c>
      <c r="C25" s="467">
        <f>ROUND(F25/(1+'数据-取费表'!C42),4)</f>
        <v>3.8399999999999997E-2</v>
      </c>
      <c r="D25" s="462" t="s">
        <v>2830</v>
      </c>
      <c r="E25" s="469"/>
      <c r="F25" s="2881">
        <f>'数据-取费表'!B48+'数据-取费表'!B49</f>
        <v>4.0500000000000001E-2</v>
      </c>
      <c r="G25" s="2845" t="s">
        <v>2289</v>
      </c>
      <c r="H25" s="2838"/>
      <c r="I25" s="2838"/>
      <c r="J25" s="2838"/>
      <c r="K25" s="2839"/>
    </row>
    <row r="26" spans="1:14" s="2117" customFormat="1" ht="13.5" customHeight="1">
      <c r="A26" s="2875" t="s">
        <v>1862</v>
      </c>
      <c r="B26" s="3061" t="s">
        <v>2837</v>
      </c>
      <c r="C26" s="2882">
        <f ca="1">C28</f>
        <v>3014</v>
      </c>
      <c r="D26" s="467">
        <f ca="1">C27</f>
        <v>0.12770000000000001</v>
      </c>
      <c r="E26" s="469" t="s">
        <v>495</v>
      </c>
      <c r="F26" s="471">
        <f ca="1">'数据-取费表'!B40</f>
        <v>4.7500000000000001E-2</v>
      </c>
      <c r="G26" s="2595" t="str">
        <f>IF('数据-取费表'!B22&lt;=1,"单利计息。","复利计息。")&amp;"后续开发成本、管理费用及销售费用产生的利息。"</f>
        <v>复利计息。后续开发成本、管理费用及销售费用产生的利息。</v>
      </c>
      <c r="H26" s="2842"/>
      <c r="I26" s="2842"/>
      <c r="J26" s="2842"/>
      <c r="K26" s="2843"/>
    </row>
    <row r="27" spans="1:14" s="2119" customFormat="1" ht="13.5" customHeight="1">
      <c r="A27" s="803" t="s">
        <v>1857</v>
      </c>
      <c r="B27" s="2883" t="s">
        <v>496</v>
      </c>
      <c r="C27" s="2884">
        <f ca="1">ROUND(IF('数据-取费表'!B22&lt;=1,(1+C25)*F26*'数据-取费表'!B24,(1+C25)*(POWER((1+F26),'数据-取费表'!B24)-1)),4)</f>
        <v>0.12770000000000001</v>
      </c>
      <c r="D27" s="472"/>
      <c r="E27" s="473"/>
      <c r="F27" s="474"/>
      <c r="G27" s="2595" t="str">
        <f>IF('数据-取费表'!B22&lt;=1,"（1+取得税费率/(1+5%)）×年利率×建设期","（1+取得税费率）/(1+5%)×((1+年利率)^建设期-1)")</f>
        <v>（1+取得税费率）/(1+5%)×((1+年利率)^建设期-1)</v>
      </c>
      <c r="H27" s="2840"/>
      <c r="I27" s="2840"/>
      <c r="J27" s="2840"/>
      <c r="K27" s="279"/>
    </row>
    <row r="28" spans="1:14" s="2119" customFormat="1" ht="13.5" customHeight="1">
      <c r="A28" s="803" t="s">
        <v>1858</v>
      </c>
      <c r="B28" s="2883" t="s">
        <v>2839</v>
      </c>
      <c r="C28" s="2885">
        <f ca="1">ROUND(IF('数据-取费表'!B22&lt;=1,(C18+C19+C20+C23+C24)*F26*'数据-取费表'!B24/2,(C18+C19+C20+C23+C24)*(POWER((1+F26),'数据-取费表'!B24/2)-1)),0)</f>
        <v>3014</v>
      </c>
      <c r="D28" s="472"/>
      <c r="E28" s="473"/>
      <c r="F28" s="474"/>
      <c r="G28" s="2595" t="str">
        <f>IF('数据-取费表'!B22&lt;=1,"（1）-（4）项×年利率×建设期÷2","（1）-（4）项×((1+年利率)^(建设期÷2)-1)")</f>
        <v>（1）-（4）项×((1+年利率)^(建设期÷2)-1)</v>
      </c>
      <c r="H28" s="2840"/>
      <c r="I28" s="2840"/>
      <c r="J28" s="2840"/>
      <c r="K28" s="279"/>
    </row>
    <row r="29" spans="1:14" s="2119" customFormat="1" ht="13.5" customHeight="1">
      <c r="A29" s="2886" t="s">
        <v>1863</v>
      </c>
      <c r="B29" s="2876" t="s">
        <v>497</v>
      </c>
      <c r="C29" s="2877">
        <f ca="1">ROUND(C6*F29/(1+'数据-取费表'!C42),0)</f>
        <v>12370</v>
      </c>
      <c r="D29" s="468"/>
      <c r="E29" s="468"/>
      <c r="F29" s="3062">
        <f>'数据-取费表'!B41</f>
        <v>6.1600000000000002E-2</v>
      </c>
      <c r="G29" s="2846" t="s">
        <v>498</v>
      </c>
      <c r="H29" s="2838"/>
      <c r="I29" s="2838"/>
      <c r="J29" s="2838"/>
      <c r="K29" s="2839"/>
    </row>
    <row r="30" spans="1:14" s="2120" customFormat="1" ht="13.5" customHeight="1">
      <c r="A30" s="1634" t="s">
        <v>1864</v>
      </c>
      <c r="B30" s="2887" t="s">
        <v>500</v>
      </c>
      <c r="C30" s="2882">
        <f ca="1">C31</f>
        <v>65848</v>
      </c>
      <c r="D30" s="477">
        <f ca="1">C32</f>
        <v>0.1661</v>
      </c>
      <c r="E30" s="469" t="s">
        <v>495</v>
      </c>
      <c r="F30" s="471"/>
      <c r="G30" s="2837" t="s">
        <v>501</v>
      </c>
      <c r="H30" s="2838"/>
      <c r="I30" s="2838"/>
      <c r="J30" s="2838"/>
      <c r="K30" s="2839"/>
    </row>
    <row r="31" spans="1:14" s="2119" customFormat="1" ht="13.5" customHeight="1">
      <c r="A31" s="803" t="s">
        <v>1857</v>
      </c>
      <c r="B31" s="2883"/>
      <c r="C31" s="450">
        <f ca="1">C18+C19+C20+C23+C24+C26+C29</f>
        <v>65848</v>
      </c>
      <c r="D31" s="472"/>
      <c r="E31" s="473"/>
      <c r="F31" s="474"/>
      <c r="G31" s="261"/>
      <c r="H31" s="2840"/>
      <c r="I31" s="2840"/>
      <c r="J31" s="2840"/>
      <c r="K31" s="279"/>
    </row>
    <row r="32" spans="1:14" s="2119" customFormat="1" ht="13.5" customHeight="1">
      <c r="A32" s="803" t="s">
        <v>1858</v>
      </c>
      <c r="B32" s="2883"/>
      <c r="C32" s="53">
        <f ca="1">ROUND(C25+D26,4)</f>
        <v>0.1661</v>
      </c>
      <c r="D32" s="472"/>
      <c r="E32" s="473"/>
      <c r="F32" s="474"/>
      <c r="G32" s="261"/>
      <c r="H32" s="2840"/>
      <c r="I32" s="2840"/>
      <c r="J32" s="2840"/>
      <c r="K32" s="279"/>
    </row>
    <row r="33" spans="1:11" s="2121" customFormat="1" ht="13.5" customHeight="1">
      <c r="A33" s="3059" t="s">
        <v>2834</v>
      </c>
      <c r="B33" s="3057" t="s">
        <v>2832</v>
      </c>
      <c r="C33" s="478">
        <f ca="1">C35</f>
        <v>5551</v>
      </c>
      <c r="D33" s="467">
        <f ca="1">C34</f>
        <v>0.1142</v>
      </c>
      <c r="E33" s="469" t="s">
        <v>495</v>
      </c>
      <c r="F33" s="479">
        <f ca="1">IF(B1="",'数据-取费表'!Q16,INDIRECT("'数据-取费表'!q"&amp;$K$1))</f>
        <v>0.11</v>
      </c>
      <c r="G33" s="2841"/>
      <c r="H33" s="2842"/>
      <c r="I33" s="2842"/>
      <c r="J33" s="2842"/>
      <c r="K33" s="2843"/>
    </row>
    <row r="34" spans="1:11" s="2122" customFormat="1" ht="13.5" customHeight="1">
      <c r="A34" s="375" t="s">
        <v>1857</v>
      </c>
      <c r="B34" s="2888" t="s">
        <v>502</v>
      </c>
      <c r="C34" s="472">
        <f ca="1">ROUND((1+C25)*F33,4)</f>
        <v>0.1142</v>
      </c>
      <c r="D34" s="472"/>
      <c r="E34" s="473"/>
      <c r="F34" s="480"/>
      <c r="G34" s="261" t="s">
        <v>2290</v>
      </c>
      <c r="H34" s="2840"/>
      <c r="I34" s="2840"/>
      <c r="J34" s="2840"/>
      <c r="K34" s="279"/>
    </row>
    <row r="35" spans="1:11" s="2122" customFormat="1" ht="13.5" customHeight="1" thickBot="1">
      <c r="A35" s="1635" t="s">
        <v>1858</v>
      </c>
      <c r="B35" s="3058" t="s">
        <v>2840</v>
      </c>
      <c r="C35" s="1627">
        <f ca="1">ROUND((C18+C19+C20+C23+C24)*F33,0)</f>
        <v>5551</v>
      </c>
      <c r="D35" s="1628"/>
      <c r="E35" s="2889"/>
      <c r="F35" s="1629"/>
      <c r="G35" s="2847"/>
      <c r="H35" s="2848"/>
      <c r="I35" s="2848"/>
      <c r="J35" s="2848"/>
      <c r="K35" s="2849"/>
    </row>
    <row r="36" spans="1:11" s="2084" customFormat="1" ht="13.5" customHeight="1" thickBot="1">
      <c r="A36" s="284" t="s">
        <v>1845</v>
      </c>
      <c r="B36" s="2851"/>
      <c r="C36" s="2890">
        <f ca="1">ROUND((C6-C30-C33)/(1+D30+D33),0)</f>
        <v>109862</v>
      </c>
      <c r="D36" s="2851"/>
      <c r="E36" s="2851"/>
      <c r="F36" s="2851"/>
      <c r="G36" s="2850" t="s">
        <v>2841</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199" t="str">
        <f>项目基本情况!B1</f>
        <v>四川省成都市郫都区郫筒镇晨光村三、五社、双喜村一社1宗住宅、商业用途出让国有建设用地使用权市场价格预评估</v>
      </c>
      <c r="C37" s="3199"/>
      <c r="D37" s="3199"/>
      <c r="E37" s="3199"/>
      <c r="F37" s="3199"/>
      <c r="G37" s="3199"/>
      <c r="H37" s="3199"/>
      <c r="I37" s="3199"/>
    </row>
    <row r="38" spans="1:9">
      <c r="A38" s="1655"/>
      <c r="B38" s="1655"/>
    </row>
    <row r="39" spans="1:9">
      <c r="A39" s="1653" t="s">
        <v>1902</v>
      </c>
      <c r="B39" s="1653" t="s">
        <v>2046</v>
      </c>
    </row>
    <row r="40" spans="1:9">
      <c r="A40" s="1653"/>
      <c r="B40" s="1653" t="str">
        <f>项目基本情况!B5</f>
        <v>中信信托有限责任公司</v>
      </c>
    </row>
    <row r="41" spans="1:9">
      <c r="A41" s="1653"/>
      <c r="B41" s="1653"/>
    </row>
    <row r="42" spans="1:9">
      <c r="A42" s="1653" t="s">
        <v>1902</v>
      </c>
      <c r="B42" s="1653" t="s">
        <v>2047</v>
      </c>
    </row>
    <row r="43" spans="1:9">
      <c r="A43" s="1653"/>
      <c r="B43" s="1653" t="s">
        <v>1904</v>
      </c>
    </row>
    <row r="44" spans="1:9">
      <c r="A44" s="1653"/>
      <c r="B44" s="1653"/>
    </row>
    <row r="45" spans="1:9">
      <c r="A45" s="1653" t="s">
        <v>1902</v>
      </c>
      <c r="B45" s="1653" t="s">
        <v>2045</v>
      </c>
    </row>
    <row r="46" spans="1:9" s="1653" customFormat="1" ht="12.75">
      <c r="B46" s="1653" t="str">
        <f>项目基本情况!K4</f>
        <v>梁津、王鹏</v>
      </c>
    </row>
    <row r="47" spans="1:9">
      <c r="A47" s="1653"/>
      <c r="B47" s="1653"/>
    </row>
    <row r="48" spans="1:9">
      <c r="A48" s="1653" t="s">
        <v>1902</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834"/>
      <c r="C1" s="2103"/>
      <c r="D1" s="2103"/>
      <c r="E1" s="2103"/>
      <c r="F1" s="2103"/>
      <c r="G1" s="2103"/>
      <c r="H1" s="2103"/>
      <c r="I1" s="2103"/>
      <c r="J1" s="2103"/>
      <c r="K1" s="422">
        <f>MATCH(B1,'数据-取费表'!A6:A16,0)+5</f>
        <v>10</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8"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2653</v>
      </c>
      <c r="B6" s="433"/>
      <c r="C6" s="1622">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1849</v>
      </c>
      <c r="B13" s="449" t="s">
        <v>479</v>
      </c>
      <c r="C13" s="450">
        <f ca="1">IF(B1="",'数据-取费表'!M16,INDIRECT("'数据-取费表'!M"&amp;$K$1)+INDIRECT("'数据-取费表'!t"&amp;$K$1))</f>
        <v>35060</v>
      </c>
      <c r="D13" s="451"/>
      <c r="E13" s="365"/>
      <c r="F13" s="452"/>
      <c r="G13" s="444"/>
      <c r="H13" s="447"/>
      <c r="I13" s="447"/>
      <c r="J13" s="447"/>
      <c r="K13" s="448"/>
    </row>
    <row r="14" spans="1:41" s="2115" customFormat="1" ht="13.5" customHeight="1">
      <c r="A14" s="1632" t="s">
        <v>1850</v>
      </c>
      <c r="B14" s="449" t="s">
        <v>480</v>
      </c>
      <c r="C14" s="53">
        <f ca="1">ROUND(C13*F14,0)</f>
        <v>1052</v>
      </c>
      <c r="D14" s="451"/>
      <c r="E14" s="365"/>
      <c r="F14" s="453">
        <f>'数据-取费表'!B33</f>
        <v>0.03</v>
      </c>
      <c r="G14" s="444" t="s">
        <v>503</v>
      </c>
      <c r="H14" s="447"/>
      <c r="I14" s="447"/>
      <c r="J14" s="447"/>
      <c r="K14" s="448"/>
    </row>
    <row r="15" spans="1:41" s="2115" customFormat="1" ht="13.5" customHeight="1">
      <c r="A15" s="1632" t="s">
        <v>1851</v>
      </c>
      <c r="B15" s="449" t="s">
        <v>482</v>
      </c>
      <c r="C15" s="53">
        <f ca="1">ROUND(IF(B1="",SUMIF('数据-取费表'!C:C,"住宅",'数据-取费表'!M:M)*F15,IF(INDIRECT("'数据-取费表'!c"&amp;$K$1)="住宅",INDIRECT("'数据-取费表'!M"&amp;$K$1)*F15,0)),0)</f>
        <v>1310</v>
      </c>
      <c r="D15" s="451"/>
      <c r="E15" s="365"/>
      <c r="F15" s="453">
        <f>'数据-取费表'!B34</f>
        <v>0.05</v>
      </c>
      <c r="G15" s="444" t="s">
        <v>503</v>
      </c>
      <c r="H15" s="447"/>
      <c r="I15" s="447"/>
      <c r="J15" s="447"/>
      <c r="K15" s="448"/>
    </row>
    <row r="16" spans="1:41" s="2116" customFormat="1" ht="13.5" customHeight="1">
      <c r="A16" s="1632" t="s">
        <v>1852</v>
      </c>
      <c r="B16" s="449" t="s">
        <v>484</v>
      </c>
      <c r="C16" s="53">
        <f ca="1">ROUND(D16*E16/10000,0)</f>
        <v>4093</v>
      </c>
      <c r="D16" s="451">
        <f ca="1">IF(B1="",'数据-汇总表'!E3,INDIRECT("'数据-取费表'!K"&amp;$K$1)+INDIRECT("'数据-取费表'!S"&amp;$K$1))</f>
        <v>204632.7</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9" t="s">
        <v>485</v>
      </c>
      <c r="C17" s="454">
        <f ca="1">ROUND(C13*F17,0)</f>
        <v>526</v>
      </c>
      <c r="D17" s="455"/>
      <c r="E17" s="454"/>
      <c r="F17" s="456">
        <f>'数据-取费表'!B36</f>
        <v>1.4999999999999999E-2</v>
      </c>
      <c r="G17" s="444" t="s">
        <v>503</v>
      </c>
      <c r="H17" s="457"/>
      <c r="I17" s="457"/>
      <c r="J17" s="457"/>
      <c r="K17" s="458"/>
    </row>
    <row r="18" spans="1:14" s="2118" customFormat="1" ht="13.5" customHeight="1">
      <c r="A18" s="1633" t="s">
        <v>1854</v>
      </c>
      <c r="B18" s="459" t="s">
        <v>487</v>
      </c>
      <c r="C18" s="460">
        <f ca="1">SUM(C13:C17)</f>
        <v>42041</v>
      </c>
      <c r="D18" s="461"/>
      <c r="E18" s="462"/>
      <c r="F18" s="462"/>
      <c r="G18" s="1326" t="s">
        <v>2430</v>
      </c>
      <c r="H18" s="447"/>
      <c r="I18" s="447"/>
      <c r="J18" s="447"/>
      <c r="K18" s="448"/>
    </row>
    <row r="19" spans="1:14" s="2118" customFormat="1" ht="13.5" customHeight="1">
      <c r="A19" s="1633" t="s">
        <v>1855</v>
      </c>
      <c r="B19" s="459" t="s">
        <v>493</v>
      </c>
      <c r="C19" s="460">
        <f ca="1">ROUND(C18*F19,0)</f>
        <v>631</v>
      </c>
      <c r="D19" s="462"/>
      <c r="E19" s="462"/>
      <c r="F19" s="466">
        <f>'数据-取费表'!B37</f>
        <v>1.4999999999999999E-2</v>
      </c>
      <c r="G19" s="444" t="s">
        <v>504</v>
      </c>
      <c r="H19" s="447"/>
      <c r="I19" s="447"/>
      <c r="J19" s="447"/>
      <c r="K19" s="448"/>
      <c r="L19" s="2120"/>
      <c r="M19" s="2120"/>
      <c r="N19" s="2120"/>
    </row>
    <row r="20" spans="1:14" s="2118" customFormat="1" ht="13.5" customHeight="1">
      <c r="A20" s="1633" t="s">
        <v>1856</v>
      </c>
      <c r="B20" s="459" t="s">
        <v>505</v>
      </c>
      <c r="C20" s="3055">
        <f>F20</f>
        <v>2.5000000000000001E-2</v>
      </c>
      <c r="D20" s="469" t="s">
        <v>506</v>
      </c>
      <c r="E20" s="469"/>
      <c r="F20" s="486">
        <f>'数据-取费表'!B38</f>
        <v>2.5000000000000001E-2</v>
      </c>
      <c r="G20" s="1326" t="s">
        <v>507</v>
      </c>
      <c r="H20" s="447"/>
      <c r="I20" s="447"/>
      <c r="J20" s="447"/>
      <c r="K20" s="448"/>
      <c r="L20" s="2120"/>
      <c r="M20" s="2120"/>
      <c r="N20" s="2120"/>
    </row>
    <row r="21" spans="1:14" s="2120" customFormat="1" ht="13.5" customHeight="1">
      <c r="A21" s="1633" t="s">
        <v>1859</v>
      </c>
      <c r="B21" s="461" t="s">
        <v>494</v>
      </c>
      <c r="C21" s="470">
        <f ca="1">C22</f>
        <v>2549</v>
      </c>
      <c r="D21" s="467">
        <f ca="1">C23</f>
        <v>1.5E-3</v>
      </c>
      <c r="E21" s="469" t="s">
        <v>508</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2452</v>
      </c>
    </row>
    <row r="22" spans="1:14" s="2119" customFormat="1" ht="13.5" customHeight="1">
      <c r="A22" s="1632" t="s">
        <v>1849</v>
      </c>
      <c r="B22" s="1327" t="s">
        <v>2433</v>
      </c>
      <c r="C22" s="487">
        <f ca="1">ROUND(IF('数据-取费表'!B22&lt;=1,(C18+C19)*F21*'数据-取费表'!B20/2,(C18+C19)*(POWER((1+F21),'数据-取费表'!B20/2)-1)),0)</f>
        <v>2549</v>
      </c>
      <c r="D22" s="472"/>
      <c r="E22" s="473"/>
      <c r="F22" s="474"/>
      <c r="G22" s="2590" t="str">
        <f>IF('数据-取费表'!B22&lt;=1,"((1)+(2))×年利率×建设期÷2","((1)+(2))×((1+年利率)^(建设期÷2)-1)")</f>
        <v>((1)+(2))×((1+年利率)^(建设期÷2)-1)</v>
      </c>
      <c r="H22" s="457"/>
      <c r="I22" s="457"/>
      <c r="J22" s="457"/>
      <c r="K22" s="458"/>
    </row>
    <row r="23" spans="1:14" s="2119" customFormat="1" ht="13.5" customHeight="1">
      <c r="A23" s="1632" t="s">
        <v>1850</v>
      </c>
      <c r="B23" s="1327" t="s">
        <v>509</v>
      </c>
      <c r="C23" s="488">
        <f ca="1">ROUND(IF('数据-取费表'!B22&lt;=1,F20*F21*'数据-取费表'!B20/2,F20*(POWER((1+F21),'数据-取费表'!B20/2)-1)),4)</f>
        <v>1.5E-3</v>
      </c>
      <c r="D23" s="472"/>
      <c r="E23" s="473"/>
      <c r="F23" s="474"/>
      <c r="G23" s="2590" t="str">
        <f>IF('数据-取费表'!B22&lt;=1,"销售费用率×年利率×建设期÷2","销售费用率×((1+年利率)^(建设期÷2)-1)")</f>
        <v>销售费用率×((1+年利率)^(建设期÷2)-1)</v>
      </c>
      <c r="H23" s="457"/>
      <c r="I23" s="457"/>
      <c r="J23" s="457"/>
      <c r="K23" s="458"/>
    </row>
    <row r="24" spans="1:14" s="2119" customFormat="1" ht="13.5" customHeight="1">
      <c r="A24" s="1633" t="s">
        <v>1860</v>
      </c>
      <c r="B24" s="3057" t="s">
        <v>2833</v>
      </c>
      <c r="C24" s="478">
        <f ca="1">C25</f>
        <v>4694</v>
      </c>
      <c r="D24" s="489">
        <f ca="1">C26</f>
        <v>2.8E-3</v>
      </c>
      <c r="E24" s="469" t="s">
        <v>508</v>
      </c>
      <c r="F24" s="479">
        <f ca="1">IF(B1="",'数据-取费表'!Q16,INDIRECT("'数据-取费表'!q"&amp;$K$1))</f>
        <v>0.11</v>
      </c>
      <c r="G24" s="444"/>
      <c r="H24" s="447"/>
      <c r="I24" s="447"/>
      <c r="J24" s="447"/>
      <c r="K24" s="448"/>
    </row>
    <row r="25" spans="1:14" s="2119" customFormat="1" ht="13.5" customHeight="1">
      <c r="A25" s="1632" t="s">
        <v>1849</v>
      </c>
      <c r="B25" s="1327" t="s">
        <v>2434</v>
      </c>
      <c r="C25" s="490">
        <f ca="1">ROUND((C18+C19)*F24,0)</f>
        <v>4694</v>
      </c>
      <c r="D25" s="472"/>
      <c r="E25" s="473"/>
      <c r="F25" s="480"/>
      <c r="G25" s="1325" t="s">
        <v>2431</v>
      </c>
      <c r="H25" s="457"/>
      <c r="I25" s="457"/>
      <c r="J25" s="457"/>
      <c r="K25" s="458"/>
    </row>
    <row r="26" spans="1:14" s="2119" customFormat="1" ht="13.5" customHeight="1">
      <c r="A26" s="1632" t="s">
        <v>1850</v>
      </c>
      <c r="B26" s="1327" t="s">
        <v>510</v>
      </c>
      <c r="C26" s="491">
        <f ca="1">ROUND(F20*F24,4)</f>
        <v>2.8E-3</v>
      </c>
      <c r="D26" s="472"/>
      <c r="E26" s="481"/>
      <c r="F26" s="480"/>
      <c r="G26" s="1325" t="s">
        <v>511</v>
      </c>
      <c r="H26" s="457"/>
      <c r="I26" s="457"/>
      <c r="J26" s="457"/>
      <c r="K26" s="458"/>
    </row>
    <row r="27" spans="1:14" s="2119" customFormat="1" ht="13.5" customHeight="1">
      <c r="A27" s="1636" t="s">
        <v>1868</v>
      </c>
      <c r="B27" s="459" t="s">
        <v>512</v>
      </c>
      <c r="C27" s="3056">
        <f>ROUND(F27/(1+'数据-取费表'!C42),4)</f>
        <v>5.8299999999999998E-2</v>
      </c>
      <c r="D27" s="462" t="s">
        <v>2831</v>
      </c>
      <c r="E27" s="462"/>
      <c r="F27" s="466">
        <f>'数据-取费表'!B41</f>
        <v>6.1600000000000002E-2</v>
      </c>
      <c r="G27" s="1959" t="s">
        <v>2291</v>
      </c>
      <c r="H27" s="447"/>
      <c r="I27" s="447"/>
      <c r="J27" s="447"/>
      <c r="K27" s="448"/>
    </row>
    <row r="28" spans="1:14" s="2120" customFormat="1" ht="13.5" customHeight="1">
      <c r="A28" s="1636" t="s">
        <v>1869</v>
      </c>
      <c r="B28" s="476" t="s">
        <v>513</v>
      </c>
      <c r="C28" s="470">
        <f ca="1">ROUND((C18+C19+C21+C24)/(1-C20-D21-D24-C27),0)</f>
        <v>54707</v>
      </c>
      <c r="D28" s="477"/>
      <c r="E28" s="469"/>
      <c r="F28" s="471"/>
      <c r="G28" s="1326" t="s">
        <v>2432</v>
      </c>
      <c r="H28" s="447"/>
      <c r="I28" s="447"/>
      <c r="J28" s="447"/>
      <c r="K28" s="448"/>
    </row>
    <row r="29" spans="1:14" s="2120" customFormat="1" ht="13.5" customHeight="1">
      <c r="A29" s="1636" t="s">
        <v>1870</v>
      </c>
      <c r="B29" s="476" t="s">
        <v>514</v>
      </c>
      <c r="C29" s="492">
        <f ca="1">IF(B1="",'数据-取费表'!N16,INDIRECT("'数据-取费表'!N"&amp;$K$1))</f>
        <v>0</v>
      </c>
      <c r="D29" s="493"/>
      <c r="E29" s="494"/>
      <c r="F29" s="495"/>
      <c r="G29" s="444"/>
      <c r="H29" s="447"/>
      <c r="I29" s="447"/>
      <c r="J29" s="447"/>
      <c r="K29" s="448"/>
    </row>
    <row r="30" spans="1:14" s="2120" customFormat="1" ht="13.5" customHeight="1">
      <c r="A30" s="443">
        <v>2</v>
      </c>
      <c r="B30" s="476" t="s">
        <v>515</v>
      </c>
      <c r="C30" s="497">
        <f ca="1">ROUND(C28*C29,0)</f>
        <v>0</v>
      </c>
      <c r="D30" s="493"/>
      <c r="E30" s="498"/>
      <c r="F30" s="499"/>
      <c r="G30" s="1328" t="s">
        <v>516</v>
      </c>
      <c r="H30" s="496"/>
      <c r="I30" s="496"/>
      <c r="J30" s="447"/>
      <c r="K30" s="448"/>
    </row>
    <row r="31" spans="1:14" s="2125" customFormat="1" ht="13.5" customHeight="1">
      <c r="A31" s="2505" t="s">
        <v>1866</v>
      </c>
      <c r="B31" s="1329"/>
      <c r="C31" s="500">
        <f>ROUND(C6*F31/(1+'数据-取费表'!C42),0)</f>
        <v>0</v>
      </c>
      <c r="D31" s="1330"/>
      <c r="E31" s="1330"/>
      <c r="F31" s="501">
        <f>'数据-取费表'!B41</f>
        <v>6.1600000000000002E-2</v>
      </c>
      <c r="G31" s="1331"/>
      <c r="H31" s="1331"/>
      <c r="I31" s="1331"/>
      <c r="J31" s="1332"/>
      <c r="K31" s="1333"/>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6" t="s">
        <v>2453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517</v>
      </c>
      <c r="B1" s="503"/>
      <c r="C1" s="504" t="s">
        <v>598</v>
      </c>
      <c r="D1" s="505" t="s">
        <v>519</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1686</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521</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522</v>
      </c>
      <c r="B6" s="513"/>
      <c r="C6" s="3373" t="s">
        <v>523</v>
      </c>
      <c r="D6" s="3374"/>
      <c r="E6" s="3410" t="s">
        <v>524</v>
      </c>
      <c r="F6" s="3411"/>
      <c r="G6" s="3373" t="s">
        <v>525</v>
      </c>
      <c r="H6" s="3374"/>
      <c r="I6" s="3373" t="s">
        <v>526</v>
      </c>
      <c r="J6" s="3374"/>
      <c r="K6" s="514" t="s">
        <v>527</v>
      </c>
      <c r="L6" s="2132"/>
      <c r="M6" s="2133"/>
      <c r="N6" s="2133"/>
      <c r="O6" s="2133"/>
      <c r="P6" s="3375" t="s">
        <v>528</v>
      </c>
      <c r="Q6" s="3376"/>
      <c r="R6" s="3381" t="s">
        <v>524</v>
      </c>
      <c r="S6" s="3382"/>
      <c r="T6" s="3381" t="s">
        <v>525</v>
      </c>
      <c r="U6" s="3382"/>
      <c r="V6" s="3368" t="s">
        <v>526</v>
      </c>
      <c r="W6" s="3368"/>
      <c r="X6" s="1566"/>
      <c r="Y6" s="3381" t="s">
        <v>528</v>
      </c>
      <c r="Z6" s="3382"/>
      <c r="AA6" s="3370" t="s">
        <v>524</v>
      </c>
      <c r="AB6" s="3371" t="s">
        <v>525</v>
      </c>
      <c r="AC6" s="3370" t="s">
        <v>526</v>
      </c>
    </row>
    <row r="7" spans="1:29" ht="15">
      <c r="A7" s="515"/>
      <c r="B7" s="516"/>
      <c r="C7" s="3391" t="s">
        <v>2927</v>
      </c>
      <c r="D7" s="3390"/>
      <c r="E7" s="3412" t="s">
        <v>2928</v>
      </c>
      <c r="F7" s="3413"/>
      <c r="G7" s="3391" t="s">
        <v>2929</v>
      </c>
      <c r="H7" s="3390"/>
      <c r="I7" s="3391" t="s">
        <v>2930</v>
      </c>
      <c r="J7" s="3390"/>
      <c r="K7" s="514"/>
      <c r="L7" s="2132"/>
      <c r="M7" s="2133"/>
      <c r="N7" s="2133"/>
      <c r="O7" s="2133"/>
      <c r="P7" s="3377"/>
      <c r="Q7" s="3378"/>
      <c r="R7" s="3383"/>
      <c r="S7" s="3384"/>
      <c r="T7" s="3383"/>
      <c r="U7" s="3384"/>
      <c r="V7" s="3368"/>
      <c r="W7" s="3368"/>
      <c r="X7" s="1566"/>
      <c r="Y7" s="3383"/>
      <c r="Z7" s="3384"/>
      <c r="AA7" s="3371"/>
      <c r="AB7" s="3371"/>
      <c r="AC7" s="3371"/>
    </row>
    <row r="8" spans="1:29" ht="15.75" thickBot="1">
      <c r="A8" s="517"/>
      <c r="B8" s="518"/>
      <c r="C8" s="3407" t="s">
        <v>2931</v>
      </c>
      <c r="D8" s="3388"/>
      <c r="E8" s="3408" t="s">
        <v>2931</v>
      </c>
      <c r="F8" s="3409"/>
      <c r="G8" s="3407" t="s">
        <v>2931</v>
      </c>
      <c r="H8" s="3388"/>
      <c r="I8" s="3407" t="s">
        <v>2931</v>
      </c>
      <c r="J8" s="3388"/>
      <c r="K8" s="514" t="s">
        <v>529</v>
      </c>
      <c r="L8" s="2132"/>
      <c r="M8" s="2133"/>
      <c r="N8" s="2133"/>
      <c r="O8" s="2133"/>
      <c r="P8" s="3379"/>
      <c r="Q8" s="3380"/>
      <c r="R8" s="3383"/>
      <c r="S8" s="3384"/>
      <c r="T8" s="3385"/>
      <c r="U8" s="3386"/>
      <c r="V8" s="3368"/>
      <c r="W8" s="3368"/>
      <c r="X8" s="1566"/>
      <c r="Y8" s="3385"/>
      <c r="Z8" s="3386"/>
      <c r="AA8" s="3372"/>
      <c r="AB8" s="3372"/>
      <c r="AC8" s="3372"/>
    </row>
    <row r="9" spans="1:29" s="1219" customFormat="1" ht="15.75" thickBot="1">
      <c r="A9" s="2937"/>
      <c r="B9" s="2944" t="s">
        <v>530</v>
      </c>
      <c r="C9" s="519">
        <f>'数据-取费表'!B2</f>
        <v>43068</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00" t="s">
        <v>531</v>
      </c>
      <c r="Q9" s="3402"/>
      <c r="R9" s="1567" t="s">
        <v>8</v>
      </c>
      <c r="S9" s="1568">
        <f t="shared" ref="S9:S17" si="0">F9</f>
        <v>0</v>
      </c>
      <c r="T9" s="1567" t="s">
        <v>8</v>
      </c>
      <c r="U9" s="1568">
        <f t="shared" ref="U9:U17" si="1">H9</f>
        <v>0</v>
      </c>
      <c r="V9" s="1567" t="s">
        <v>8</v>
      </c>
      <c r="W9" s="1568">
        <f t="shared" ref="W9:W17" si="2">J9</f>
        <v>0</v>
      </c>
      <c r="X9" s="1569"/>
      <c r="Y9" s="3400" t="s">
        <v>531</v>
      </c>
      <c r="Z9" s="3401"/>
      <c r="AA9" s="1570" t="e">
        <f>D9/F9</f>
        <v>#DIV/0!</v>
      </c>
      <c r="AB9" s="1570" t="e">
        <f>D9/H9</f>
        <v>#DIV/0!</v>
      </c>
      <c r="AC9" s="1570" t="e">
        <f>D9/J9</f>
        <v>#DIV/0!</v>
      </c>
    </row>
    <row r="10" spans="1:29" s="1219" customFormat="1" ht="15.75" thickBot="1">
      <c r="A10" s="2938"/>
      <c r="B10" s="2945"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00" t="s">
        <v>534</v>
      </c>
      <c r="Q10" s="3401"/>
      <c r="R10" s="1567" t="s">
        <v>8</v>
      </c>
      <c r="S10" s="1568">
        <f t="shared" si="0"/>
        <v>0</v>
      </c>
      <c r="T10" s="1567" t="s">
        <v>8</v>
      </c>
      <c r="U10" s="1568">
        <f t="shared" si="1"/>
        <v>0</v>
      </c>
      <c r="V10" s="1567" t="s">
        <v>8</v>
      </c>
      <c r="W10" s="1568">
        <f t="shared" si="2"/>
        <v>0</v>
      </c>
      <c r="X10" s="1569"/>
      <c r="Y10" s="3400" t="s">
        <v>534</v>
      </c>
      <c r="Z10" s="3401"/>
      <c r="AA10" s="1570" t="e">
        <f t="shared" ref="AA10:AA42" si="3">D10/F10</f>
        <v>#DIV/0!</v>
      </c>
      <c r="AB10" s="1570" t="e">
        <f t="shared" ref="AB10:AB42" si="4">D10/H10</f>
        <v>#DIV/0!</v>
      </c>
      <c r="AC10" s="1570" t="e">
        <f t="shared" ref="AC10:AC42" si="5">D10/J10</f>
        <v>#DIV/0!</v>
      </c>
    </row>
    <row r="11" spans="1:29" s="1219" customFormat="1" ht="15">
      <c r="A11" s="2939"/>
      <c r="B11" s="2946" t="s">
        <v>2757</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67" t="s">
        <v>536</v>
      </c>
      <c r="Q11" s="1150" t="str">
        <f t="shared" ref="Q11:Q17" si="6">B11</f>
        <v>用途</v>
      </c>
      <c r="R11" s="1567" t="s">
        <v>8</v>
      </c>
      <c r="S11" s="1568">
        <f t="shared" si="0"/>
        <v>100</v>
      </c>
      <c r="T11" s="1567" t="s">
        <v>8</v>
      </c>
      <c r="U11" s="1568">
        <f t="shared" si="1"/>
        <v>100</v>
      </c>
      <c r="V11" s="1567" t="s">
        <v>8</v>
      </c>
      <c r="W11" s="1568">
        <f t="shared" si="2"/>
        <v>100</v>
      </c>
      <c r="X11" s="1569"/>
      <c r="Y11" s="3313" t="s">
        <v>537</v>
      </c>
      <c r="Z11" s="1149" t="str">
        <f t="shared" ref="Z11:Z17" si="7">Q11</f>
        <v>用途</v>
      </c>
      <c r="AA11" s="1570">
        <f t="shared" si="3"/>
        <v>1</v>
      </c>
      <c r="AB11" s="1570">
        <f t="shared" si="4"/>
        <v>1</v>
      </c>
      <c r="AC11" s="1570">
        <f t="shared" si="5"/>
        <v>1</v>
      </c>
    </row>
    <row r="12" spans="1:29" s="1337" customFormat="1" ht="27">
      <c r="A12" s="2940"/>
      <c r="B12" s="2945" t="s">
        <v>2758</v>
      </c>
      <c r="C12" s="528"/>
      <c r="D12" s="255">
        <v>100</v>
      </c>
      <c r="E12" s="528"/>
      <c r="F12" s="255">
        <f>ROUND(100/'数据-取费表'!G16,0)</f>
        <v>100</v>
      </c>
      <c r="G12" s="528"/>
      <c r="H12" s="255">
        <f>ROUND(100/'数据-取费表'!G16,0)</f>
        <v>100</v>
      </c>
      <c r="I12" s="528"/>
      <c r="J12" s="255">
        <f>ROUND(100/'数据-取费表'!G16,0)</f>
        <v>100</v>
      </c>
      <c r="K12" s="531"/>
      <c r="L12" s="2137"/>
      <c r="M12" s="2177"/>
      <c r="N12" s="2177"/>
      <c r="O12" s="2138"/>
      <c r="P12" s="3367"/>
      <c r="Q12" s="1150" t="str">
        <f t="shared" si="6"/>
        <v>土地使用年限（年）</v>
      </c>
      <c r="R12" s="1567" t="s">
        <v>8</v>
      </c>
      <c r="S12" s="1568">
        <f t="shared" si="0"/>
        <v>100</v>
      </c>
      <c r="T12" s="1567" t="s">
        <v>8</v>
      </c>
      <c r="U12" s="1568">
        <f t="shared" si="1"/>
        <v>100</v>
      </c>
      <c r="V12" s="1567" t="s">
        <v>8</v>
      </c>
      <c r="W12" s="1568">
        <f t="shared" si="2"/>
        <v>100</v>
      </c>
      <c r="X12" s="1569"/>
      <c r="Y12" s="3313"/>
      <c r="Z12" s="1149" t="str">
        <f t="shared" si="7"/>
        <v>土地使用年限（年）</v>
      </c>
      <c r="AA12" s="1570">
        <f t="shared" si="3"/>
        <v>1</v>
      </c>
      <c r="AB12" s="1570">
        <f t="shared" si="4"/>
        <v>1</v>
      </c>
      <c r="AC12" s="1570">
        <f t="shared" si="5"/>
        <v>1</v>
      </c>
    </row>
    <row r="13" spans="1:29" ht="15">
      <c r="A13" s="2941"/>
      <c r="B13" s="2945"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67"/>
      <c r="Q13" s="1150" t="str">
        <f t="shared" si="6"/>
        <v>容积率</v>
      </c>
      <c r="R13" s="1567" t="s">
        <v>8</v>
      </c>
      <c r="S13" s="1568" t="e">
        <f t="shared" si="0"/>
        <v>#N/A</v>
      </c>
      <c r="T13" s="1567" t="s">
        <v>8</v>
      </c>
      <c r="U13" s="1568" t="e">
        <f t="shared" si="1"/>
        <v>#N/A</v>
      </c>
      <c r="V13" s="1567" t="s">
        <v>8</v>
      </c>
      <c r="W13" s="1568" t="e">
        <f t="shared" si="2"/>
        <v>#N/A</v>
      </c>
      <c r="X13" s="1569"/>
      <c r="Y13" s="3313"/>
      <c r="Z13" s="1149" t="str">
        <f t="shared" si="7"/>
        <v>容积率</v>
      </c>
      <c r="AA13" s="1570" t="e">
        <f t="shared" si="3"/>
        <v>#N/A</v>
      </c>
      <c r="AB13" s="1570" t="e">
        <f t="shared" si="4"/>
        <v>#N/A</v>
      </c>
      <c r="AC13" s="1570" t="e">
        <f t="shared" si="5"/>
        <v>#N/A</v>
      </c>
    </row>
    <row r="14" spans="1:29" s="1219"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67"/>
      <c r="Q14" s="1150">
        <f t="shared" si="6"/>
        <v>111</v>
      </c>
      <c r="R14" s="1567" t="s">
        <v>8</v>
      </c>
      <c r="S14" s="1568">
        <f t="shared" si="0"/>
        <v>100</v>
      </c>
      <c r="T14" s="1567" t="s">
        <v>8</v>
      </c>
      <c r="U14" s="1568">
        <f t="shared" si="1"/>
        <v>100</v>
      </c>
      <c r="V14" s="1567" t="s">
        <v>8</v>
      </c>
      <c r="W14" s="1568">
        <f t="shared" si="2"/>
        <v>100</v>
      </c>
      <c r="X14" s="1569"/>
      <c r="Y14" s="3313"/>
      <c r="Z14" s="1149">
        <f t="shared" si="7"/>
        <v>111</v>
      </c>
      <c r="AA14" s="1570">
        <f>D14/F14</f>
        <v>1</v>
      </c>
      <c r="AB14" s="1570">
        <f>D14/H14</f>
        <v>1</v>
      </c>
      <c r="AC14" s="1570">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67"/>
      <c r="Q15" s="1150">
        <f t="shared" si="6"/>
        <v>111</v>
      </c>
      <c r="R15" s="1567" t="s">
        <v>8</v>
      </c>
      <c r="S15" s="1568">
        <f t="shared" si="0"/>
        <v>100</v>
      </c>
      <c r="T15" s="1567" t="s">
        <v>8</v>
      </c>
      <c r="U15" s="1568">
        <f t="shared" si="1"/>
        <v>100</v>
      </c>
      <c r="V15" s="1567" t="s">
        <v>8</v>
      </c>
      <c r="W15" s="1568">
        <f t="shared" si="2"/>
        <v>100</v>
      </c>
      <c r="X15" s="1569"/>
      <c r="Y15" s="3313"/>
      <c r="Z15" s="1149">
        <f t="shared" si="7"/>
        <v>111</v>
      </c>
      <c r="AA15" s="1570">
        <f t="shared" si="3"/>
        <v>1</v>
      </c>
      <c r="AB15" s="1570">
        <f t="shared" si="4"/>
        <v>1</v>
      </c>
      <c r="AC15" s="1570">
        <f t="shared" si="5"/>
        <v>1</v>
      </c>
    </row>
    <row r="16" spans="1:29" ht="15.75"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67"/>
      <c r="Q16" s="1150">
        <f t="shared" si="6"/>
        <v>111</v>
      </c>
      <c r="R16" s="1567" t="s">
        <v>8</v>
      </c>
      <c r="S16" s="1568">
        <f t="shared" si="0"/>
        <v>100</v>
      </c>
      <c r="T16" s="1567" t="s">
        <v>8</v>
      </c>
      <c r="U16" s="1568">
        <f t="shared" si="1"/>
        <v>100</v>
      </c>
      <c r="V16" s="1567" t="s">
        <v>8</v>
      </c>
      <c r="W16" s="1568">
        <f t="shared" si="2"/>
        <v>100</v>
      </c>
      <c r="X16" s="1569"/>
      <c r="Y16" s="3313"/>
      <c r="Z16" s="1149">
        <f t="shared" si="7"/>
        <v>111</v>
      </c>
      <c r="AA16" s="1570">
        <f t="shared" si="3"/>
        <v>1</v>
      </c>
      <c r="AB16" s="1570">
        <f t="shared" si="4"/>
        <v>1</v>
      </c>
      <c r="AC16" s="1570">
        <f t="shared" si="5"/>
        <v>1</v>
      </c>
    </row>
    <row r="17" spans="1:29" ht="57">
      <c r="A17" s="2935" t="s">
        <v>2755</v>
      </c>
      <c r="B17" s="166" t="s">
        <v>599</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03" t="s">
        <v>541</v>
      </c>
      <c r="Q17" s="1571" t="str">
        <f t="shared" si="6"/>
        <v>产业集聚程度</v>
      </c>
      <c r="R17" s="1572" t="s">
        <v>8</v>
      </c>
      <c r="S17" s="1573">
        <f t="shared" si="0"/>
        <v>100</v>
      </c>
      <c r="T17" s="1572" t="s">
        <v>8</v>
      </c>
      <c r="U17" s="1573">
        <f t="shared" si="1"/>
        <v>100</v>
      </c>
      <c r="V17" s="1572" t="s">
        <v>8</v>
      </c>
      <c r="W17" s="1573">
        <f t="shared" si="2"/>
        <v>100</v>
      </c>
      <c r="X17" s="1566"/>
      <c r="Y17" s="3403" t="s">
        <v>541</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404"/>
      <c r="Q18" s="1571"/>
      <c r="R18" s="1572"/>
      <c r="S18" s="1573"/>
      <c r="T18" s="1572"/>
      <c r="U18" s="1573"/>
      <c r="V18" s="1572"/>
      <c r="W18" s="1573"/>
      <c r="X18" s="1566"/>
      <c r="Y18" s="3404"/>
      <c r="Z18" s="1574"/>
      <c r="AA18" s="1575">
        <v>1</v>
      </c>
      <c r="AB18" s="1575">
        <v>1</v>
      </c>
      <c r="AC18" s="1575">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04"/>
      <c r="Q19" s="1571" t="str">
        <f>B19</f>
        <v>交通便捷度</v>
      </c>
      <c r="R19" s="1572" t="s">
        <v>8</v>
      </c>
      <c r="S19" s="1573">
        <f>F19</f>
        <v>100</v>
      </c>
      <c r="T19" s="1572" t="s">
        <v>8</v>
      </c>
      <c r="U19" s="1573">
        <f>H19</f>
        <v>100</v>
      </c>
      <c r="V19" s="1572" t="s">
        <v>8</v>
      </c>
      <c r="W19" s="1573">
        <f>J19</f>
        <v>100</v>
      </c>
      <c r="X19" s="1566"/>
      <c r="Y19" s="3404"/>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1"/>
      <c r="M20" s="2133"/>
      <c r="N20" s="2133"/>
      <c r="O20" s="2140"/>
      <c r="P20" s="3404"/>
      <c r="Q20" s="1571"/>
      <c r="R20" s="1572"/>
      <c r="S20" s="1573"/>
      <c r="T20" s="1572"/>
      <c r="U20" s="1573"/>
      <c r="V20" s="1572"/>
      <c r="W20" s="1573"/>
      <c r="X20" s="1566"/>
      <c r="Y20" s="3404"/>
      <c r="Z20" s="1574"/>
      <c r="AA20" s="1575">
        <v>1</v>
      </c>
      <c r="AB20" s="1575">
        <v>1</v>
      </c>
      <c r="AC20" s="1575">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04"/>
      <c r="Q21" s="1571" t="str">
        <f t="shared" ref="Q21:Q35" si="8">B21</f>
        <v>区域土地利用方向</v>
      </c>
      <c r="R21" s="1572" t="s">
        <v>8</v>
      </c>
      <c r="S21" s="1573">
        <f>F21</f>
        <v>100</v>
      </c>
      <c r="T21" s="1572" t="s">
        <v>8</v>
      </c>
      <c r="U21" s="1573">
        <f>H21</f>
        <v>100</v>
      </c>
      <c r="V21" s="1572" t="s">
        <v>8</v>
      </c>
      <c r="W21" s="1573">
        <f>J21</f>
        <v>100</v>
      </c>
      <c r="X21" s="1566"/>
      <c r="Y21" s="3404"/>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1"/>
      <c r="M22" s="2133"/>
      <c r="N22" s="2133"/>
      <c r="O22" s="2140"/>
      <c r="P22" s="3404"/>
      <c r="Q22" s="1571"/>
      <c r="R22" s="1572"/>
      <c r="S22" s="1573"/>
      <c r="T22" s="1572"/>
      <c r="U22" s="1573"/>
      <c r="V22" s="1572"/>
      <c r="W22" s="1573"/>
      <c r="X22" s="1566"/>
      <c r="Y22" s="3404"/>
      <c r="Z22" s="1574"/>
      <c r="AA22" s="1575"/>
      <c r="AB22" s="1575"/>
      <c r="AC22" s="1575"/>
    </row>
    <row r="23" spans="1:29" ht="71.25">
      <c r="A23" s="515"/>
      <c r="B23" s="921"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04"/>
      <c r="Q23" s="1571" t="str">
        <f t="shared" si="8"/>
        <v>环境状况</v>
      </c>
      <c r="R23" s="1572" t="s">
        <v>8</v>
      </c>
      <c r="S23" s="1573">
        <f>F23</f>
        <v>100</v>
      </c>
      <c r="T23" s="1572" t="s">
        <v>8</v>
      </c>
      <c r="U23" s="1573">
        <f>H23</f>
        <v>100</v>
      </c>
      <c r="V23" s="1572" t="s">
        <v>8</v>
      </c>
      <c r="W23" s="1573">
        <f>J23</f>
        <v>100</v>
      </c>
      <c r="X23" s="1566"/>
      <c r="Y23" s="3404"/>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404"/>
      <c r="Q24" s="1571"/>
      <c r="R24" s="1572"/>
      <c r="S24" s="1573"/>
      <c r="T24" s="1572"/>
      <c r="U24" s="1573"/>
      <c r="V24" s="1572"/>
      <c r="W24" s="1573"/>
      <c r="X24" s="1566"/>
      <c r="Y24" s="3404"/>
      <c r="Z24" s="1574"/>
      <c r="AA24" s="1575">
        <v>1</v>
      </c>
      <c r="AB24" s="1575">
        <v>1</v>
      </c>
      <c r="AC24" s="1575">
        <v>1</v>
      </c>
    </row>
    <row r="25" spans="1:29" s="1219" customFormat="1" ht="42.75">
      <c r="A25" s="577"/>
      <c r="B25" s="2616"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04"/>
      <c r="Q25" s="1150" t="str">
        <f t="shared" si="8"/>
        <v>公共配套设施</v>
      </c>
      <c r="R25" s="1567" t="s">
        <v>8</v>
      </c>
      <c r="S25" s="1568">
        <f>F25</f>
        <v>100</v>
      </c>
      <c r="T25" s="1567" t="s">
        <v>8</v>
      </c>
      <c r="U25" s="1568">
        <f>H25</f>
        <v>100</v>
      </c>
      <c r="V25" s="1567" t="s">
        <v>8</v>
      </c>
      <c r="W25" s="1568">
        <f>J25</f>
        <v>100</v>
      </c>
      <c r="X25" s="1569"/>
      <c r="Y25" s="3404"/>
      <c r="Z25" s="1149" t="str">
        <f>Q25</f>
        <v>公共配套设施</v>
      </c>
      <c r="AA25" s="1575">
        <f>D25/F25</f>
        <v>1</v>
      </c>
      <c r="AB25" s="1575">
        <f>D25/H25</f>
        <v>1</v>
      </c>
      <c r="AC25" s="1575">
        <f>D25/J25</f>
        <v>1</v>
      </c>
    </row>
    <row r="26" spans="1:29" s="1219" customFormat="1" ht="15">
      <c r="A26" s="577"/>
      <c r="B26" s="595"/>
      <c r="C26" s="2615"/>
      <c r="D26" s="555"/>
      <c r="E26" s="554"/>
      <c r="F26" s="555"/>
      <c r="G26" s="554"/>
      <c r="H26" s="555"/>
      <c r="I26" s="576"/>
      <c r="J26" s="555"/>
      <c r="K26" s="531"/>
      <c r="L26" s="2134"/>
      <c r="M26" s="2135"/>
      <c r="N26" s="2135"/>
      <c r="O26" s="2136"/>
      <c r="P26" s="3404"/>
      <c r="Q26" s="1150"/>
      <c r="R26" s="1567"/>
      <c r="S26" s="1568"/>
      <c r="T26" s="1567"/>
      <c r="U26" s="1568"/>
      <c r="V26" s="1567"/>
      <c r="W26" s="1568"/>
      <c r="X26" s="1569"/>
      <c r="Y26" s="3404"/>
      <c r="Z26" s="1149"/>
      <c r="AA26" s="1570">
        <v>1</v>
      </c>
      <c r="AB26" s="1570">
        <v>1</v>
      </c>
      <c r="AC26" s="1570">
        <v>1</v>
      </c>
    </row>
    <row r="27" spans="1:29" s="1219" customFormat="1" ht="28.5">
      <c r="A27" s="577"/>
      <c r="B27" s="2616"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04"/>
      <c r="Q27" s="2601" t="str">
        <f t="shared" ref="Q27" si="9">B27</f>
        <v>基础设施水平</v>
      </c>
      <c r="R27" s="1567" t="s">
        <v>8</v>
      </c>
      <c r="S27" s="1568">
        <f>F27</f>
        <v>100</v>
      </c>
      <c r="T27" s="1567" t="s">
        <v>8</v>
      </c>
      <c r="U27" s="1568">
        <f>H27</f>
        <v>100</v>
      </c>
      <c r="V27" s="1567" t="s">
        <v>8</v>
      </c>
      <c r="W27" s="1568">
        <f>J27</f>
        <v>100</v>
      </c>
      <c r="X27" s="1569"/>
      <c r="Y27" s="3404"/>
      <c r="Z27" s="2598" t="str">
        <f>Q27</f>
        <v>基础设施水平</v>
      </c>
      <c r="AA27" s="1575">
        <f>D27/F27</f>
        <v>1</v>
      </c>
      <c r="AB27" s="1575">
        <f>D27/H27</f>
        <v>1</v>
      </c>
      <c r="AC27" s="1575">
        <f>D27/J27</f>
        <v>1</v>
      </c>
    </row>
    <row r="28" spans="1:29" s="1219" customFormat="1" ht="15">
      <c r="A28" s="577"/>
      <c r="B28" s="595"/>
      <c r="C28" s="2615"/>
      <c r="D28" s="555"/>
      <c r="E28" s="579"/>
      <c r="F28" s="555"/>
      <c r="G28" s="579"/>
      <c r="H28" s="555"/>
      <c r="I28" s="579"/>
      <c r="J28" s="555"/>
      <c r="K28" s="531"/>
      <c r="L28" s="2134"/>
      <c r="M28" s="2135"/>
      <c r="N28" s="2135"/>
      <c r="O28" s="2136"/>
      <c r="P28" s="3404"/>
      <c r="Q28" s="2601"/>
      <c r="R28" s="1567"/>
      <c r="S28" s="1568"/>
      <c r="T28" s="1567"/>
      <c r="U28" s="1568"/>
      <c r="V28" s="1567"/>
      <c r="W28" s="1568"/>
      <c r="X28" s="1569"/>
      <c r="Y28" s="3404"/>
      <c r="Z28" s="2598"/>
      <c r="AA28" s="1570">
        <v>1</v>
      </c>
      <c r="AB28" s="1570">
        <v>1</v>
      </c>
      <c r="AC28" s="1570">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04"/>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4"/>
      <c r="Z29" s="1574" t="str">
        <f t="shared" ref="Z29:Z42" si="13">Q29</f>
        <v>临街状况</v>
      </c>
      <c r="AA29" s="1575">
        <f t="shared" si="3"/>
        <v>1</v>
      </c>
      <c r="AB29" s="1575">
        <f t="shared" si="4"/>
        <v>1</v>
      </c>
      <c r="AC29" s="1575">
        <f t="shared" si="5"/>
        <v>1</v>
      </c>
    </row>
    <row r="30" spans="1:29" ht="27">
      <c r="A30" s="532"/>
      <c r="B30" s="921" t="s">
        <v>549</v>
      </c>
      <c r="C30" s="261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04"/>
      <c r="Q30" s="1571" t="str">
        <f t="shared" si="8"/>
        <v>毗邻道路的类型与等级</v>
      </c>
      <c r="R30" s="1572" t="s">
        <v>8</v>
      </c>
      <c r="S30" s="1573">
        <f t="shared" si="10"/>
        <v>100</v>
      </c>
      <c r="T30" s="1572" t="s">
        <v>8</v>
      </c>
      <c r="U30" s="1573">
        <f t="shared" si="11"/>
        <v>100</v>
      </c>
      <c r="V30" s="1572" t="s">
        <v>8</v>
      </c>
      <c r="W30" s="1573">
        <f t="shared" si="12"/>
        <v>100</v>
      </c>
      <c r="X30" s="1566"/>
      <c r="Y30" s="3404"/>
      <c r="Z30" s="1574" t="str">
        <f t="shared" si="13"/>
        <v>毗邻道路的类型与等级</v>
      </c>
      <c r="AA30" s="1575">
        <f t="shared" si="3"/>
        <v>1</v>
      </c>
      <c r="AB30" s="1575">
        <f t="shared" si="4"/>
        <v>1</v>
      </c>
      <c r="AC30" s="1575">
        <f t="shared" si="5"/>
        <v>1</v>
      </c>
    </row>
    <row r="31" spans="1:29" ht="15">
      <c r="A31" s="532"/>
      <c r="B31" s="595"/>
      <c r="C31" s="576"/>
      <c r="D31" s="555"/>
      <c r="E31" s="554"/>
      <c r="F31" s="555"/>
      <c r="G31" s="554"/>
      <c r="H31" s="555"/>
      <c r="I31" s="576"/>
      <c r="J31" s="555"/>
      <c r="K31" s="581"/>
      <c r="L31" s="2141"/>
      <c r="M31" s="2133"/>
      <c r="N31" s="2133"/>
      <c r="O31" s="2140"/>
      <c r="P31" s="3404"/>
      <c r="Q31" s="1571"/>
      <c r="R31" s="1572"/>
      <c r="S31" s="1573"/>
      <c r="T31" s="1572"/>
      <c r="U31" s="1573"/>
      <c r="V31" s="1572"/>
      <c r="W31" s="1573"/>
      <c r="X31" s="1566"/>
      <c r="Y31" s="3404"/>
      <c r="Z31" s="1574"/>
      <c r="AA31" s="1575">
        <v>1</v>
      </c>
      <c r="AB31" s="1575">
        <v>1</v>
      </c>
      <c r="AC31" s="1575">
        <v>1</v>
      </c>
    </row>
    <row r="32" spans="1:29" ht="15">
      <c r="A32" s="532"/>
      <c r="B32" s="527" t="s">
        <v>550</v>
      </c>
      <c r="C32" s="261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04"/>
      <c r="Q32" s="1571" t="str">
        <f t="shared" si="8"/>
        <v>土地级别</v>
      </c>
      <c r="R32" s="1572" t="s">
        <v>8</v>
      </c>
      <c r="S32" s="1573">
        <f t="shared" si="10"/>
        <v>100</v>
      </c>
      <c r="T32" s="1572" t="s">
        <v>8</v>
      </c>
      <c r="U32" s="1573">
        <f t="shared" si="11"/>
        <v>100</v>
      </c>
      <c r="V32" s="1572" t="s">
        <v>8</v>
      </c>
      <c r="W32" s="1573">
        <f t="shared" si="12"/>
        <v>100</v>
      </c>
      <c r="X32" s="1566"/>
      <c r="Y32" s="3404"/>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04"/>
      <c r="Q33" s="1571">
        <f t="shared" si="8"/>
        <v>111</v>
      </c>
      <c r="R33" s="1572" t="s">
        <v>8</v>
      </c>
      <c r="S33" s="1573">
        <f t="shared" si="10"/>
        <v>100</v>
      </c>
      <c r="T33" s="1572" t="s">
        <v>8</v>
      </c>
      <c r="U33" s="1573">
        <f t="shared" si="11"/>
        <v>100</v>
      </c>
      <c r="V33" s="1572" t="s">
        <v>8</v>
      </c>
      <c r="W33" s="1573">
        <f t="shared" si="12"/>
        <v>100</v>
      </c>
      <c r="X33" s="1566"/>
      <c r="Y33" s="3404"/>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05" t="s">
        <v>551</v>
      </c>
      <c r="Q34" s="1571">
        <f t="shared" si="8"/>
        <v>111</v>
      </c>
      <c r="R34" s="1572" t="s">
        <v>8</v>
      </c>
      <c r="S34" s="1573">
        <f t="shared" si="10"/>
        <v>100</v>
      </c>
      <c r="T34" s="1572" t="s">
        <v>8</v>
      </c>
      <c r="U34" s="1573">
        <f t="shared" si="11"/>
        <v>100</v>
      </c>
      <c r="V34" s="1572" t="s">
        <v>8</v>
      </c>
      <c r="W34" s="1573">
        <f t="shared" si="12"/>
        <v>100</v>
      </c>
      <c r="X34" s="1566"/>
      <c r="Y34" s="3406" t="s">
        <v>551</v>
      </c>
      <c r="Z34" s="1574">
        <f t="shared" si="13"/>
        <v>111</v>
      </c>
      <c r="AA34" s="1575">
        <f t="shared" si="3"/>
        <v>1</v>
      </c>
      <c r="AB34" s="1575">
        <f t="shared" si="4"/>
        <v>1</v>
      </c>
      <c r="AC34" s="1575">
        <f t="shared" si="5"/>
        <v>1</v>
      </c>
    </row>
    <row r="35" spans="1:29" s="1338" customFormat="1" ht="15.75" thickBot="1">
      <c r="A35" s="589"/>
      <c r="B35" s="261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06"/>
      <c r="Q35" s="1571">
        <f t="shared" si="8"/>
        <v>111</v>
      </c>
      <c r="R35" s="1576" t="s">
        <v>8</v>
      </c>
      <c r="S35" s="1577">
        <f t="shared" si="10"/>
        <v>100</v>
      </c>
      <c r="T35" s="1576" t="s">
        <v>8</v>
      </c>
      <c r="U35" s="1577">
        <f t="shared" si="11"/>
        <v>100</v>
      </c>
      <c r="V35" s="1576" t="s">
        <v>8</v>
      </c>
      <c r="W35" s="1577">
        <f t="shared" si="12"/>
        <v>100</v>
      </c>
      <c r="X35" s="1578"/>
      <c r="Y35" s="3406"/>
      <c r="Z35" s="1579">
        <f t="shared" si="13"/>
        <v>111</v>
      </c>
      <c r="AA35" s="1575">
        <f t="shared" si="3"/>
        <v>1</v>
      </c>
      <c r="AB35" s="1575">
        <f t="shared" si="4"/>
        <v>1</v>
      </c>
      <c r="AC35" s="1575">
        <f t="shared" si="5"/>
        <v>1</v>
      </c>
    </row>
    <row r="36" spans="1:29" ht="15">
      <c r="A36" s="2932" t="s">
        <v>2756</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06"/>
      <c r="Q36" s="1571" t="str">
        <f>B36</f>
        <v>宗地面积</v>
      </c>
      <c r="R36" s="1572" t="s">
        <v>8</v>
      </c>
      <c r="S36" s="1573" t="e">
        <f t="shared" si="10"/>
        <v>#N/A</v>
      </c>
      <c r="T36" s="1572" t="s">
        <v>8</v>
      </c>
      <c r="U36" s="1573" t="e">
        <f t="shared" si="11"/>
        <v>#N/A</v>
      </c>
      <c r="V36" s="1572" t="s">
        <v>8</v>
      </c>
      <c r="W36" s="1573" t="e">
        <f t="shared" si="12"/>
        <v>#N/A</v>
      </c>
      <c r="X36" s="1566"/>
      <c r="Y36" s="3406"/>
      <c r="Z36" s="1574" t="str">
        <f t="shared" si="13"/>
        <v>宗地面积</v>
      </c>
      <c r="AA36" s="1575" t="e">
        <f t="shared" si="3"/>
        <v>#N/A</v>
      </c>
      <c r="AB36" s="1575" t="e">
        <f t="shared" si="4"/>
        <v>#N/A</v>
      </c>
      <c r="AC36" s="1575"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06"/>
      <c r="Q37" s="1571" t="str">
        <f t="shared" ref="Q37:Q42" si="14">B37</f>
        <v>宗地形状</v>
      </c>
      <c r="R37" s="1572" t="s">
        <v>8</v>
      </c>
      <c r="S37" s="1573">
        <f t="shared" si="10"/>
        <v>100</v>
      </c>
      <c r="T37" s="1572" t="s">
        <v>8</v>
      </c>
      <c r="U37" s="1573">
        <f t="shared" si="11"/>
        <v>100</v>
      </c>
      <c r="V37" s="1572" t="s">
        <v>8</v>
      </c>
      <c r="W37" s="1573">
        <f t="shared" si="12"/>
        <v>100</v>
      </c>
      <c r="X37" s="1566"/>
      <c r="Y37" s="3406"/>
      <c r="Z37" s="1574" t="str">
        <f t="shared" si="13"/>
        <v>宗地形状</v>
      </c>
      <c r="AA37" s="1575">
        <f t="shared" si="3"/>
        <v>1</v>
      </c>
      <c r="AB37" s="1575">
        <f t="shared" si="4"/>
        <v>1</v>
      </c>
      <c r="AC37" s="1575">
        <f t="shared" si="5"/>
        <v>1</v>
      </c>
    </row>
    <row r="38" spans="1:29" s="1219" customFormat="1" ht="15">
      <c r="A38" s="600"/>
      <c r="B38" s="1894"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06"/>
      <c r="Q38" s="1571" t="str">
        <f t="shared" si="14"/>
        <v>宗地开发程度</v>
      </c>
      <c r="R38" s="1567" t="s">
        <v>8</v>
      </c>
      <c r="S38" s="1568">
        <f t="shared" si="10"/>
        <v>100</v>
      </c>
      <c r="T38" s="1567" t="s">
        <v>8</v>
      </c>
      <c r="U38" s="1568">
        <f t="shared" si="11"/>
        <v>100</v>
      </c>
      <c r="V38" s="1567" t="s">
        <v>8</v>
      </c>
      <c r="W38" s="1568">
        <f t="shared" si="12"/>
        <v>100</v>
      </c>
      <c r="X38" s="1569"/>
      <c r="Y38" s="3406"/>
      <c r="Z38" s="1149" t="str">
        <f t="shared" si="13"/>
        <v>宗地开发程度</v>
      </c>
      <c r="AA38" s="1570">
        <f t="shared" si="3"/>
        <v>1</v>
      </c>
      <c r="AB38" s="1570">
        <f t="shared" si="4"/>
        <v>1</v>
      </c>
      <c r="AC38" s="1570">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06" t="s">
        <v>602</v>
      </c>
      <c r="Q39" s="1571" t="str">
        <f t="shared" si="14"/>
        <v>工程地质条件</v>
      </c>
      <c r="R39" s="1572" t="s">
        <v>8</v>
      </c>
      <c r="S39" s="1573">
        <f t="shared" si="10"/>
        <v>100</v>
      </c>
      <c r="T39" s="1572" t="s">
        <v>8</v>
      </c>
      <c r="U39" s="1573">
        <f t="shared" si="11"/>
        <v>100</v>
      </c>
      <c r="V39" s="1572" t="s">
        <v>8</v>
      </c>
      <c r="W39" s="1573">
        <f t="shared" si="12"/>
        <v>100</v>
      </c>
      <c r="X39" s="1566"/>
      <c r="Y39" s="3406" t="s">
        <v>602</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06"/>
      <c r="Q40" s="1571">
        <f t="shared" si="14"/>
        <v>111</v>
      </c>
      <c r="R40" s="1572" t="s">
        <v>8</v>
      </c>
      <c r="S40" s="1573">
        <f t="shared" si="10"/>
        <v>100</v>
      </c>
      <c r="T40" s="1572" t="s">
        <v>8</v>
      </c>
      <c r="U40" s="1573">
        <f t="shared" si="11"/>
        <v>100</v>
      </c>
      <c r="V40" s="1572" t="s">
        <v>8</v>
      </c>
      <c r="W40" s="1573">
        <f t="shared" si="12"/>
        <v>100</v>
      </c>
      <c r="X40" s="1566"/>
      <c r="Y40" s="3406"/>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06"/>
      <c r="Q41" s="1571">
        <f t="shared" si="14"/>
        <v>111</v>
      </c>
      <c r="R41" s="1572" t="s">
        <v>8</v>
      </c>
      <c r="S41" s="1573">
        <f t="shared" si="10"/>
        <v>100</v>
      </c>
      <c r="T41" s="1572" t="s">
        <v>8</v>
      </c>
      <c r="U41" s="1573">
        <f t="shared" si="11"/>
        <v>100</v>
      </c>
      <c r="V41" s="1572" t="s">
        <v>8</v>
      </c>
      <c r="W41" s="1573">
        <f t="shared" si="12"/>
        <v>100</v>
      </c>
      <c r="X41" s="1566"/>
      <c r="Y41" s="3406"/>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06"/>
      <c r="Q42" s="1571">
        <f t="shared" si="14"/>
        <v>111</v>
      </c>
      <c r="R42" s="1576" t="s">
        <v>8</v>
      </c>
      <c r="S42" s="1577">
        <f t="shared" si="10"/>
        <v>100</v>
      </c>
      <c r="T42" s="1576" t="s">
        <v>8</v>
      </c>
      <c r="U42" s="1577">
        <f t="shared" si="11"/>
        <v>100</v>
      </c>
      <c r="V42" s="1576" t="s">
        <v>8</v>
      </c>
      <c r="W42" s="1577">
        <f t="shared" si="12"/>
        <v>100</v>
      </c>
      <c r="X42" s="1578"/>
      <c r="Y42" s="3406"/>
      <c r="Z42" s="1579">
        <f t="shared" si="13"/>
        <v>111</v>
      </c>
      <c r="AA42" s="1575">
        <f t="shared" si="3"/>
        <v>1</v>
      </c>
      <c r="AB42" s="1575">
        <f t="shared" si="4"/>
        <v>1</v>
      </c>
      <c r="AC42" s="1575">
        <f t="shared" si="5"/>
        <v>1</v>
      </c>
    </row>
    <row r="43" spans="1:29" ht="15">
      <c r="A43" s="607" t="s">
        <v>557</v>
      </c>
      <c r="B43" s="608" t="s">
        <v>2932</v>
      </c>
      <c r="C43" s="609" t="s">
        <v>1</v>
      </c>
      <c r="D43" s="610"/>
      <c r="E43" s="611"/>
      <c r="F43" s="612"/>
      <c r="G43" s="613"/>
      <c r="H43" s="614"/>
      <c r="I43" s="611"/>
      <c r="J43" s="614"/>
      <c r="K43" s="1339"/>
      <c r="L43" s="2143"/>
      <c r="M43" s="2133"/>
      <c r="N43" s="2133"/>
      <c r="O43" s="2144"/>
      <c r="P43" s="3367" t="str">
        <f>A43</f>
        <v>成交单价</v>
      </c>
      <c r="Q43" s="3367"/>
      <c r="R43" s="3368">
        <f>E43</f>
        <v>0</v>
      </c>
      <c r="S43" s="3368"/>
      <c r="T43" s="3368">
        <f>G43</f>
        <v>0</v>
      </c>
      <c r="U43" s="3368"/>
      <c r="V43" s="3368">
        <f>I43</f>
        <v>0</v>
      </c>
      <c r="W43" s="3368"/>
      <c r="X43" s="1558"/>
      <c r="Y43" s="1580"/>
      <c r="Z43" s="1558"/>
      <c r="AA43" s="1558"/>
      <c r="AB43" s="1558"/>
      <c r="AC43" s="1558"/>
    </row>
    <row r="44" spans="1:29" ht="15.75" thickBot="1">
      <c r="A44" s="615" t="s">
        <v>2694</v>
      </c>
      <c r="B44" s="616"/>
      <c r="C44" s="617" t="e">
        <f>R45</f>
        <v>#DIV/0!</v>
      </c>
      <c r="D44" s="618"/>
      <c r="E44" s="617" t="e">
        <f>R44</f>
        <v>#DIV/0!</v>
      </c>
      <c r="F44" s="619"/>
      <c r="G44" s="620" t="e">
        <f>T44</f>
        <v>#DIV/0!</v>
      </c>
      <c r="H44" s="618"/>
      <c r="I44" s="617" t="e">
        <f>V44</f>
        <v>#DIV/0!</v>
      </c>
      <c r="J44" s="618"/>
      <c r="K44" s="1340"/>
      <c r="L44" s="2143"/>
      <c r="M44" s="2133"/>
      <c r="N44" s="2133"/>
      <c r="O44" s="2144"/>
      <c r="P44" s="3367" t="str">
        <f>A44</f>
        <v>比较价格（元/平方米）</v>
      </c>
      <c r="Q44" s="3367"/>
      <c r="R44" s="3369" t="e">
        <f>ROUND(PRODUCT(R43,AA9:AA42),0)</f>
        <v>#DIV/0!</v>
      </c>
      <c r="S44" s="3369"/>
      <c r="T44" s="3369" t="e">
        <f>ROUND(PRODUCT(T43,AB9:AB42),0)</f>
        <v>#DIV/0!</v>
      </c>
      <c r="U44" s="3369"/>
      <c r="V44" s="3369" t="e">
        <f>ROUND(PRODUCT(V43,AC9:AC42),0)</f>
        <v>#DIV/0!</v>
      </c>
      <c r="W44" s="3369"/>
      <c r="X44" s="1558"/>
      <c r="Y44" s="1558"/>
      <c r="Z44" s="1558"/>
      <c r="AA44" s="1558"/>
      <c r="AB44" s="1558"/>
      <c r="AC44" s="1558"/>
    </row>
    <row r="45" spans="1:29" ht="15.75" thickBot="1">
      <c r="A45" s="621" t="s">
        <v>2933</v>
      </c>
      <c r="B45" s="622"/>
      <c r="C45" s="623" t="e">
        <f>R45</f>
        <v>#DIV/0!</v>
      </c>
      <c r="D45" s="623"/>
      <c r="E45" s="623"/>
      <c r="F45" s="623"/>
      <c r="G45" s="623"/>
      <c r="H45" s="623"/>
      <c r="I45" s="623"/>
      <c r="J45" s="623"/>
      <c r="K45" s="1341"/>
      <c r="L45" s="2143"/>
      <c r="M45" s="2133"/>
      <c r="N45" s="2133"/>
      <c r="O45" s="2144"/>
      <c r="P45" s="3364" t="str">
        <f>A45</f>
        <v>估价对象XX用房的比较价格（楼面单价，元/平方米）</v>
      </c>
      <c r="Q45" s="3365"/>
      <c r="R45" s="3366" t="e">
        <f>ROUND(AVERAGE(R44:V44),0)</f>
        <v>#DIV/0!</v>
      </c>
      <c r="S45" s="3366"/>
      <c r="T45" s="3366"/>
      <c r="U45" s="3366"/>
      <c r="V45" s="3366"/>
      <c r="W45" s="3366"/>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561</v>
      </c>
      <c r="B52" s="630" t="s">
        <v>562</v>
      </c>
      <c r="C52" s="1559" t="s">
        <v>1725</v>
      </c>
      <c r="D52" s="2226" t="s">
        <v>2293</v>
      </c>
      <c r="E52" s="631" t="s">
        <v>563</v>
      </c>
      <c r="F52" s="1950" t="s">
        <v>564</v>
      </c>
      <c r="G52" s="3414" t="s">
        <v>2284</v>
      </c>
      <c r="H52" s="3415"/>
      <c r="I52" s="1951" t="s">
        <v>1948</v>
      </c>
      <c r="J52" s="1554" t="str">
        <f>项目基本情况!F41</f>
        <v>四川省成都市</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565</v>
      </c>
      <c r="B53" s="634" t="e">
        <f>C45</f>
        <v>#DIV/0!</v>
      </c>
      <c r="C53" s="635">
        <v>1</v>
      </c>
      <c r="D53" s="2227">
        <v>1</v>
      </c>
      <c r="E53" s="635">
        <f>'数据-汇总表'!E8+'数据-汇总表'!E9</f>
        <v>204632.7</v>
      </c>
      <c r="F53" s="1949" t="e">
        <f t="shared" ref="F53:F62" si="15">ROUND(B53*E53/10000,0)</f>
        <v>#DIV/0!</v>
      </c>
      <c r="G53" s="3416"/>
      <c r="H53" s="3417"/>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566</v>
      </c>
      <c r="B54" s="638" t="e">
        <f>ROUND($C$45*C54*D54,0)</f>
        <v>#DIV/0!</v>
      </c>
      <c r="C54" s="378">
        <f t="shared" ref="C54:C62" si="16">IF($C$52="北京市系数",I54,J54)</f>
        <v>0</v>
      </c>
      <c r="D54" s="2228">
        <v>0.25</v>
      </c>
      <c r="E54" s="639"/>
      <c r="F54" s="1949" t="e">
        <f t="shared" si="15"/>
        <v>#DIV/0!</v>
      </c>
      <c r="G54" s="3418" t="s">
        <v>2285</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567</v>
      </c>
      <c r="B55" s="638" t="e">
        <f t="shared" ref="B55:B62" si="17">ROUND($C$45*C55*D55,0)</f>
        <v>#DIV/0!</v>
      </c>
      <c r="C55" s="378">
        <f t="shared" si="16"/>
        <v>0</v>
      </c>
      <c r="D55" s="2228">
        <v>0.25</v>
      </c>
      <c r="E55" s="639"/>
      <c r="F55" s="1949" t="e">
        <f t="shared" si="15"/>
        <v>#DIV/0!</v>
      </c>
      <c r="G55" s="3418"/>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568</v>
      </c>
      <c r="B56" s="638" t="e">
        <f t="shared" si="17"/>
        <v>#DIV/0!</v>
      </c>
      <c r="C56" s="378">
        <f t="shared" si="16"/>
        <v>0</v>
      </c>
      <c r="D56" s="2228">
        <v>0.25</v>
      </c>
      <c r="E56" s="639"/>
      <c r="F56" s="1949" t="e">
        <f t="shared" si="15"/>
        <v>#DIV/0!</v>
      </c>
      <c r="G56" s="3418"/>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569</v>
      </c>
      <c r="B57" s="638" t="e">
        <f t="shared" si="17"/>
        <v>#DIV/0!</v>
      </c>
      <c r="C57" s="378">
        <f t="shared" si="16"/>
        <v>0</v>
      </c>
      <c r="D57" s="2228">
        <v>0.25</v>
      </c>
      <c r="E57" s="639"/>
      <c r="F57" s="1949" t="e">
        <f t="shared" si="15"/>
        <v>#DIV/0!</v>
      </c>
      <c r="G57" s="3418"/>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2326</v>
      </c>
      <c r="B58" s="638" t="e">
        <f t="shared" si="17"/>
        <v>#DIV/0!</v>
      </c>
      <c r="C58" s="378">
        <f t="shared" si="16"/>
        <v>0</v>
      </c>
      <c r="D58" s="2228">
        <v>0.25</v>
      </c>
      <c r="E58" s="641">
        <f>'数据-汇总表'!E11</f>
        <v>0</v>
      </c>
      <c r="F58" s="1949" t="e">
        <f t="shared" si="15"/>
        <v>#DIV/0!</v>
      </c>
      <c r="G58" s="1955" t="s">
        <v>2286</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570</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571</v>
      </c>
      <c r="B60" s="638" t="e">
        <f t="shared" si="17"/>
        <v>#DIV/0!</v>
      </c>
      <c r="C60" s="378">
        <f t="shared" si="16"/>
        <v>0</v>
      </c>
      <c r="D60" s="2228">
        <v>0.25</v>
      </c>
      <c r="E60" s="641">
        <f>'数据-汇总表'!E13</f>
        <v>0</v>
      </c>
      <c r="F60" s="1949" t="e">
        <f t="shared" si="15"/>
        <v>#DIV/0!</v>
      </c>
      <c r="G60" s="1945" t="s">
        <v>923</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572</v>
      </c>
      <c r="B61" s="638" t="e">
        <f t="shared" si="17"/>
        <v>#DIV/0!</v>
      </c>
      <c r="C61" s="378">
        <f t="shared" si="16"/>
        <v>0</v>
      </c>
      <c r="D61" s="2228">
        <v>0.25</v>
      </c>
      <c r="E61" s="641">
        <f>'数据-汇总表'!E14</f>
        <v>0</v>
      </c>
      <c r="F61" s="1949" t="e">
        <f t="shared" si="15"/>
        <v>#DIV/0!</v>
      </c>
      <c r="G61" s="1955" t="s">
        <v>2285</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573</v>
      </c>
      <c r="B62" s="638" t="e">
        <f t="shared" si="17"/>
        <v>#DIV/0!</v>
      </c>
      <c r="C62" s="378">
        <f t="shared" si="16"/>
        <v>0</v>
      </c>
      <c r="D62" s="2228">
        <v>0.25</v>
      </c>
      <c r="E62" s="641">
        <f>'数据-汇总表'!E15</f>
        <v>0</v>
      </c>
      <c r="F62" s="1949" t="e">
        <f t="shared" si="15"/>
        <v>#DIV/0!</v>
      </c>
      <c r="G62" s="1956" t="s">
        <v>2286</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574</v>
      </c>
      <c r="B63" s="643" t="s">
        <v>17</v>
      </c>
      <c r="C63" s="643" t="s">
        <v>18</v>
      </c>
      <c r="D63" s="643" t="s">
        <v>2294</v>
      </c>
      <c r="E63" s="643">
        <f>IF(B43="楼面地价",SUM(E53:E62),'数据-汇总表'!D3)</f>
        <v>81852.679999999993</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5" t="str">
        <f>YEAR(C9)&amp;"-"&amp;MONTH(C9)&amp;"-1"</f>
        <v>2017-11-1</v>
      </c>
      <c r="D65" s="2824">
        <f>EDATE(C65,-3)</f>
        <v>42948</v>
      </c>
      <c r="E65" s="2824">
        <f t="shared" ref="E65:N65" si="18">EDATE(D65,-3)</f>
        <v>42856</v>
      </c>
      <c r="F65" s="2824">
        <f t="shared" si="18"/>
        <v>42767</v>
      </c>
      <c r="G65" s="2824">
        <f t="shared" si="18"/>
        <v>42675</v>
      </c>
      <c r="H65" s="2824">
        <f t="shared" si="18"/>
        <v>42583</v>
      </c>
      <c r="I65" s="2824">
        <f t="shared" si="18"/>
        <v>42491</v>
      </c>
      <c r="J65" s="2824">
        <f t="shared" si="18"/>
        <v>42401</v>
      </c>
      <c r="K65" s="2824">
        <f t="shared" si="18"/>
        <v>42309</v>
      </c>
      <c r="L65" s="2824">
        <f t="shared" si="18"/>
        <v>42217</v>
      </c>
      <c r="M65" s="2824">
        <f t="shared" si="18"/>
        <v>42125</v>
      </c>
      <c r="N65" s="2824">
        <f t="shared" si="18"/>
        <v>42036</v>
      </c>
      <c r="O65" s="2144"/>
      <c r="P65" s="2144"/>
      <c r="Q65" s="2144"/>
      <c r="R65" s="2144"/>
      <c r="S65" s="2144"/>
      <c r="T65" s="2144"/>
      <c r="U65" s="2144"/>
      <c r="V65" s="2144"/>
      <c r="W65" s="2144"/>
      <c r="X65" s="2144"/>
      <c r="Y65" s="2144"/>
      <c r="Z65" s="2144"/>
      <c r="AA65" s="2144"/>
      <c r="AB65" s="2144"/>
      <c r="AC65" s="2144"/>
    </row>
    <row r="66" spans="1:29" ht="21.75" thickBot="1">
      <c r="A66" s="1583" t="s">
        <v>575</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91" t="s">
        <v>2533</v>
      </c>
      <c r="B67" s="646"/>
      <c r="C67" s="2819" t="str">
        <f>YEAR(C65)&amp;"-"&amp;ROUNDUP(MONTH(C65)/3,0)</f>
        <v>2017-4</v>
      </c>
      <c r="D67" s="2826" t="str">
        <f t="shared" ref="D67:N67" si="19">YEAR(D65)&amp;"-"&amp;ROUNDUP(MONTH(D65)/3,0)</f>
        <v>2017-3</v>
      </c>
      <c r="E67" s="2826" t="str">
        <f t="shared" si="19"/>
        <v>2017-2</v>
      </c>
      <c r="F67" s="2826" t="str">
        <f t="shared" si="19"/>
        <v>2017-1</v>
      </c>
      <c r="G67" s="2826" t="str">
        <f t="shared" si="19"/>
        <v>2016-4</v>
      </c>
      <c r="H67" s="2826" t="str">
        <f t="shared" si="19"/>
        <v>2016-3</v>
      </c>
      <c r="I67" s="2826" t="str">
        <f t="shared" si="19"/>
        <v>2016-2</v>
      </c>
      <c r="J67" s="2826" t="str">
        <f t="shared" si="19"/>
        <v>2016-1</v>
      </c>
      <c r="K67" s="2826" t="str">
        <f t="shared" si="19"/>
        <v>2015-4</v>
      </c>
      <c r="L67" s="2826" t="str">
        <f t="shared" si="19"/>
        <v>2015-3</v>
      </c>
      <c r="M67" s="2826" t="str">
        <f t="shared" si="19"/>
        <v>2015-2</v>
      </c>
      <c r="N67" s="2826" t="str">
        <f t="shared" si="19"/>
        <v>2015-1</v>
      </c>
      <c r="O67" s="2158"/>
      <c r="P67" s="2159"/>
      <c r="Q67" s="2160"/>
      <c r="R67" s="2160"/>
      <c r="S67" s="2160"/>
      <c r="T67" s="2160"/>
      <c r="U67" s="2160"/>
      <c r="V67" s="2160"/>
      <c r="W67" s="2160"/>
      <c r="X67" s="2160"/>
      <c r="Y67" s="2160"/>
      <c r="Z67" s="2160"/>
      <c r="AA67" s="2160"/>
      <c r="AB67" s="2160"/>
      <c r="AC67" s="2160"/>
    </row>
    <row r="68" spans="1:29" s="1219" customFormat="1" ht="27.75" customHeight="1">
      <c r="A68" s="2823" t="s">
        <v>2650</v>
      </c>
      <c r="B68" s="479" t="str">
        <f>"北京市平均增长率"&amp;TEXT(基准地价!P24,"0.00%")</f>
        <v>北京市平均增长率1.39%</v>
      </c>
      <c r="C68" s="894">
        <v>100</v>
      </c>
      <c r="D68" s="730"/>
      <c r="E68" s="730"/>
      <c r="F68" s="730"/>
      <c r="G68" s="730"/>
      <c r="H68" s="730"/>
      <c r="I68" s="730"/>
      <c r="J68" s="730"/>
      <c r="K68" s="730"/>
      <c r="L68" s="730"/>
      <c r="M68" s="2817"/>
      <c r="N68" s="2818"/>
      <c r="O68" s="2161"/>
      <c r="P68" s="2157"/>
      <c r="Q68" s="1992"/>
      <c r="R68" s="1992"/>
      <c r="S68" s="1992"/>
      <c r="T68" s="1992"/>
      <c r="U68" s="1992"/>
      <c r="V68" s="1992"/>
      <c r="W68" s="1992"/>
      <c r="X68" s="1992"/>
      <c r="Y68" s="1992"/>
      <c r="Z68" s="1992"/>
      <c r="AA68" s="1992"/>
      <c r="AB68" s="1992"/>
      <c r="AC68" s="1992"/>
    </row>
    <row r="69" spans="1:29" s="1219" customFormat="1" ht="15.75" thickBot="1">
      <c r="A69" s="653" t="s">
        <v>576</v>
      </c>
      <c r="B69" s="654"/>
      <c r="C69" s="2815"/>
      <c r="D69" s="2816"/>
      <c r="E69" s="2816"/>
      <c r="F69" s="2816"/>
      <c r="G69" s="2816"/>
      <c r="H69" s="2816"/>
      <c r="I69" s="2816"/>
      <c r="J69" s="2816"/>
      <c r="K69" s="2816"/>
      <c r="L69" s="2816"/>
      <c r="M69" s="2816"/>
      <c r="N69" s="2816"/>
      <c r="O69" s="2161"/>
      <c r="P69" s="2157"/>
      <c r="Q69" s="2157"/>
      <c r="R69" s="1992"/>
      <c r="S69" s="1992"/>
      <c r="T69" s="1992"/>
      <c r="U69" s="1992"/>
      <c r="V69" s="1992"/>
      <c r="W69" s="1992"/>
      <c r="X69" s="1992"/>
      <c r="Y69" s="1992"/>
      <c r="Z69" s="1992"/>
      <c r="AA69" s="1992"/>
      <c r="AB69" s="1992"/>
      <c r="AC69" s="1992"/>
    </row>
    <row r="70" spans="1:29" s="1219" customFormat="1" ht="15">
      <c r="A70" s="659" t="s">
        <v>532</v>
      </c>
      <c r="B70" s="648"/>
      <c r="C70" s="660" t="s">
        <v>577</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578</v>
      </c>
      <c r="B72" s="665" t="s">
        <v>535</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538</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540</v>
      </c>
      <c r="B85" s="665" t="s">
        <v>603</v>
      </c>
      <c r="C85" s="703" t="s">
        <v>580</v>
      </c>
      <c r="D85" s="703" t="s">
        <v>581</v>
      </c>
      <c r="E85" s="703" t="s">
        <v>582</v>
      </c>
      <c r="F85" s="703" t="s">
        <v>583</v>
      </c>
      <c r="G85" s="703" t="s">
        <v>584</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587</v>
      </c>
      <c r="C87" s="708" t="s">
        <v>580</v>
      </c>
      <c r="D87" s="708" t="s">
        <v>581</v>
      </c>
      <c r="E87" s="708" t="s">
        <v>582</v>
      </c>
      <c r="F87" s="708" t="s">
        <v>583</v>
      </c>
      <c r="G87" s="708" t="s">
        <v>584</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588</v>
      </c>
      <c r="C89" s="708" t="s">
        <v>580</v>
      </c>
      <c r="D89" s="708" t="s">
        <v>581</v>
      </c>
      <c r="E89" s="708" t="s">
        <v>582</v>
      </c>
      <c r="F89" s="708" t="s">
        <v>583</v>
      </c>
      <c r="G89" s="708" t="s">
        <v>584</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589</v>
      </c>
      <c r="C91" s="703" t="s">
        <v>580</v>
      </c>
      <c r="D91" s="703" t="s">
        <v>581</v>
      </c>
      <c r="E91" s="703" t="s">
        <v>582</v>
      </c>
      <c r="F91" s="703" t="s">
        <v>583</v>
      </c>
      <c r="G91" s="703" t="s">
        <v>584</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2548</v>
      </c>
      <c r="C93" s="703" t="s">
        <v>580</v>
      </c>
      <c r="D93" s="703" t="s">
        <v>581</v>
      </c>
      <c r="E93" s="703" t="s">
        <v>582</v>
      </c>
      <c r="F93" s="703" t="s">
        <v>583</v>
      </c>
      <c r="G93" s="703" t="s">
        <v>584</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620" t="s">
        <v>2550</v>
      </c>
      <c r="C95" s="2621" t="s">
        <v>2551</v>
      </c>
      <c r="D95" s="2621" t="s">
        <v>2552</v>
      </c>
      <c r="E95" s="2621" t="s">
        <v>2553</v>
      </c>
      <c r="F95" s="2621" t="s">
        <v>2554</v>
      </c>
      <c r="G95" s="2621" t="s">
        <v>2555</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3"/>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590</v>
      </c>
      <c r="D97" s="674" t="s">
        <v>591</v>
      </c>
      <c r="E97" s="674" t="s">
        <v>592</v>
      </c>
      <c r="F97" s="674" t="s">
        <v>593</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549</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550</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8" t="str">
        <f t="shared" si="25"/>
        <v>(含)-</v>
      </c>
      <c r="L109" s="3119" t="str">
        <f t="shared" si="25"/>
        <v>(含)-</v>
      </c>
      <c r="M109" s="3120"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595</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2423</v>
      </c>
      <c r="C114" s="1374"/>
      <c r="D114" s="1374"/>
      <c r="E114" s="1374"/>
      <c r="F114" s="1374"/>
      <c r="G114" s="1374"/>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597</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A33" sqref="A33:A36"/>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2424</v>
      </c>
      <c r="D1" s="1520">
        <f>SUM(D29:D30,D33:D39)</f>
        <v>0</v>
      </c>
      <c r="E1" s="1405" t="s">
        <v>2425</v>
      </c>
      <c r="F1" s="2475"/>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61" t="s">
        <v>2763</v>
      </c>
      <c r="S1" s="2961" t="s">
        <v>2764</v>
      </c>
      <c r="T1" s="2961" t="s">
        <v>2785</v>
      </c>
      <c r="U1" s="2961" t="s">
        <v>2786</v>
      </c>
      <c r="V1" s="2961" t="s">
        <v>2787</v>
      </c>
      <c r="W1" s="2188"/>
      <c r="X1" s="2188"/>
      <c r="Y1" s="2188"/>
      <c r="Z1" s="2188"/>
      <c r="AA1" s="2188"/>
      <c r="AB1" s="2188"/>
      <c r="AC1" s="2189"/>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88"/>
      <c r="X2" s="2188"/>
      <c r="Y2" s="2188"/>
      <c r="Z2" s="2188"/>
      <c r="AA2" s="2188"/>
      <c r="AB2" s="2188"/>
      <c r="AC2" s="2189"/>
    </row>
    <row r="3" spans="1:39" ht="15.75">
      <c r="A3" s="1410" t="s">
        <v>1688</v>
      </c>
      <c r="B3" s="1037" t="e">
        <f>ROUND(B2*10000/D1,0)</f>
        <v>#DIV/0!</v>
      </c>
      <c r="C3" s="1406" t="s">
        <v>927</v>
      </c>
      <c r="D3" s="1407" t="s">
        <v>928</v>
      </c>
      <c r="E3" s="1411"/>
      <c r="F3" s="1412" t="s">
        <v>2934</v>
      </c>
      <c r="G3" s="1038">
        <f>IF(F3="宗地容积率",'数据-汇总表'!I4,IF(F3="估价对象容积率",'数据-汇总表'!I6,'数据-汇总表'!I7))</f>
        <v>2.5</v>
      </c>
      <c r="H3" s="1413" t="s">
        <v>929</v>
      </c>
      <c r="I3" s="1039">
        <v>8</v>
      </c>
      <c r="J3" s="1409" t="s">
        <v>930</v>
      </c>
      <c r="K3" s="1400"/>
      <c r="L3" s="1884" t="s">
        <v>2240</v>
      </c>
      <c r="M3" s="1885">
        <f>SUMPRODUCT((区片价!B29:B48=I2)*(区片价!C3:F3=E2)*(区片价!C29:F48))</f>
        <v>0</v>
      </c>
      <c r="N3" s="1886">
        <f>SUMPRODUCT((因素修正幅度!B29:B48=I2)*(因素修正幅度!C3:F3=E2)*(因素修正幅度!C29:F48))</f>
        <v>0</v>
      </c>
      <c r="O3" s="2188"/>
      <c r="P3" s="2188"/>
      <c r="Q3" s="2188"/>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88"/>
      <c r="X3" s="2188"/>
      <c r="Y3" s="2188"/>
      <c r="Z3" s="2188"/>
      <c r="AA3" s="2188"/>
      <c r="AB3" s="2188"/>
      <c r="AC3" s="2189"/>
    </row>
    <row r="4" spans="1:39" ht="28.5">
      <c r="A4" s="1890" t="s">
        <v>2280</v>
      </c>
      <c r="B4" s="2476" t="e">
        <f>ROUND(B2*10000/F1,0)</f>
        <v>#DIV/0!</v>
      </c>
      <c r="C4" s="1893" t="s">
        <v>2254</v>
      </c>
      <c r="D4" s="1893" t="e">
        <f>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62">
        <v>3</v>
      </c>
      <c r="S4" s="2962">
        <f>ROUND(IF(G3&gt;1,IF(R4&lt;7,SUMPRODUCT((B93:B98=R4)*(C92:N92=G2)*(C93:N98)),SUMIF(C92:N92,G2,C100:N100)),IF(R4&lt;7,SUMPRODUCT((B102:B107=R4)*(C92:N92=G2)*(C102:N107)),SUMIF(C92:N92,G2,C109:N109))),4)</f>
        <v>0</v>
      </c>
      <c r="T4" s="2962" t="e">
        <f t="shared" si="0"/>
        <v>#DIV/0!</v>
      </c>
      <c r="U4" s="2951"/>
      <c r="V4" s="2962" t="e">
        <f t="shared" si="1"/>
        <v>#DIV/0!</v>
      </c>
      <c r="W4" s="2188"/>
      <c r="X4" s="2188"/>
      <c r="Y4" s="2188"/>
      <c r="Z4" s="2188"/>
      <c r="AA4" s="2188"/>
      <c r="AB4" s="2188"/>
      <c r="AC4" s="2189"/>
    </row>
    <row r="5" spans="1:39" s="1420" customFormat="1" ht="15.75" thickBot="1">
      <c r="A5" s="1637" t="s">
        <v>1824</v>
      </c>
      <c r="B5" s="1414" t="s">
        <v>931</v>
      </c>
      <c r="C5" s="1040" t="e">
        <f>ROUND(IF(E2="商业",IF(F16="增加",C6*C7+C16,C6*C7-C16),IF(E2="住宅",IF(F16="增加",C6*C12+C16,C6*C12-C16),IF(F16="增加",C6+C16,C6-C16))),0)</f>
        <v>#DIV/0!</v>
      </c>
      <c r="D5" s="3150">
        <f>ROUND(IF(E2="商业",IF(F16="增加",C6+C16,C6-C16)),0)</f>
        <v>0</v>
      </c>
      <c r="E5" s="1415"/>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62">
        <v>4</v>
      </c>
      <c r="S5" s="2962">
        <f>ROUND(IF(G3&gt;1,IF(R5&lt;7,SUMPRODUCT((B93:B98=R5)*(C92:N92=G2)*(C93:N98)),SUMIF(C92:N92,G2,C100:N100)),IF(R5&lt;7,SUMPRODUCT((B102:B107=R5)*(C92:N92=G2)*(C102:N107)),SUMIF(C92:N92,G2,C109:N109))),4)</f>
        <v>0</v>
      </c>
      <c r="T5" s="2962" t="e">
        <f t="shared" si="0"/>
        <v>#DIV/0!</v>
      </c>
      <c r="U5" s="2951"/>
      <c r="V5" s="2962"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4" t="s">
        <v>2243</v>
      </c>
      <c r="M6" s="1885">
        <f>SUMPRODUCT((区片价!B110:B157=I2)*(区片价!C3:F3=E2)*(区片价!C110:F157))</f>
        <v>0</v>
      </c>
      <c r="N6" s="1886">
        <f>SUMPRODUCT((因素修正幅度!B110:B157=I2)*(因素修正幅度!C3:F3=E2)*(因素修正幅度!C110:F157))</f>
        <v>0</v>
      </c>
      <c r="O6" s="2188"/>
      <c r="P6" s="2188"/>
      <c r="Q6" s="2188"/>
      <c r="R6" s="2962">
        <v>5</v>
      </c>
      <c r="S6" s="2962">
        <f>ROUND(IF(G3&gt;1,IF(R6&lt;7,SUMPRODUCT((B93:B98=R6)*(C92:N92=G2)*(C93:N98)),SUMIF(C92:N92,G2,C100:N100)),IF(R6&lt;7,SUMPRODUCT((B102:B107=R6)*(C92:N92=G2)*(C102:N107)),SUMIF(C92:N92,G2,C109:N109))),4)</f>
        <v>0</v>
      </c>
      <c r="T6" s="2962" t="e">
        <f t="shared" si="0"/>
        <v>#DIV/0!</v>
      </c>
      <c r="U6" s="2951"/>
      <c r="V6" s="2962" t="e">
        <f t="shared" si="1"/>
        <v>#DIV/0!</v>
      </c>
      <c r="W6" s="2188"/>
      <c r="X6" s="2188"/>
      <c r="Y6" s="2188"/>
      <c r="Z6" s="2188"/>
      <c r="AA6" s="2188"/>
      <c r="AB6" s="2188"/>
      <c r="AC6" s="2190"/>
      <c r="AD6" s="1418"/>
      <c r="AE6" s="1418"/>
      <c r="AF6" s="1418"/>
      <c r="AG6" s="1418"/>
      <c r="AH6" s="1418"/>
      <c r="AI6" s="1418"/>
      <c r="AJ6" s="1419"/>
    </row>
    <row r="7" spans="1:39" ht="24">
      <c r="A7" s="3428" t="str">
        <f>IF(E2="商业",IF(C8="不临58条商业街","",2),"")</f>
        <v/>
      </c>
      <c r="B7" s="1426" t="s">
        <v>932</v>
      </c>
      <c r="C7" s="1042" t="e">
        <f>IF(C8="不临58条商业街",1,ROUND(1+(1.6*E8+1.2*E9+0.8*E10+0.4*E11)*C9,4))</f>
        <v>#DIV/0!</v>
      </c>
      <c r="D7" s="1427" t="s">
        <v>933</v>
      </c>
      <c r="E7" s="1043"/>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2766</v>
      </c>
      <c r="X7" s="2952">
        <f>G2</f>
        <v>0</v>
      </c>
      <c r="Y7" s="2952" t="s">
        <v>2767</v>
      </c>
      <c r="Z7" s="2953">
        <f>G3</f>
        <v>2.5</v>
      </c>
      <c r="AA7" s="2191"/>
      <c r="AB7" s="2191"/>
      <c r="AC7" s="2192"/>
      <c r="AD7" s="2954"/>
      <c r="AE7" s="2954"/>
      <c r="AF7" s="2954"/>
      <c r="AG7" s="2954"/>
      <c r="AH7" s="2954"/>
      <c r="AI7" s="2954"/>
      <c r="AJ7" s="2955"/>
    </row>
    <row r="8" spans="1:39" ht="15">
      <c r="A8" s="3429"/>
      <c r="B8" s="1413" t="s">
        <v>934</v>
      </c>
      <c r="C8" s="1528"/>
      <c r="D8" s="1044" t="s">
        <v>935</v>
      </c>
      <c r="E8" s="1045" t="e">
        <f>ROUND(C11/E7,4)</f>
        <v>#DIV/0!</v>
      </c>
      <c r="F8" s="1431" t="s">
        <v>936</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62">
        <v>7</v>
      </c>
      <c r="S8" s="2951"/>
      <c r="T8" s="2962" t="e">
        <f t="shared" si="0"/>
        <v>#DIV/0!</v>
      </c>
      <c r="U8" s="2951"/>
      <c r="V8" s="2962" t="e">
        <f t="shared" si="1"/>
        <v>#DIV/0!</v>
      </c>
      <c r="W8" s="3420" t="s">
        <v>2784</v>
      </c>
      <c r="X8" s="3421"/>
      <c r="Y8" s="1848" t="s">
        <v>2768</v>
      </c>
      <c r="Z8" s="1848" t="s">
        <v>2769</v>
      </c>
      <c r="AA8" s="1848" t="s">
        <v>2770</v>
      </c>
      <c r="AB8" s="1848" t="s">
        <v>2771</v>
      </c>
      <c r="AC8" s="1848" t="s">
        <v>2772</v>
      </c>
      <c r="AD8" s="1848" t="s">
        <v>2773</v>
      </c>
      <c r="AE8" s="1848" t="s">
        <v>2774</v>
      </c>
      <c r="AF8" s="1848" t="s">
        <v>2775</v>
      </c>
      <c r="AG8" s="1848" t="s">
        <v>2776</v>
      </c>
      <c r="AH8" s="1848" t="s">
        <v>2777</v>
      </c>
      <c r="AI8" s="1848" t="s">
        <v>2778</v>
      </c>
      <c r="AJ8" s="1848" t="s">
        <v>2779</v>
      </c>
    </row>
    <row r="9" spans="1:39" ht="15">
      <c r="A9" s="3429"/>
      <c r="B9" s="1413" t="s">
        <v>937</v>
      </c>
      <c r="C9" s="1046">
        <f>SUMIF(修正!C59:C119,C8,修正!E59:E119)</f>
        <v>0</v>
      </c>
      <c r="D9" s="1047" t="s">
        <v>938</v>
      </c>
      <c r="E9" s="1047" t="e">
        <f>ROUND(C11/E7,4)</f>
        <v>#DIV/0!</v>
      </c>
      <c r="F9" s="1431" t="s">
        <v>939</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62">
        <v>8</v>
      </c>
      <c r="S9" s="2951"/>
      <c r="T9" s="2962" t="e">
        <f t="shared" si="0"/>
        <v>#DIV/0!</v>
      </c>
      <c r="U9" s="2951"/>
      <c r="V9" s="2962" t="e">
        <f t="shared" si="1"/>
        <v>#DIV/0!</v>
      </c>
      <c r="W9" s="3419" t="s">
        <v>2780</v>
      </c>
      <c r="X9" s="2956" t="s">
        <v>2781</v>
      </c>
      <c r="Y9" s="3124"/>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29"/>
      <c r="B10" s="1413" t="s">
        <v>940</v>
      </c>
      <c r="C10" s="1047">
        <f>SUMIF(修正!C59:C119,C8,修正!F59:F119)</f>
        <v>0</v>
      </c>
      <c r="D10" s="1047" t="s">
        <v>941</v>
      </c>
      <c r="E10" s="1047" t="e">
        <f>ROUND(C11/E7,4)</f>
        <v>#DIV/0!</v>
      </c>
      <c r="F10" s="1431" t="s">
        <v>942</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62">
        <v>9</v>
      </c>
      <c r="S10" s="2951"/>
      <c r="T10" s="2962" t="e">
        <f t="shared" si="0"/>
        <v>#DIV/0!</v>
      </c>
      <c r="U10" s="2951"/>
      <c r="V10" s="2962" t="e">
        <f t="shared" si="1"/>
        <v>#DIV/0!</v>
      </c>
      <c r="W10" s="3419"/>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29"/>
      <c r="B11" s="1434" t="s">
        <v>943</v>
      </c>
      <c r="C11" s="1048">
        <f>C10/4</f>
        <v>0</v>
      </c>
      <c r="D11" s="1048" t="s">
        <v>944</v>
      </c>
      <c r="E11" s="1048" t="e">
        <f>ROUND(C11/E7,4)</f>
        <v>#DIV/0!</v>
      </c>
      <c r="F11" s="1435" t="s">
        <v>945</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62">
        <v>10</v>
      </c>
      <c r="S11" s="2951"/>
      <c r="T11" s="2962" t="e">
        <f t="shared" si="0"/>
        <v>#DIV/0!</v>
      </c>
      <c r="U11" s="2951"/>
      <c r="V11" s="2962" t="e">
        <f t="shared" si="1"/>
        <v>#DIV/0!</v>
      </c>
      <c r="W11" s="3419" t="s">
        <v>2782</v>
      </c>
      <c r="X11" s="1047" t="s">
        <v>2767</v>
      </c>
      <c r="Y11" s="1652">
        <f>$G$3</f>
        <v>2.5</v>
      </c>
      <c r="Z11" s="1652">
        <f t="shared" ref="Z11:AJ11" si="3">$G$3</f>
        <v>2.5</v>
      </c>
      <c r="AA11" s="1652">
        <f t="shared" si="3"/>
        <v>2.5</v>
      </c>
      <c r="AB11" s="1652">
        <f t="shared" si="3"/>
        <v>2.5</v>
      </c>
      <c r="AC11" s="1652">
        <f t="shared" si="3"/>
        <v>2.5</v>
      </c>
      <c r="AD11" s="1652">
        <f t="shared" si="3"/>
        <v>2.5</v>
      </c>
      <c r="AE11" s="1652">
        <f t="shared" si="3"/>
        <v>2.5</v>
      </c>
      <c r="AF11" s="1652">
        <f t="shared" si="3"/>
        <v>2.5</v>
      </c>
      <c r="AG11" s="1652">
        <f t="shared" si="3"/>
        <v>2.5</v>
      </c>
      <c r="AH11" s="1652">
        <f t="shared" si="3"/>
        <v>2.5</v>
      </c>
      <c r="AI11" s="1652">
        <f t="shared" si="3"/>
        <v>2.5</v>
      </c>
      <c r="AJ11" s="1652">
        <f t="shared" si="3"/>
        <v>2.5</v>
      </c>
    </row>
    <row r="12" spans="1:39" ht="25.5" thickBot="1">
      <c r="A12" s="3428" t="s">
        <v>1872</v>
      </c>
      <c r="B12" s="1438" t="s">
        <v>946</v>
      </c>
      <c r="C12" s="1042">
        <f>ROUND(C15*D15*E15*F15*G15*H15*I15*J15,4)</f>
        <v>1</v>
      </c>
      <c r="D12" s="1439" t="s">
        <v>947</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62">
        <v>11</v>
      </c>
      <c r="S12" s="2951"/>
      <c r="T12" s="2962" t="e">
        <f t="shared" si="0"/>
        <v>#DIV/0!</v>
      </c>
      <c r="U12" s="2951"/>
      <c r="V12" s="2962" t="e">
        <f t="shared" si="1"/>
        <v>#DIV/0!</v>
      </c>
      <c r="W12" s="3419"/>
      <c r="X12" s="2959" t="s">
        <v>2783</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30"/>
      <c r="B13" s="1443" t="s">
        <v>1697</v>
      </c>
      <c r="C13" s="1444" t="s">
        <v>1698</v>
      </c>
      <c r="D13" s="1088" t="s">
        <v>1699</v>
      </c>
      <c r="E13" s="1088" t="s">
        <v>1700</v>
      </c>
      <c r="F13" s="1445" t="s">
        <v>948</v>
      </c>
      <c r="G13" s="1446" t="s">
        <v>1643</v>
      </c>
      <c r="H13" s="1447" t="s">
        <v>1643</v>
      </c>
      <c r="I13" s="1448" t="s">
        <v>1643</v>
      </c>
      <c r="J13" s="1449" t="s">
        <v>1643</v>
      </c>
      <c r="K13" s="1400"/>
      <c r="L13" s="2188"/>
      <c r="M13" s="2188"/>
      <c r="N13" s="2188"/>
      <c r="O13" s="2188"/>
      <c r="P13" s="2188"/>
      <c r="Q13" s="2188"/>
      <c r="R13" s="2962">
        <v>12</v>
      </c>
      <c r="S13" s="2951"/>
      <c r="T13" s="2962" t="e">
        <f t="shared" si="0"/>
        <v>#DIV/0!</v>
      </c>
      <c r="U13" s="2951"/>
      <c r="V13" s="2962" t="e">
        <f t="shared" si="1"/>
        <v>#DIV/0!</v>
      </c>
      <c r="W13" s="3419"/>
      <c r="X13" s="2959"/>
      <c r="Y13" s="2958">
        <f>(-0.163*(Y12^2)-0.59*Y12+7617)*(10^(-4))/Y11</f>
        <v>0.30468000000000001</v>
      </c>
      <c r="Z13" s="2958">
        <f t="shared" ref="Z13:AJ13" si="5">(-0.163*(Z12^2)-0.59*Z12+7617)*(10^(-4))/Z11</f>
        <v>0.30468000000000001</v>
      </c>
      <c r="AA13" s="2958">
        <f t="shared" si="5"/>
        <v>0.30468000000000001</v>
      </c>
      <c r="AB13" s="2958">
        <f t="shared" si="5"/>
        <v>0.30468000000000001</v>
      </c>
      <c r="AC13" s="2958">
        <f t="shared" si="5"/>
        <v>0.30468000000000001</v>
      </c>
      <c r="AD13" s="2958">
        <f t="shared" si="5"/>
        <v>0.30468000000000001</v>
      </c>
      <c r="AE13" s="2958">
        <f t="shared" si="5"/>
        <v>0.30468000000000001</v>
      </c>
      <c r="AF13" s="2958">
        <f t="shared" si="5"/>
        <v>0.30468000000000001</v>
      </c>
      <c r="AG13" s="2958">
        <f t="shared" si="5"/>
        <v>0.30468000000000001</v>
      </c>
      <c r="AH13" s="2958">
        <f t="shared" si="5"/>
        <v>0.30468000000000001</v>
      </c>
      <c r="AI13" s="2958">
        <f t="shared" si="5"/>
        <v>0.30468000000000001</v>
      </c>
      <c r="AJ13" s="2958">
        <f t="shared" si="5"/>
        <v>0.30468000000000001</v>
      </c>
    </row>
    <row r="14" spans="1:39" ht="12.75" customHeight="1" thickBot="1">
      <c r="A14" s="3430"/>
      <c r="B14" s="1450"/>
      <c r="C14" s="1451"/>
      <c r="D14" s="1452"/>
      <c r="E14" s="1452"/>
      <c r="F14" s="1453"/>
      <c r="G14" s="1454" t="s">
        <v>949</v>
      </c>
      <c r="H14" s="1455"/>
      <c r="I14" s="1456"/>
      <c r="J14" s="1457"/>
      <c r="K14" s="1400"/>
      <c r="L14" s="2188"/>
      <c r="M14" s="2188"/>
      <c r="N14" s="2188"/>
      <c r="O14" s="2188"/>
      <c r="P14" s="2188"/>
      <c r="Q14" s="2188"/>
      <c r="R14" s="2962">
        <v>13</v>
      </c>
      <c r="S14" s="2951"/>
      <c r="T14" s="2962" t="e">
        <f t="shared" si="0"/>
        <v>#DIV/0!</v>
      </c>
      <c r="U14" s="2951"/>
      <c r="V14" s="2962" t="e">
        <f t="shared" si="1"/>
        <v>#DIV/0!</v>
      </c>
      <c r="W14" s="2188"/>
      <c r="X14" s="2188"/>
      <c r="Y14" s="2188"/>
      <c r="Z14" s="2188"/>
      <c r="AA14" s="2188"/>
      <c r="AB14" s="2188"/>
      <c r="AC14" s="2189"/>
    </row>
    <row r="15" spans="1:39" ht="13.5" customHeight="1" thickBot="1">
      <c r="A15" s="3431"/>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8"/>
      <c r="R15" s="2962">
        <v>14</v>
      </c>
      <c r="S15" s="2951"/>
      <c r="T15" s="2962" t="e">
        <f t="shared" si="0"/>
        <v>#DIV/0!</v>
      </c>
      <c r="U15" s="2951"/>
      <c r="V15" s="2962" t="e">
        <f t="shared" si="1"/>
        <v>#DIV/0!</v>
      </c>
      <c r="W15" s="2188"/>
      <c r="X15" s="2188"/>
      <c r="Y15" s="2188"/>
      <c r="Z15" s="2188"/>
      <c r="AA15" s="2188"/>
      <c r="AB15" s="2188"/>
      <c r="AC15" s="2189"/>
    </row>
    <row r="16" spans="1:39" ht="24">
      <c r="A16" s="3428"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1"/>
      <c r="R16" s="2962">
        <v>15</v>
      </c>
      <c r="S16" s="2951"/>
      <c r="T16" s="2962" t="e">
        <f t="shared" si="0"/>
        <v>#DIV/0!</v>
      </c>
      <c r="U16" s="2951"/>
      <c r="V16" s="2962" t="e">
        <f t="shared" si="1"/>
        <v>#DIV/0!</v>
      </c>
      <c r="W16" s="2191"/>
      <c r="X16" s="2191"/>
      <c r="Y16" s="2191"/>
      <c r="Z16" s="2191"/>
      <c r="AA16" s="2191"/>
      <c r="AB16" s="2191"/>
      <c r="AC16" s="2192"/>
    </row>
    <row r="17" spans="1:40" ht="13.5" thickBot="1">
      <c r="A17" s="3429"/>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1830</v>
      </c>
      <c r="B18" s="2797" t="s">
        <v>956</v>
      </c>
      <c r="C18" s="2798">
        <f>SUMIF(修正!C18:C39,E3,修正!E18:E39)</f>
        <v>0</v>
      </c>
      <c r="D18" s="2799"/>
      <c r="E18" s="2800"/>
      <c r="F18" s="2801"/>
      <c r="G18" s="2795"/>
      <c r="H18" s="2795"/>
      <c r="I18" s="2795"/>
      <c r="J18" s="2802"/>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ROUND(IF(H19="按公示增长率计算",SUMPRODUCT((地价!A3:A20=YEAR(G19)&amp;"-"&amp;ROUNDUP(MONTH(G19)/3,0))*(地价!X2:AB2=E2)*(地价!X3:AB20)),IF(H19="地价指数",M20/M19,(1+I19)^O19)),4)</f>
        <v>#DIV/0!</v>
      </c>
      <c r="D19" s="1473" t="s">
        <v>958</v>
      </c>
      <c r="E19" s="1057">
        <v>41640</v>
      </c>
      <c r="F19" s="1473" t="s">
        <v>959</v>
      </c>
      <c r="G19" s="1058">
        <f>'数据-取费表'!B2</f>
        <v>43068</v>
      </c>
      <c r="H19" s="1474" t="s">
        <v>2935</v>
      </c>
      <c r="I19" s="2809" t="str">
        <f>IF(H19="季度增幅（自定义）",SUMIF(N21:N24,E2,O21:O24),"")</f>
        <v/>
      </c>
      <c r="J19" s="1470"/>
      <c r="K19" s="1480"/>
      <c r="L19" s="3065" t="s">
        <v>2842</v>
      </c>
      <c r="M19" s="3066">
        <f>ROUND(SUMIF(地价!B2:F2,E2,地价!B20:F20),0)</f>
        <v>0</v>
      </c>
      <c r="N19" s="2811" t="s">
        <v>1677</v>
      </c>
      <c r="O19" s="2810">
        <f>ROUNDDOWN(DATEDIF(E19,G19,"M")/3,0)</f>
        <v>15</v>
      </c>
      <c r="P19" s="1595"/>
      <c r="R19" s="2950"/>
      <c r="S19" s="2950"/>
      <c r="T19" s="2950"/>
      <c r="U19" s="2950"/>
      <c r="V19" s="2950"/>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803" t="s">
        <v>1837</v>
      </c>
      <c r="B20" s="2804" t="s">
        <v>972</v>
      </c>
      <c r="C20" s="2805" t="e">
        <f>ROUND(POWER(1+G20,J20-I20)*(POWER(1+G20,I20)-1)/(POWER(1+G20,J20)-1),4)</f>
        <v>#DIV/0!</v>
      </c>
      <c r="D20" s="2806" t="s">
        <v>973</v>
      </c>
      <c r="E20" s="3121">
        <f ca="1">存贷款利率!I4/100</f>
        <v>4.3499999999999997E-2</v>
      </c>
      <c r="F20" s="2806" t="s">
        <v>974</v>
      </c>
      <c r="G20" s="2807">
        <f>SUMIF(M15:P15,E2,M17:P17)</f>
        <v>0</v>
      </c>
      <c r="H20" s="2806" t="s">
        <v>975</v>
      </c>
      <c r="I20" s="2796" t="e">
        <f>SUMIF('数据-取费表'!C6:C15,E2,'数据-取费表'!F6:F15)/COUNTIF('数据-取费表'!C6:C15,E2)</f>
        <v>#DIV/0!</v>
      </c>
      <c r="J20" s="2808">
        <f>IF(E2="住宅",70,IF(E2="商业",40,50))</f>
        <v>50</v>
      </c>
      <c r="K20" s="1480"/>
      <c r="L20" s="3067" t="s">
        <v>2843</v>
      </c>
      <c r="M20" s="3068">
        <f>ROUND(SUMPRODUCT((地价!A5:A20=YEAR(G19)&amp;"-"&amp;ROUNDUP(MONTH(G19)/3,0))*(地价!B2:F2=E2)*(地价!B5:F20)),0)</f>
        <v>0</v>
      </c>
      <c r="N20" s="2814" t="s">
        <v>2647</v>
      </c>
      <c r="O20" s="2812" t="s">
        <v>2646</v>
      </c>
      <c r="P20" s="2813" t="s">
        <v>2651</v>
      </c>
      <c r="R20" s="2950"/>
      <c r="S20" s="2950"/>
      <c r="T20" s="2950"/>
      <c r="U20" s="2950"/>
      <c r="V20" s="2950"/>
      <c r="W20" s="2194"/>
      <c r="X20" s="2194"/>
      <c r="Y20" s="2194"/>
      <c r="Z20" s="2194"/>
      <c r="AA20" s="2194"/>
      <c r="AB20" s="2194"/>
      <c r="AC20" s="2194"/>
      <c r="AD20" s="1471"/>
      <c r="AE20" s="1471"/>
      <c r="AF20" s="1471"/>
      <c r="AG20" s="1471"/>
      <c r="AH20" s="1471"/>
      <c r="AI20" s="1471"/>
    </row>
    <row r="21" spans="1:40" s="1420" customFormat="1" ht="14.25">
      <c r="A21" s="1641" t="s">
        <v>1838</v>
      </c>
      <c r="B21" s="1479" t="s">
        <v>2762</v>
      </c>
      <c r="C21" s="1157">
        <f>IF(B21="容积率修正",IF(G3&lt;=10,D22,J22),C23)</f>
        <v>0</v>
      </c>
      <c r="D21" s="1480"/>
      <c r="E21" s="1480"/>
      <c r="F21" s="1480"/>
      <c r="G21" s="1480"/>
      <c r="H21" s="1480"/>
      <c r="I21" s="1480"/>
      <c r="J21" s="1481"/>
      <c r="K21" s="1480"/>
      <c r="L21" s="1480"/>
      <c r="M21" s="1480"/>
      <c r="N21" s="1477" t="s">
        <v>976</v>
      </c>
      <c r="O21" s="1541"/>
      <c r="P21" s="2794">
        <f>SUMPRODUCT((地价!A3:A20=YEAR(G19)&amp;"-"&amp;ROUNDUP(MONTH(G19)/3,0))*(地价!AD2:AH2=N21)*(地价!AD3:AH20))</f>
        <v>1.6400000000000001E-2</v>
      </c>
      <c r="R21" s="2950"/>
      <c r="S21" s="2950"/>
      <c r="T21" s="2950"/>
      <c r="U21" s="2950"/>
      <c r="V21" s="2950"/>
      <c r="W21" s="2194"/>
      <c r="X21" s="2194"/>
      <c r="Y21" s="2194"/>
      <c r="Z21" s="2194"/>
      <c r="AA21" s="2194"/>
      <c r="AB21" s="2194"/>
      <c r="AC21" s="2194"/>
      <c r="AD21" s="1402"/>
      <c r="AE21" s="1402"/>
      <c r="AF21" s="1402"/>
      <c r="AG21" s="1402"/>
      <c r="AH21" s="1471"/>
      <c r="AI21" s="1471"/>
    </row>
    <row r="22" spans="1:40" s="1420" customFormat="1" ht="14.25">
      <c r="A22" s="1642" t="s">
        <v>1871</v>
      </c>
      <c r="B22" s="1482" t="s">
        <v>977</v>
      </c>
      <c r="C22" s="1059" t="s">
        <v>1703</v>
      </c>
      <c r="D22" s="1059" t="b">
        <f>IF(E22=G22,F22,IF(G3&lt;=10,ROUND(F22+(H22-F22)*(G3-E22)/(G22-E22),4),"——"))</f>
        <v>0</v>
      </c>
      <c r="E22" s="1038">
        <f>ROUNDDOWN(G3,1)</f>
        <v>2.5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94">
        <f>SUMPRODUCT((地价!A3:A20=YEAR(G19)&amp;"-"&amp;ROUNDUP(MONTH(G19)/3,0))*(地价!AD2:AH2=N22)*(地价!AD3:AH20))</f>
        <v>1.6400000000000001E-2</v>
      </c>
      <c r="R22" s="2950"/>
      <c r="S22" s="2950"/>
      <c r="T22" s="2950"/>
      <c r="U22" s="2950"/>
      <c r="V22" s="2950"/>
      <c r="W22" s="2194"/>
      <c r="X22" s="2194"/>
      <c r="Y22" s="2194"/>
      <c r="Z22" s="2194"/>
      <c r="AA22" s="2194"/>
      <c r="AB22" s="2194"/>
      <c r="AC22" s="2194"/>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4">
        <f>SUMPRODUCT((地价!A3:A20=YEAR(G19)&amp;"-"&amp;ROUNDUP(MONTH(G19)/3,0))*(地价!AD2:AH2=N23)*(地价!AD3:AH20))</f>
        <v>2.7799999999999998E-2</v>
      </c>
      <c r="R23" s="2950"/>
      <c r="S23" s="2950"/>
      <c r="T23" s="2950"/>
      <c r="U23" s="2950"/>
      <c r="V23" s="2950"/>
      <c r="W23" s="2194"/>
      <c r="X23" s="2194"/>
      <c r="Y23" s="2194"/>
      <c r="Z23" s="2194"/>
      <c r="AA23" s="2194"/>
      <c r="AB23" s="2194"/>
      <c r="AC23" s="2194"/>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SUMPRODUCT((地价!A3:A20=YEAR(G19)&amp;"-"&amp;ROUNDUP(MONTH(G19)/3,0))*(地价!AD2:AH2=N24)*(地价!AD3:AH20))</f>
        <v>1.3899999999999999E-2</v>
      </c>
      <c r="R24" s="2950"/>
      <c r="S24" s="2950"/>
      <c r="T24" s="2950"/>
      <c r="U24" s="2950"/>
      <c r="V24" s="2950"/>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822" t="s">
        <v>2649</v>
      </c>
      <c r="O25" s="2194"/>
      <c r="P25" s="1540">
        <f>SUMPRODUCT((地价!A3:A20=YEAR(G19)&amp;"-"&amp;ROUNDUP(MONTH(G19)/3,0))*(地价!AD2:AH2=N25)*(地价!AD3:AH20))</f>
        <v>2.4899999999999999E-2</v>
      </c>
      <c r="R25" s="2950"/>
      <c r="S25" s="2950"/>
      <c r="T25" s="2950"/>
      <c r="U25" s="2950"/>
      <c r="V25" s="2950"/>
      <c r="W25" s="2194"/>
      <c r="X25" s="2194"/>
      <c r="Y25" s="2194"/>
      <c r="Z25" s="2194"/>
      <c r="AA25" s="2194"/>
      <c r="AB25" s="2194"/>
      <c r="AC25" s="2194"/>
    </row>
    <row r="26" spans="1:40" ht="14.25">
      <c r="A26" s="1488"/>
      <c r="B26" s="1482" t="s">
        <v>987</v>
      </c>
      <c r="C26" s="1062" t="e">
        <f>E29+SUM(E33:E39)</f>
        <v>#DIV/0!</v>
      </c>
      <c r="D26" s="1489"/>
      <c r="E26" s="1455"/>
      <c r="F26" s="1490"/>
      <c r="G26" s="1455"/>
      <c r="H26" s="1455"/>
      <c r="I26" s="1455"/>
      <c r="J26" s="1491"/>
      <c r="K26" s="1400"/>
      <c r="L26" s="2194"/>
      <c r="M26" s="2194"/>
      <c r="N26" s="2194"/>
      <c r="O26" s="2194"/>
      <c r="P26" s="2194"/>
      <c r="Q26" s="2194"/>
      <c r="R26" s="2950"/>
      <c r="S26" s="2950"/>
      <c r="T26" s="2950"/>
      <c r="U26" s="2950"/>
      <c r="V26" s="2950"/>
      <c r="W26" s="2194"/>
      <c r="X26" s="2194"/>
      <c r="Y26" s="2194"/>
      <c r="Z26" s="2194"/>
      <c r="AA26" s="2194"/>
      <c r="AB26" s="2194"/>
      <c r="AC26" s="2194"/>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4"/>
      <c r="M27" s="2194"/>
      <c r="N27" s="2194"/>
      <c r="O27" s="2194"/>
      <c r="P27" s="2194"/>
      <c r="Q27" s="2194"/>
      <c r="R27" s="2950"/>
      <c r="S27" s="2950"/>
      <c r="T27" s="2950"/>
      <c r="U27" s="2950"/>
      <c r="V27" s="2950"/>
      <c r="W27" s="2194"/>
      <c r="X27" s="2194"/>
      <c r="Y27" s="2194"/>
      <c r="Z27" s="2194"/>
      <c r="AA27" s="2194"/>
      <c r="AB27" s="2194"/>
      <c r="AC27" s="2194"/>
    </row>
    <row r="28" spans="1:40" ht="14.25">
      <c r="A28" s="1484"/>
      <c r="B28" s="1497" t="s">
        <v>990</v>
      </c>
      <c r="C28" s="1498" t="s">
        <v>991</v>
      </c>
      <c r="D28" s="1498" t="s">
        <v>992</v>
      </c>
      <c r="E28" s="1499" t="s">
        <v>993</v>
      </c>
      <c r="F28" s="1500"/>
      <c r="G28" s="1441"/>
      <c r="H28" s="1441"/>
      <c r="I28" s="1441"/>
      <c r="J28" s="1442"/>
      <c r="K28" s="1400"/>
      <c r="L28" s="2194"/>
      <c r="M28" s="2194"/>
      <c r="N28" s="2194"/>
      <c r="O28" s="2194"/>
      <c r="P28" s="2194"/>
      <c r="Q28" s="2194"/>
      <c r="R28" s="2950"/>
      <c r="S28" s="2950"/>
      <c r="T28" s="2950"/>
      <c r="U28" s="2950"/>
      <c r="V28" s="2950"/>
      <c r="W28" s="2194"/>
      <c r="X28" s="2194"/>
      <c r="Y28" s="2194"/>
      <c r="Z28" s="2194"/>
      <c r="AA28" s="2194"/>
      <c r="AB28" s="2194"/>
      <c r="AC28" s="2194"/>
      <c r="AD28" s="1471"/>
      <c r="AE28" s="1471"/>
      <c r="AF28" s="1471"/>
      <c r="AG28" s="1471"/>
    </row>
    <row r="29" spans="1:40" ht="24">
      <c r="A29" s="1501"/>
      <c r="B29" s="1502" t="s">
        <v>994</v>
      </c>
      <c r="C29" s="1062" t="e">
        <f>ROUND(C5*C18*C19*C20*C21*C24,0)</f>
        <v>#DIV/0!</v>
      </c>
      <c r="D29" s="1503"/>
      <c r="E29" s="1848" t="e">
        <f>ROUND(C29*D29/10000,0)</f>
        <v>#DIV/0!</v>
      </c>
      <c r="F29" s="1504" t="s">
        <v>1702</v>
      </c>
      <c r="G29" s="1505"/>
      <c r="H29" s="1505"/>
      <c r="I29" s="1505"/>
      <c r="J29" s="1506"/>
      <c r="K29" s="1400"/>
      <c r="L29" s="2194"/>
      <c r="M29" s="2194"/>
      <c r="N29" s="2194"/>
      <c r="O29" s="2194"/>
      <c r="P29" s="2194"/>
      <c r="Q29" s="2194"/>
      <c r="R29" s="2950"/>
      <c r="S29" s="2950"/>
      <c r="T29" s="2950"/>
      <c r="U29" s="2950"/>
      <c r="V29" s="2950"/>
      <c r="W29" s="2194"/>
      <c r="X29" s="2194"/>
      <c r="Y29" s="2194"/>
      <c r="Z29" s="2194"/>
      <c r="AA29" s="2194"/>
      <c r="AB29" s="2194"/>
      <c r="AC29" s="2194"/>
      <c r="AH29" s="1401"/>
      <c r="AI29" s="1401"/>
      <c r="AJ29" s="1404"/>
      <c r="AK29" s="1404"/>
      <c r="AL29" s="1404"/>
      <c r="AM29" s="1404"/>
    </row>
    <row r="30" spans="1:40" ht="24.75" thickBot="1">
      <c r="A30" s="1507"/>
      <c r="B30" s="1508" t="s">
        <v>995</v>
      </c>
      <c r="C30" s="1050"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34" t="s">
        <v>2962</v>
      </c>
      <c r="B33" s="1523" t="s">
        <v>1000</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35"/>
      <c r="B34" s="1444" t="s">
        <v>1001</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35"/>
      <c r="B35" s="1444" t="s">
        <v>1002</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36"/>
      <c r="B36" s="1444" t="s">
        <v>1003</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1004</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1005</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1006</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42" t="s">
        <v>1007</v>
      </c>
      <c r="B44" s="2443"/>
      <c r="C44" s="2444"/>
      <c r="D44" s="2445"/>
      <c r="E44" s="2445"/>
      <c r="F44" s="2446"/>
      <c r="G44" s="1065"/>
      <c r="H44" s="2446"/>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47" t="s">
        <v>1008</v>
      </c>
      <c r="B45" s="2448">
        <f>1+E47</f>
        <v>1</v>
      </c>
      <c r="C45" s="2449"/>
      <c r="D45" s="2450"/>
      <c r="E45" s="2451"/>
      <c r="F45" s="2452"/>
      <c r="G45" s="2446"/>
      <c r="H45" s="2446"/>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1009</v>
      </c>
      <c r="B46" s="2431" t="s">
        <v>1010</v>
      </c>
      <c r="C46" s="2453" t="s">
        <v>1011</v>
      </c>
      <c r="D46" s="2454" t="s">
        <v>1012</v>
      </c>
      <c r="E46" s="2455" t="s">
        <v>1014</v>
      </c>
      <c r="F46" s="2456" t="s">
        <v>2250</v>
      </c>
      <c r="G46" s="2454" t="s">
        <v>1015</v>
      </c>
      <c r="H46" s="2437" t="s">
        <v>2416</v>
      </c>
      <c r="I46" s="2454" t="s">
        <v>1013</v>
      </c>
      <c r="J46" s="2457" t="s">
        <v>1016</v>
      </c>
      <c r="K46" s="2457" t="s">
        <v>1017</v>
      </c>
      <c r="L46" s="2457" t="s">
        <v>1018</v>
      </c>
      <c r="M46" s="2457" t="s">
        <v>1019</v>
      </c>
      <c r="N46" s="2457"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6" t="s">
        <v>1021</v>
      </c>
      <c r="B47" s="2434" t="str">
        <f>估价对象房地状况!C16</f>
        <v>估价对象位于XX商圈，周边商业氛围成熟，人流量大，商业繁华度好</v>
      </c>
      <c r="C47" s="1049"/>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6" t="s">
        <v>1022</v>
      </c>
      <c r="B48" s="2431" t="str">
        <f>估价对象房地状况!C18</f>
        <v>估价对象周边道路状况、公共交通通达情况、停车便捷程度，综合评价交通便捷度较好</v>
      </c>
      <c r="C48" s="1049"/>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1023</v>
      </c>
      <c r="B49" s="2431">
        <f>估价对象房地状况!C19</f>
        <v>0</v>
      </c>
      <c r="C49" s="1049"/>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1024</v>
      </c>
      <c r="B50" s="3123" t="s">
        <v>2937</v>
      </c>
      <c r="C50" s="1049"/>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1025</v>
      </c>
      <c r="B51" s="2431">
        <f>估价对象房地状况!C24</f>
        <v>0</v>
      </c>
      <c r="C51" s="1049"/>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1026</v>
      </c>
      <c r="B52" s="3122" t="s">
        <v>2936</v>
      </c>
      <c r="C52" s="1049"/>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63" t="s">
        <v>1027</v>
      </c>
      <c r="B53" s="2432" t="str">
        <f>估价对象房地状况!C21</f>
        <v>估价对象所在区域公共配套设施齐备情况</v>
      </c>
      <c r="C53" s="1049"/>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63" t="s">
        <v>1028</v>
      </c>
      <c r="B54" s="2431" t="str">
        <f>估价对象房地状况!C22</f>
        <v>估价对象所在区域基础设施水平</v>
      </c>
      <c r="C54" s="1049"/>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64" t="s">
        <v>1029</v>
      </c>
      <c r="B55" s="2435" t="str">
        <f>估价对象房地状况!C20</f>
        <v>区域自然环境：；人文环境；综合评价环境状况一般</v>
      </c>
      <c r="C55" s="1049"/>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47" t="s">
        <v>1030</v>
      </c>
      <c r="B56" s="2448">
        <f>1+E58</f>
        <v>1</v>
      </c>
      <c r="C56" s="2467"/>
      <c r="D56" s="2450"/>
      <c r="E56" s="2451"/>
      <c r="F56" s="2452"/>
      <c r="G56" s="2446"/>
      <c r="H56" s="2446"/>
      <c r="I56" s="2446"/>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1009</v>
      </c>
      <c r="B57" s="2431"/>
      <c r="C57" s="2453" t="s">
        <v>1011</v>
      </c>
      <c r="D57" s="2454" t="s">
        <v>1012</v>
      </c>
      <c r="E57" s="2455" t="s">
        <v>1014</v>
      </c>
      <c r="F57" s="2456" t="s">
        <v>2251</v>
      </c>
      <c r="G57" s="2454" t="s">
        <v>1015</v>
      </c>
      <c r="H57" s="2437" t="s">
        <v>2416</v>
      </c>
      <c r="I57" s="2454" t="s">
        <v>1013</v>
      </c>
      <c r="J57" s="2457" t="s">
        <v>1016</v>
      </c>
      <c r="K57" s="2457" t="s">
        <v>1017</v>
      </c>
      <c r="L57" s="2457" t="s">
        <v>1018</v>
      </c>
      <c r="M57" s="2457" t="s">
        <v>1019</v>
      </c>
      <c r="N57" s="2457"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c r="A58" s="1066" t="s">
        <v>1031</v>
      </c>
      <c r="B58" s="2434" t="str">
        <f>估价对象房地状况!C17</f>
        <v>估价对象位于XX商圈，周边办公楼项目较多，入驻率高，办公集聚程度较好</v>
      </c>
      <c r="C58" s="1049"/>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c r="A59" s="1066" t="s">
        <v>1022</v>
      </c>
      <c r="B59" s="2431" t="str">
        <f>估价对象房地状况!C18</f>
        <v>估价对象周边道路状况、公共交通通达情况、停车便捷程度，综合评价交通便捷度较好</v>
      </c>
      <c r="C59" s="1049"/>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6" t="s">
        <v>1023</v>
      </c>
      <c r="B60" s="2431">
        <f>估价对象房地状况!C19</f>
        <v>0</v>
      </c>
      <c r="C60" s="1049"/>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1024</v>
      </c>
      <c r="B61" s="3123" t="s">
        <v>2938</v>
      </c>
      <c r="C61" s="1049"/>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1025</v>
      </c>
      <c r="B62" s="2431">
        <f>估价对象房地状况!C24</f>
        <v>0</v>
      </c>
      <c r="C62" s="1049"/>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1026</v>
      </c>
      <c r="B63" s="3122" t="s">
        <v>2936</v>
      </c>
      <c r="C63" s="1049"/>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6" t="s">
        <v>1027</v>
      </c>
      <c r="B64" s="2432" t="str">
        <f>估价对象房地状况!C21</f>
        <v>估价对象所在区域公共配套设施齐备情况</v>
      </c>
      <c r="C64" s="1049"/>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1028</v>
      </c>
      <c r="B65" s="2432" t="str">
        <f>估价对象房地状况!C22</f>
        <v>估价对象所在区域基础设施水平</v>
      </c>
      <c r="C65" s="1049"/>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thickBot="1">
      <c r="A66" s="2464" t="s">
        <v>1029</v>
      </c>
      <c r="B66" s="2436" t="str">
        <f>估价对象房地状况!C20</f>
        <v>区域自然环境：；人文环境；综合评价环境状况一般</v>
      </c>
      <c r="C66" s="1049"/>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47" t="s">
        <v>1032</v>
      </c>
      <c r="B67" s="2448">
        <f>1+E69</f>
        <v>1</v>
      </c>
      <c r="C67" s="2467"/>
      <c r="D67" s="2450"/>
      <c r="E67" s="2451"/>
      <c r="F67" s="2452"/>
      <c r="G67" s="2446"/>
      <c r="H67" s="2446"/>
      <c r="I67" s="2446"/>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1009</v>
      </c>
      <c r="B68" s="2431"/>
      <c r="C68" s="2453" t="s">
        <v>1011</v>
      </c>
      <c r="D68" s="2454" t="s">
        <v>1012</v>
      </c>
      <c r="E68" s="2455" t="s">
        <v>1014</v>
      </c>
      <c r="F68" s="2456" t="s">
        <v>2252</v>
      </c>
      <c r="G68" s="2454" t="s">
        <v>1015</v>
      </c>
      <c r="H68" s="2437" t="s">
        <v>2416</v>
      </c>
      <c r="I68" s="2454" t="s">
        <v>1013</v>
      </c>
      <c r="J68" s="2457" t="s">
        <v>1016</v>
      </c>
      <c r="K68" s="2457" t="s">
        <v>1017</v>
      </c>
      <c r="L68" s="2457" t="s">
        <v>1018</v>
      </c>
      <c r="M68" s="2457" t="s">
        <v>1019</v>
      </c>
      <c r="N68" s="2457"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48">
      <c r="A69" s="1066" t="s">
        <v>1033</v>
      </c>
      <c r="B69" s="2434" t="str">
        <f>估价对象房地状况!C15</f>
        <v>估价对象周边居住用地比例、居住小区规模和社区发展完善程度，综合评价居住社区成熟度一般</v>
      </c>
      <c r="C69" s="1158"/>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6" t="s">
        <v>1034</v>
      </c>
      <c r="B70" s="2431" t="str">
        <f>估价对象房地状况!C18</f>
        <v>估价对象周边道路状况、公共交通通达情况、停车便捷程度，综合评价交通便捷度较好</v>
      </c>
      <c r="C70" s="1158"/>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1023</v>
      </c>
      <c r="B71" s="2431">
        <f>估价对象房地状况!C19</f>
        <v>0</v>
      </c>
      <c r="C71" s="1158"/>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1035</v>
      </c>
      <c r="B72" s="2431">
        <f>估价对象房地状况!C24</f>
        <v>0</v>
      </c>
      <c r="C72" s="1158"/>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6" t="s">
        <v>1027</v>
      </c>
      <c r="B73" s="2432" t="str">
        <f>估价对象房地状况!C21</f>
        <v>估价对象所在区域公共配套设施齐备情况</v>
      </c>
      <c r="C73" s="1158"/>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1028</v>
      </c>
      <c r="B74" s="2432" t="str">
        <f>估价对象房地状况!C22</f>
        <v>估价对象所在区域基础设施水平</v>
      </c>
      <c r="C74" s="1158"/>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1026</v>
      </c>
      <c r="B75" s="3122" t="s">
        <v>2936</v>
      </c>
      <c r="C75" s="1158"/>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6" t="s">
        <v>1029</v>
      </c>
      <c r="B76" s="2434" t="str">
        <f>估价对象房地状况!C20</f>
        <v>区域自然环境：；人文环境；综合评价环境状况一般</v>
      </c>
      <c r="C76" s="1158"/>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64" t="s">
        <v>1036</v>
      </c>
      <c r="B77" s="1849"/>
      <c r="C77" s="1158"/>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4"/>
      <c r="AD77" s="1403"/>
      <c r="AJ77" s="1402"/>
      <c r="AN77" s="1403"/>
    </row>
    <row r="78" spans="1:40" ht="15">
      <c r="A78" s="2447" t="s">
        <v>1037</v>
      </c>
      <c r="B78" s="2448">
        <f>1+E80</f>
        <v>1</v>
      </c>
      <c r="C78" s="2467"/>
      <c r="D78" s="2450"/>
      <c r="E78" s="2451"/>
      <c r="F78" s="2452"/>
      <c r="G78" s="2446"/>
      <c r="H78" s="2446"/>
      <c r="I78" s="2446"/>
      <c r="J78" s="1065"/>
      <c r="K78" s="1065"/>
      <c r="L78" s="1065"/>
      <c r="M78" s="1065"/>
      <c r="N78" s="1065"/>
      <c r="AC78" s="1404"/>
      <c r="AD78" s="1403"/>
      <c r="AJ78" s="1402"/>
      <c r="AN78" s="1403"/>
    </row>
    <row r="79" spans="1:40" ht="24">
      <c r="A79" s="1066" t="s">
        <v>1009</v>
      </c>
      <c r="B79" s="2431"/>
      <c r="C79" s="2453" t="s">
        <v>1011</v>
      </c>
      <c r="D79" s="2454" t="s">
        <v>1012</v>
      </c>
      <c r="E79" s="2455" t="s">
        <v>1014</v>
      </c>
      <c r="F79" s="2456" t="s">
        <v>2253</v>
      </c>
      <c r="G79" s="2454" t="s">
        <v>1015</v>
      </c>
      <c r="H79" s="2437" t="s">
        <v>2416</v>
      </c>
      <c r="I79" s="2454" t="s">
        <v>1013</v>
      </c>
      <c r="J79" s="2457" t="s">
        <v>1016</v>
      </c>
      <c r="K79" s="2457" t="s">
        <v>1017</v>
      </c>
      <c r="L79" s="2457" t="s">
        <v>1018</v>
      </c>
      <c r="M79" s="2457" t="s">
        <v>1019</v>
      </c>
      <c r="N79" s="2457" t="s">
        <v>1020</v>
      </c>
      <c r="AC79" s="1404"/>
      <c r="AD79" s="1403"/>
      <c r="AJ79" s="1402"/>
      <c r="AN79" s="1403"/>
    </row>
    <row r="80" spans="1:40" ht="36">
      <c r="A80" s="1066" t="s">
        <v>1038</v>
      </c>
      <c r="B80" s="2431" t="str">
        <f>估价对象房地状况!G15</f>
        <v>估价对象位于XX开发区，园区建设成熟度XX，产业集聚程度XX</v>
      </c>
      <c r="C80" s="1049"/>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4"/>
      <c r="AD80" s="1403"/>
      <c r="AJ80" s="1402"/>
      <c r="AN80" s="1403"/>
    </row>
    <row r="81" spans="1:40" ht="48">
      <c r="A81" s="1066" t="s">
        <v>1034</v>
      </c>
      <c r="B81" s="2431" t="str">
        <f>估价对象房地状况!G16</f>
        <v>估价对象周边道路状况、公共交通通达情况、停车便捷程度，综合评价交通便捷度较好</v>
      </c>
      <c r="C81" s="1049"/>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4"/>
      <c r="AD81" s="1403"/>
      <c r="AJ81" s="1402"/>
      <c r="AN81" s="1403"/>
    </row>
    <row r="82" spans="1:40" ht="24">
      <c r="A82" s="1066" t="s">
        <v>1023</v>
      </c>
      <c r="B82" s="2431">
        <f>估价对象房地状况!G17</f>
        <v>0</v>
      </c>
      <c r="C82" s="1049"/>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4"/>
      <c r="AD82" s="1403"/>
      <c r="AJ82" s="1402"/>
      <c r="AN82" s="1403"/>
    </row>
    <row r="83" spans="1:40" ht="14.25">
      <c r="A83" s="1066" t="s">
        <v>1035</v>
      </c>
      <c r="B83" s="2431">
        <f>估价对象房地状况!G22</f>
        <v>0</v>
      </c>
      <c r="C83" s="1049"/>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4"/>
      <c r="AD83" s="1403"/>
      <c r="AJ83" s="1402"/>
      <c r="AN83" s="1403"/>
    </row>
    <row r="84" spans="1:40" ht="24">
      <c r="A84" s="1066" t="s">
        <v>1027</v>
      </c>
      <c r="B84" s="2432" t="str">
        <f>估价对象房地状况!G19</f>
        <v>估价对象所在区域公共配套设施齐备情况</v>
      </c>
      <c r="C84" s="1049"/>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4"/>
      <c r="AD84" s="1403"/>
      <c r="AJ84" s="1402"/>
      <c r="AN84" s="1403"/>
    </row>
    <row r="85" spans="1:40" ht="24">
      <c r="A85" s="1066" t="s">
        <v>1028</v>
      </c>
      <c r="B85" s="2432" t="str">
        <f>估价对象房地状况!G20</f>
        <v>估价对象所在区域基础设施水平</v>
      </c>
      <c r="C85" s="1049"/>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4"/>
      <c r="AD85" s="1403"/>
      <c r="AJ85" s="1402"/>
      <c r="AN85" s="1403"/>
    </row>
    <row r="86" spans="1:40" ht="24">
      <c r="A86" s="1066" t="s">
        <v>1026</v>
      </c>
      <c r="B86" s="3122" t="s">
        <v>2936</v>
      </c>
      <c r="C86" s="1049"/>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4"/>
      <c r="AD86" s="1403"/>
      <c r="AJ86" s="1402"/>
      <c r="AN86" s="1403"/>
    </row>
    <row r="87" spans="1:40" ht="36.75" thickBot="1">
      <c r="A87" s="2464" t="s">
        <v>1039</v>
      </c>
      <c r="B87" s="2433" t="str">
        <f>估价对象房地状况!G18</f>
        <v>该园区内是否有污染型企业，绿化情况，卫生条件，整体环境状况判断</v>
      </c>
      <c r="C87" s="1049"/>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4"/>
      <c r="AD87" s="1403"/>
      <c r="AJ87" s="1402"/>
      <c r="AN87" s="1403"/>
    </row>
    <row r="90" spans="1:40">
      <c r="A90" s="3432" t="s">
        <v>1634</v>
      </c>
      <c r="B90" s="3432"/>
      <c r="C90" s="3432"/>
      <c r="D90" s="3432"/>
      <c r="E90" s="3432"/>
      <c r="F90" s="3432"/>
      <c r="G90" s="3432"/>
      <c r="H90" s="3432"/>
      <c r="I90" s="3432"/>
      <c r="J90" s="3432"/>
      <c r="K90" s="2473"/>
      <c r="L90" s="2473"/>
      <c r="M90" s="2473"/>
      <c r="N90" s="2473"/>
    </row>
    <row r="91" spans="1:40">
      <c r="A91" s="3433" t="s">
        <v>1444</v>
      </c>
      <c r="B91" s="3433" t="s">
        <v>1635</v>
      </c>
      <c r="C91" s="1139" t="s">
        <v>1636</v>
      </c>
      <c r="D91" s="1140"/>
      <c r="E91" s="1140"/>
      <c r="F91" s="1140"/>
      <c r="G91" s="1140"/>
      <c r="H91" s="1140"/>
      <c r="I91" s="1140"/>
      <c r="J91" s="1141"/>
      <c r="K91" s="1133"/>
      <c r="L91" s="1133"/>
      <c r="M91" s="1133"/>
      <c r="N91" s="1133"/>
    </row>
    <row r="92" spans="1:40">
      <c r="A92" s="3433"/>
      <c r="B92" s="3433"/>
      <c r="C92" s="2472" t="s">
        <v>907</v>
      </c>
      <c r="D92" s="2472" t="s">
        <v>885</v>
      </c>
      <c r="E92" s="2472" t="s">
        <v>886</v>
      </c>
      <c r="F92" s="2472" t="s">
        <v>910</v>
      </c>
      <c r="G92" s="2472" t="s">
        <v>888</v>
      </c>
      <c r="H92" s="2472" t="s">
        <v>889</v>
      </c>
      <c r="I92" s="2472" t="s">
        <v>890</v>
      </c>
      <c r="J92" s="2472" t="s">
        <v>891</v>
      </c>
      <c r="K92" s="2472" t="s">
        <v>915</v>
      </c>
      <c r="L92" s="2472" t="s">
        <v>893</v>
      </c>
      <c r="M92" s="2472" t="s">
        <v>894</v>
      </c>
      <c r="N92" s="2472" t="s">
        <v>918</v>
      </c>
    </row>
    <row r="93" spans="1:40">
      <c r="A93" s="3422"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3"/>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3"/>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3"/>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3"/>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3"/>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3"/>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4"/>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2" t="s">
        <v>1638</v>
      </c>
      <c r="B101" s="1146" t="s">
        <v>906</v>
      </c>
      <c r="C101" s="1147">
        <f>$G$3</f>
        <v>2.5</v>
      </c>
      <c r="D101" s="1147">
        <f t="shared" ref="D101:N101" si="31">$G$3</f>
        <v>2.5</v>
      </c>
      <c r="E101" s="1147">
        <f t="shared" si="31"/>
        <v>2.5</v>
      </c>
      <c r="F101" s="1147">
        <f t="shared" si="31"/>
        <v>2.5</v>
      </c>
      <c r="G101" s="1147">
        <f t="shared" si="31"/>
        <v>2.5</v>
      </c>
      <c r="H101" s="1147">
        <f t="shared" si="31"/>
        <v>2.5</v>
      </c>
      <c r="I101" s="1147">
        <f t="shared" si="31"/>
        <v>2.5</v>
      </c>
      <c r="J101" s="1147">
        <f t="shared" si="31"/>
        <v>2.5</v>
      </c>
      <c r="K101" s="1147">
        <f t="shared" si="31"/>
        <v>2.5</v>
      </c>
      <c r="L101" s="1147">
        <f t="shared" si="31"/>
        <v>2.5</v>
      </c>
      <c r="M101" s="1147">
        <f t="shared" si="31"/>
        <v>2.5</v>
      </c>
      <c r="N101" s="1147">
        <f t="shared" si="31"/>
        <v>2.5</v>
      </c>
    </row>
    <row r="102" spans="1:14">
      <c r="A102" s="3423"/>
      <c r="B102" s="1142">
        <v>1</v>
      </c>
      <c r="C102" s="1143">
        <f>1.9362/C101</f>
        <v>0.77447999999999995</v>
      </c>
      <c r="D102" s="1143">
        <f>1.9362/D101</f>
        <v>0.77447999999999995</v>
      </c>
      <c r="E102" s="1143">
        <f>1.8629/E101</f>
        <v>0.74516000000000004</v>
      </c>
      <c r="F102" s="1143">
        <f>1.8629/F101</f>
        <v>0.74516000000000004</v>
      </c>
      <c r="G102" s="1143">
        <f>1.8629/G101</f>
        <v>0.74516000000000004</v>
      </c>
      <c r="H102" s="1143">
        <f>1.8629/H101</f>
        <v>0.74516000000000004</v>
      </c>
      <c r="I102" s="1143">
        <f>1.8629/I101</f>
        <v>0.74516000000000004</v>
      </c>
      <c r="J102" s="1143">
        <f>1.942/J101</f>
        <v>0.77679999999999993</v>
      </c>
      <c r="K102" s="1143">
        <f>1.942/K101</f>
        <v>0.77679999999999993</v>
      </c>
      <c r="L102" s="1143">
        <f>1.942/L101</f>
        <v>0.77679999999999993</v>
      </c>
      <c r="M102" s="1143">
        <f>1.942/M101</f>
        <v>0.77679999999999993</v>
      </c>
      <c r="N102" s="1143">
        <f>1.942/N101</f>
        <v>0.77679999999999993</v>
      </c>
    </row>
    <row r="103" spans="1:14">
      <c r="A103" s="3423"/>
      <c r="B103" s="1142">
        <v>2</v>
      </c>
      <c r="C103" s="1143">
        <f>1.4198/C101</f>
        <v>0.56791999999999998</v>
      </c>
      <c r="D103" s="1143">
        <f>1.4198/D101</f>
        <v>0.56791999999999998</v>
      </c>
      <c r="E103" s="1143">
        <f>1.3372/E101</f>
        <v>0.53488000000000002</v>
      </c>
      <c r="F103" s="1143">
        <f>1.3372/F101</f>
        <v>0.53488000000000002</v>
      </c>
      <c r="G103" s="1143">
        <f>1.3372/G101</f>
        <v>0.53488000000000002</v>
      </c>
      <c r="H103" s="1143">
        <f>1.3372/H101</f>
        <v>0.53488000000000002</v>
      </c>
      <c r="I103" s="1143">
        <f>1.3372/I101</f>
        <v>0.53488000000000002</v>
      </c>
      <c r="J103" s="1143">
        <f>1.2799/J101</f>
        <v>0.51195999999999997</v>
      </c>
      <c r="K103" s="1143">
        <f>1.2799/K101</f>
        <v>0.51195999999999997</v>
      </c>
      <c r="L103" s="1143">
        <f>1.2799/L101</f>
        <v>0.51195999999999997</v>
      </c>
      <c r="M103" s="1143">
        <f>1.2799/M101</f>
        <v>0.51195999999999997</v>
      </c>
      <c r="N103" s="1143">
        <f>1.2799/N101</f>
        <v>0.51195999999999997</v>
      </c>
    </row>
    <row r="104" spans="1:14">
      <c r="A104" s="3423"/>
      <c r="B104" s="1142">
        <v>3</v>
      </c>
      <c r="C104" s="1143">
        <f>1.1594/C101</f>
        <v>0.46376000000000001</v>
      </c>
      <c r="D104" s="1143">
        <f>1.1594/D101</f>
        <v>0.46376000000000001</v>
      </c>
      <c r="E104" s="1143">
        <f>1.0788/E101</f>
        <v>0.43152000000000001</v>
      </c>
      <c r="F104" s="1143">
        <f>1.0788/F101</f>
        <v>0.43152000000000001</v>
      </c>
      <c r="G104" s="1143">
        <f>1.0788/G101</f>
        <v>0.43152000000000001</v>
      </c>
      <c r="H104" s="1143">
        <f>1.0788/H101</f>
        <v>0.43152000000000001</v>
      </c>
      <c r="I104" s="1143">
        <f>1.0788/I101</f>
        <v>0.43152000000000001</v>
      </c>
      <c r="J104" s="1143">
        <f>1.0072/J101</f>
        <v>0.40288000000000002</v>
      </c>
      <c r="K104" s="1143">
        <f>1.0072/K101</f>
        <v>0.40288000000000002</v>
      </c>
      <c r="L104" s="1143">
        <f>1.0072/L101</f>
        <v>0.40288000000000002</v>
      </c>
      <c r="M104" s="1143">
        <f>1.0072/M101</f>
        <v>0.40288000000000002</v>
      </c>
      <c r="N104" s="1143">
        <f>1.0072/N101</f>
        <v>0.40288000000000002</v>
      </c>
    </row>
    <row r="105" spans="1:14">
      <c r="A105" s="3423"/>
      <c r="B105" s="1142">
        <v>4</v>
      </c>
      <c r="C105" s="1143">
        <f>0.9622/C101</f>
        <v>0.38488</v>
      </c>
      <c r="D105" s="1143">
        <f>0.9622/D101</f>
        <v>0.38488</v>
      </c>
      <c r="E105" s="1143">
        <f>0.8656/E101</f>
        <v>0.34623999999999999</v>
      </c>
      <c r="F105" s="1143">
        <f>0.8656/F101</f>
        <v>0.34623999999999999</v>
      </c>
      <c r="G105" s="1143">
        <f>0.8656/G101</f>
        <v>0.34623999999999999</v>
      </c>
      <c r="H105" s="1143">
        <f>0.8656/H101</f>
        <v>0.34623999999999999</v>
      </c>
      <c r="I105" s="1143">
        <f>0.8656/I101</f>
        <v>0.34623999999999999</v>
      </c>
      <c r="J105" s="1143">
        <f>0.7525/J101</f>
        <v>0.30099999999999999</v>
      </c>
      <c r="K105" s="1143">
        <f>0.7525/K101</f>
        <v>0.30099999999999999</v>
      </c>
      <c r="L105" s="1143">
        <f>0.7525/L101</f>
        <v>0.30099999999999999</v>
      </c>
      <c r="M105" s="1143">
        <f>0.7525/M101</f>
        <v>0.30099999999999999</v>
      </c>
      <c r="N105" s="1143">
        <f>0.7525/N101</f>
        <v>0.30099999999999999</v>
      </c>
    </row>
    <row r="106" spans="1:14">
      <c r="A106" s="3423"/>
      <c r="B106" s="1142">
        <v>5</v>
      </c>
      <c r="C106" s="1143">
        <f>0.8417/C101</f>
        <v>0.33667999999999998</v>
      </c>
      <c r="D106" s="1143">
        <f>0.8417/D101</f>
        <v>0.33667999999999998</v>
      </c>
      <c r="E106" s="1143">
        <f>0.7371/E101</f>
        <v>0.29483999999999999</v>
      </c>
      <c r="F106" s="1143">
        <f>0.7371/F101</f>
        <v>0.29483999999999999</v>
      </c>
      <c r="G106" s="1143">
        <f>0.7371/G101</f>
        <v>0.29483999999999999</v>
      </c>
      <c r="H106" s="1143">
        <f>0.7371/H101</f>
        <v>0.29483999999999999</v>
      </c>
      <c r="I106" s="1143">
        <f>0.7371/I101</f>
        <v>0.29483999999999999</v>
      </c>
      <c r="J106" s="1143">
        <f>0.5659/J101</f>
        <v>0.22635999999999998</v>
      </c>
      <c r="K106" s="1143">
        <f>0.5659/K101</f>
        <v>0.22635999999999998</v>
      </c>
      <c r="L106" s="1143">
        <f>0.5659/L101</f>
        <v>0.22635999999999998</v>
      </c>
      <c r="M106" s="1143">
        <f>0.5659/M101</f>
        <v>0.22635999999999998</v>
      </c>
      <c r="N106" s="1143">
        <f>0.5659/N101</f>
        <v>0.22635999999999998</v>
      </c>
    </row>
    <row r="107" spans="1:14">
      <c r="A107" s="3423"/>
      <c r="B107" s="1142">
        <v>6</v>
      </c>
      <c r="C107" s="1143">
        <f>0.7608/C101</f>
        <v>0.30432000000000003</v>
      </c>
      <c r="D107" s="1143">
        <f>0.7608/D101</f>
        <v>0.30432000000000003</v>
      </c>
      <c r="E107" s="1143">
        <f>0.6482/E101</f>
        <v>0.25928000000000001</v>
      </c>
      <c r="F107" s="1143">
        <f>0.6482/F101</f>
        <v>0.25928000000000001</v>
      </c>
      <c r="G107" s="1143">
        <f>0.6482/G101</f>
        <v>0.25928000000000001</v>
      </c>
      <c r="H107" s="1143">
        <f>0.6482/H101</f>
        <v>0.25928000000000001</v>
      </c>
      <c r="I107" s="1143">
        <f>0.6482/I101</f>
        <v>0.25928000000000001</v>
      </c>
      <c r="J107" s="1143">
        <f>0.4525/J101</f>
        <v>0.18099999999999999</v>
      </c>
      <c r="K107" s="1143">
        <f>0.4525/K101</f>
        <v>0.18099999999999999</v>
      </c>
      <c r="L107" s="1143">
        <f>0.4525/L101</f>
        <v>0.18099999999999999</v>
      </c>
      <c r="M107" s="1143">
        <f>0.4525/M101</f>
        <v>0.18099999999999999</v>
      </c>
      <c r="N107" s="1143">
        <f>0.4525/N101</f>
        <v>0.18099999999999999</v>
      </c>
    </row>
    <row r="108" spans="1:14">
      <c r="A108" s="3423"/>
      <c r="B108" s="3425"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4"/>
      <c r="B109" s="3426"/>
      <c r="C109" s="1145">
        <f>(-0.163*(C108^2)-0.59*C108+7617)*(10^(-4))/C101</f>
        <v>0.30407392</v>
      </c>
      <c r="D109" s="1145">
        <f>(-0.163*(D108^2)-0.59*D108+7617)*(10^(-4))/D101</f>
        <v>0.30407392</v>
      </c>
      <c r="E109" s="1145">
        <f>(-0.161*(E108^2)-7.509*E108+6533)*(10^(-4))/E101</f>
        <v>0.25850496000000001</v>
      </c>
      <c r="F109" s="1145">
        <f>(-0.161*(F108^2)-7.509*F108+6533)*(10^(-4))/F101</f>
        <v>0.25850496000000001</v>
      </c>
      <c r="G109" s="1145">
        <f>(-0.161*(G108^2)-7.509*G108+6533)*(10^(-4))/G101</f>
        <v>0.25850496000000001</v>
      </c>
      <c r="H109" s="1145">
        <f>(-0.161*(H108^2)-7.509*H108+6533)*(10^(-4))/H101</f>
        <v>0.25850496000000001</v>
      </c>
      <c r="I109" s="1145">
        <f>(-0.161*(I108^2)-7.509*I108+6533)*(10^(-4))/I101</f>
        <v>0.25850496000000001</v>
      </c>
      <c r="J109" s="1145">
        <f>(-0.214*(J108^2)-21.991*J108+4665)*(10^(-4))/J101</f>
        <v>0.17901504000000001</v>
      </c>
      <c r="K109" s="1145">
        <f>(-0.214*(K108^2)-21.991*K108+4665)*(10^(-4))/K101</f>
        <v>0.17901504000000001</v>
      </c>
      <c r="L109" s="1145">
        <f>(-0.214*(L108^2)-21.991*L108+4665)*(10^(-4))/L101</f>
        <v>0.17901504000000001</v>
      </c>
      <c r="M109" s="1145">
        <f>(-0.214*(M108^2)-21.991*M108+4665)*(10^(-4))/M101</f>
        <v>0.17901504000000001</v>
      </c>
      <c r="N109" s="1145">
        <f>(-0.214*(N108^2)-21.991*N108+4665)*(10^(-4))/N101</f>
        <v>0.17901504000000001</v>
      </c>
    </row>
    <row r="110" spans="1:14">
      <c r="A110" s="3427" t="s">
        <v>1640</v>
      </c>
      <c r="B110" s="3427"/>
      <c r="C110" s="3427"/>
      <c r="D110" s="3427"/>
      <c r="E110" s="3427"/>
      <c r="F110" s="3427"/>
      <c r="G110" s="3427"/>
      <c r="H110" s="3427"/>
      <c r="I110" s="3427"/>
      <c r="J110" s="3427"/>
      <c r="K110" s="2471"/>
      <c r="L110" s="2471"/>
      <c r="M110" s="2471"/>
      <c r="N110" s="2471"/>
    </row>
    <row r="112" spans="1:14" ht="12.75" thickBot="1"/>
    <row r="113" spans="1:13" ht="25.5" thickBot="1">
      <c r="A113" s="1015" t="s">
        <v>896</v>
      </c>
      <c r="B113" s="2474">
        <f>G3</f>
        <v>2.5</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v>
      </c>
      <c r="C115" s="1029">
        <f>B115</f>
        <v>0.91</v>
      </c>
      <c r="D115" s="1029">
        <f>ROUND(0.8331-0.0109*B113,4)</f>
        <v>0.80589999999999995</v>
      </c>
      <c r="E115" s="1029">
        <f>D115</f>
        <v>0.80589999999999995</v>
      </c>
      <c r="F115" s="1029">
        <f>E115</f>
        <v>0.80589999999999995</v>
      </c>
      <c r="G115" s="1029">
        <f>F115</f>
        <v>0.80589999999999995</v>
      </c>
      <c r="H115" s="1029">
        <f>G115</f>
        <v>0.80589999999999995</v>
      </c>
      <c r="I115" s="1029">
        <f>ROUND(0.689-0.0155*B113,4)</f>
        <v>0.65029999999999999</v>
      </c>
      <c r="J115" s="1029">
        <f t="shared" ref="J115:M118" si="33">I115</f>
        <v>0.65029999999999999</v>
      </c>
      <c r="K115" s="1029">
        <f t="shared" si="33"/>
        <v>0.65029999999999999</v>
      </c>
      <c r="L115" s="1029">
        <f t="shared" si="33"/>
        <v>0.65029999999999999</v>
      </c>
      <c r="M115" s="1030">
        <f t="shared" si="33"/>
        <v>0.65029999999999999</v>
      </c>
    </row>
    <row r="116" spans="1:13" ht="12.75">
      <c r="A116" s="1028" t="s">
        <v>901</v>
      </c>
      <c r="B116" s="1029">
        <f>ROUND(0.949-0.012*B113,4)</f>
        <v>0.91900000000000004</v>
      </c>
      <c r="C116" s="1029">
        <f>B116</f>
        <v>0.91900000000000004</v>
      </c>
      <c r="D116" s="1029">
        <f>ROUND(0.8567-0.013*B113,4)</f>
        <v>0.82420000000000004</v>
      </c>
      <c r="E116" s="1029">
        <f t="shared" ref="E116:H117" si="34">D116</f>
        <v>0.82420000000000004</v>
      </c>
      <c r="F116" s="1029">
        <f t="shared" si="34"/>
        <v>0.82420000000000004</v>
      </c>
      <c r="G116" s="1029">
        <f t="shared" si="34"/>
        <v>0.82420000000000004</v>
      </c>
      <c r="H116" s="1029">
        <f t="shared" si="34"/>
        <v>0.82420000000000004</v>
      </c>
      <c r="I116" s="1029">
        <f>ROUND(0.7694-0.014*B113,4)</f>
        <v>0.73440000000000005</v>
      </c>
      <c r="J116" s="1029">
        <f t="shared" si="33"/>
        <v>0.73440000000000005</v>
      </c>
      <c r="K116" s="1029">
        <f t="shared" si="33"/>
        <v>0.73440000000000005</v>
      </c>
      <c r="L116" s="1029">
        <f t="shared" si="33"/>
        <v>0.73440000000000005</v>
      </c>
      <c r="M116" s="1030">
        <f t="shared" si="33"/>
        <v>0.73440000000000005</v>
      </c>
    </row>
    <row r="117" spans="1:13" ht="12.75">
      <c r="A117" s="1031" t="s">
        <v>902</v>
      </c>
      <c r="B117" s="1029">
        <f>ROUND(0.8808-0.006*B113,4)</f>
        <v>0.86580000000000001</v>
      </c>
      <c r="C117" s="1029">
        <f>B117</f>
        <v>0.86580000000000001</v>
      </c>
      <c r="D117" s="1029">
        <f>ROUND(0.8748-0.008*B113,4)</f>
        <v>0.8548</v>
      </c>
      <c r="E117" s="1029">
        <f t="shared" si="34"/>
        <v>0.8548</v>
      </c>
      <c r="F117" s="1029">
        <f t="shared" si="34"/>
        <v>0.8548</v>
      </c>
      <c r="G117" s="1029">
        <f t="shared" si="34"/>
        <v>0.8548</v>
      </c>
      <c r="H117" s="1029">
        <f t="shared" si="34"/>
        <v>0.8548</v>
      </c>
      <c r="I117" s="1029">
        <f>ROUND(0.7412-0.0095*B113,4)</f>
        <v>0.71750000000000003</v>
      </c>
      <c r="J117" s="1029">
        <f t="shared" si="33"/>
        <v>0.71750000000000003</v>
      </c>
      <c r="K117" s="1029">
        <f t="shared" si="33"/>
        <v>0.71750000000000003</v>
      </c>
      <c r="L117" s="1029">
        <f t="shared" si="33"/>
        <v>0.71750000000000003</v>
      </c>
      <c r="M117" s="1030">
        <f t="shared" si="33"/>
        <v>0.71750000000000003</v>
      </c>
    </row>
    <row r="118" spans="1:13" ht="13.5" thickBot="1">
      <c r="A118" s="1032" t="s">
        <v>903</v>
      </c>
      <c r="B118" s="1033">
        <f>ROUND(0.7275-0.01*B113,4)</f>
        <v>0.70250000000000001</v>
      </c>
      <c r="C118" s="1033">
        <f>B118</f>
        <v>0.70250000000000001</v>
      </c>
      <c r="D118" s="1033">
        <f>ROUND(0.7043-0.012*B113,4)</f>
        <v>0.67430000000000001</v>
      </c>
      <c r="E118" s="1033">
        <f>D118</f>
        <v>0.67430000000000001</v>
      </c>
      <c r="F118" s="1033">
        <f>E118</f>
        <v>0.67430000000000001</v>
      </c>
      <c r="G118" s="1033">
        <f>ROUND(0.6299-0.0122*B113,4)</f>
        <v>0.59940000000000004</v>
      </c>
      <c r="H118" s="1033">
        <f>G118</f>
        <v>0.59940000000000004</v>
      </c>
      <c r="I118" s="1033">
        <f>ROUND(0.5667-0.0136*B113,4)</f>
        <v>0.53269999999999995</v>
      </c>
      <c r="J118" s="1033">
        <f t="shared" si="33"/>
        <v>0.53269999999999995</v>
      </c>
      <c r="K118" s="1033">
        <f t="shared" si="33"/>
        <v>0.53269999999999995</v>
      </c>
      <c r="L118" s="1033">
        <f t="shared" si="33"/>
        <v>0.53269999999999995</v>
      </c>
      <c r="M118" s="1034">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33" t="s">
        <v>1008</v>
      </c>
      <c r="B18" s="1153" t="s">
        <v>1447</v>
      </c>
      <c r="C18" s="1130" t="s">
        <v>1448</v>
      </c>
      <c r="D18" s="1131"/>
      <c r="E18" s="1153">
        <v>1</v>
      </c>
      <c r="F18" s="1132" t="s">
        <v>1449</v>
      </c>
      <c r="G18" s="1133"/>
      <c r="H18" s="1104"/>
      <c r="I18" s="1104"/>
    </row>
    <row r="19" spans="1:9" s="1598" customFormat="1" ht="19.5" customHeight="1">
      <c r="A19" s="3433"/>
      <c r="B19" s="3433" t="s">
        <v>1450</v>
      </c>
      <c r="C19" s="1130" t="s">
        <v>1451</v>
      </c>
      <c r="D19" s="1131"/>
      <c r="E19" s="1153">
        <v>0.9</v>
      </c>
      <c r="F19" s="1132" t="s">
        <v>1452</v>
      </c>
      <c r="G19" s="1133"/>
      <c r="H19" s="1104"/>
      <c r="I19" s="1104"/>
    </row>
    <row r="20" spans="1:9" s="1598" customFormat="1" ht="19.5" customHeight="1">
      <c r="A20" s="3433"/>
      <c r="B20" s="3433"/>
      <c r="C20" s="1130" t="s">
        <v>1453</v>
      </c>
      <c r="D20" s="1131"/>
      <c r="E20" s="1153">
        <v>1.1000000000000001</v>
      </c>
      <c r="F20" s="1132" t="s">
        <v>1454</v>
      </c>
      <c r="G20" s="1133"/>
      <c r="H20" s="1104"/>
      <c r="I20" s="1104"/>
    </row>
    <row r="21" spans="1:9" s="1598" customFormat="1" ht="19.5" customHeight="1">
      <c r="A21" s="3433"/>
      <c r="B21" s="3433"/>
      <c r="C21" s="1130" t="s">
        <v>1455</v>
      </c>
      <c r="D21" s="1131"/>
      <c r="E21" s="1153">
        <v>0.8</v>
      </c>
      <c r="F21" s="1132" t="s">
        <v>1456</v>
      </c>
      <c r="G21" s="1133"/>
      <c r="H21" s="1104"/>
      <c r="I21" s="1104"/>
    </row>
    <row r="22" spans="1:9" s="1598" customFormat="1" ht="19.5" customHeight="1">
      <c r="A22" s="3433"/>
      <c r="B22" s="3433"/>
      <c r="C22" s="1130" t="s">
        <v>1457</v>
      </c>
      <c r="D22" s="1131"/>
      <c r="E22" s="1153">
        <v>0.5</v>
      </c>
      <c r="F22" s="1132"/>
      <c r="G22" s="1133"/>
      <c r="H22" s="1104"/>
      <c r="I22" s="1104"/>
    </row>
    <row r="23" spans="1:9" s="1598" customFormat="1" ht="19.5" customHeight="1">
      <c r="A23" s="3433" t="s">
        <v>1030</v>
      </c>
      <c r="B23" s="1153" t="s">
        <v>1447</v>
      </c>
      <c r="C23" s="1130" t="s">
        <v>1458</v>
      </c>
      <c r="D23" s="1131"/>
      <c r="E23" s="1153">
        <v>1</v>
      </c>
      <c r="F23" s="1132" t="s">
        <v>1459</v>
      </c>
      <c r="G23" s="1133"/>
      <c r="H23" s="1104"/>
      <c r="I23" s="1104"/>
    </row>
    <row r="24" spans="1:9" s="1598" customFormat="1" ht="19.5" customHeight="1">
      <c r="A24" s="3433"/>
      <c r="B24" s="3433" t="s">
        <v>1450</v>
      </c>
      <c r="C24" s="1130" t="s">
        <v>1460</v>
      </c>
      <c r="D24" s="1131"/>
      <c r="E24" s="1153">
        <v>0.5</v>
      </c>
      <c r="F24" s="1132"/>
      <c r="G24" s="1133"/>
      <c r="H24" s="1104"/>
      <c r="I24" s="1104"/>
    </row>
    <row r="25" spans="1:9" s="1598" customFormat="1" ht="19.5" customHeight="1">
      <c r="A25" s="3433"/>
      <c r="B25" s="3433"/>
      <c r="C25" s="1130" t="s">
        <v>1461</v>
      </c>
      <c r="D25" s="1131"/>
      <c r="E25" s="1153">
        <v>1.1000000000000001</v>
      </c>
      <c r="F25" s="1132"/>
      <c r="G25" s="1133"/>
      <c r="H25" s="1104"/>
      <c r="I25" s="1104"/>
    </row>
    <row r="26" spans="1:9" s="1598" customFormat="1" ht="19.5" customHeight="1">
      <c r="A26" s="3433"/>
      <c r="B26" s="3433"/>
      <c r="C26" s="1130" t="s">
        <v>1462</v>
      </c>
      <c r="D26" s="1131"/>
      <c r="E26" s="1153">
        <v>1.1000000000000001</v>
      </c>
      <c r="F26" s="1132"/>
      <c r="G26" s="1133"/>
      <c r="H26" s="1104"/>
      <c r="I26" s="1104"/>
    </row>
    <row r="27" spans="1:9" s="1598" customFormat="1" ht="19.5" customHeight="1">
      <c r="A27" s="3433"/>
      <c r="B27" s="3433"/>
      <c r="C27" s="1130" t="s">
        <v>1463</v>
      </c>
      <c r="D27" s="1131"/>
      <c r="E27" s="1153">
        <v>0.9</v>
      </c>
      <c r="F27" s="1132" t="s">
        <v>1464</v>
      </c>
      <c r="G27" s="1133"/>
      <c r="H27" s="1104"/>
      <c r="I27" s="1104"/>
    </row>
    <row r="28" spans="1:9" s="1598" customFormat="1" ht="19.5" customHeight="1">
      <c r="A28" s="3433"/>
      <c r="B28" s="3433"/>
      <c r="C28" s="1130" t="s">
        <v>1465</v>
      </c>
      <c r="D28" s="1131"/>
      <c r="E28" s="1153">
        <v>0.9</v>
      </c>
      <c r="F28" s="1132" t="s">
        <v>1466</v>
      </c>
      <c r="G28" s="1133"/>
      <c r="H28" s="1104"/>
      <c r="I28" s="1104"/>
    </row>
    <row r="29" spans="1:9" s="1598" customFormat="1" ht="19.5" customHeight="1">
      <c r="A29" s="3433"/>
      <c r="B29" s="3433"/>
      <c r="C29" s="1130" t="s">
        <v>1467</v>
      </c>
      <c r="D29" s="1131"/>
      <c r="E29" s="1153">
        <v>0.9</v>
      </c>
      <c r="F29" s="1132" t="s">
        <v>1468</v>
      </c>
      <c r="G29" s="1133"/>
      <c r="H29" s="1104"/>
      <c r="I29" s="1104"/>
    </row>
    <row r="30" spans="1:9" s="1598" customFormat="1" ht="19.5" customHeight="1">
      <c r="A30" s="3433"/>
      <c r="B30" s="3433"/>
      <c r="C30" s="1130" t="s">
        <v>1469</v>
      </c>
      <c r="D30" s="1131"/>
      <c r="E30" s="1153">
        <v>0.9</v>
      </c>
      <c r="F30" s="1132" t="s">
        <v>1470</v>
      </c>
      <c r="G30" s="1133"/>
      <c r="H30" s="1104"/>
      <c r="I30" s="1104"/>
    </row>
    <row r="31" spans="1:9" s="1598" customFormat="1" ht="19.5" customHeight="1">
      <c r="A31" s="3433"/>
      <c r="B31" s="3433"/>
      <c r="C31" s="1130" t="s">
        <v>1471</v>
      </c>
      <c r="D31" s="1131"/>
      <c r="E31" s="1153">
        <v>0.8</v>
      </c>
      <c r="F31" s="1132" t="s">
        <v>1472</v>
      </c>
      <c r="G31" s="1133"/>
      <c r="H31" s="1104"/>
      <c r="I31" s="1104"/>
    </row>
    <row r="32" spans="1:9" s="1598" customFormat="1" ht="19.5" customHeight="1">
      <c r="A32" s="3433"/>
      <c r="B32" s="3433"/>
      <c r="C32" s="1130" t="s">
        <v>1473</v>
      </c>
      <c r="D32" s="1131"/>
      <c r="E32" s="1153">
        <v>0.8</v>
      </c>
      <c r="F32" s="1132" t="s">
        <v>1474</v>
      </c>
      <c r="G32" s="1133"/>
      <c r="H32" s="1104"/>
      <c r="I32" s="1104"/>
    </row>
    <row r="33" spans="1:9" s="1598" customFormat="1" ht="19.5" customHeight="1">
      <c r="A33" s="3433" t="s">
        <v>1475</v>
      </c>
      <c r="B33" s="1153" t="s">
        <v>1447</v>
      </c>
      <c r="C33" s="1130" t="s">
        <v>1476</v>
      </c>
      <c r="D33" s="1131"/>
      <c r="E33" s="1153">
        <v>1</v>
      </c>
      <c r="F33" s="1132" t="s">
        <v>1477</v>
      </c>
      <c r="G33" s="1133"/>
      <c r="H33" s="1104"/>
      <c r="I33" s="1104"/>
    </row>
    <row r="34" spans="1:9" s="1598" customFormat="1" ht="19.5" customHeight="1">
      <c r="A34" s="3433"/>
      <c r="B34" s="1153" t="s">
        <v>1450</v>
      </c>
      <c r="C34" s="1130" t="s">
        <v>1478</v>
      </c>
      <c r="D34" s="1131"/>
      <c r="E34" s="1153">
        <v>1.5</v>
      </c>
      <c r="F34" s="1132" t="s">
        <v>1479</v>
      </c>
      <c r="G34" s="1133"/>
      <c r="H34" s="1104"/>
      <c r="I34" s="1104"/>
    </row>
    <row r="35" spans="1:9" s="1598" customFormat="1" ht="19.5" customHeight="1">
      <c r="A35" s="3433" t="s">
        <v>1433</v>
      </c>
      <c r="B35" s="1153" t="s">
        <v>1447</v>
      </c>
      <c r="C35" s="1130" t="s">
        <v>1480</v>
      </c>
      <c r="D35" s="1131"/>
      <c r="E35" s="1153">
        <v>1</v>
      </c>
      <c r="F35" s="1132" t="s">
        <v>1481</v>
      </c>
      <c r="G35" s="1133"/>
      <c r="H35" s="1104"/>
      <c r="I35" s="1104"/>
    </row>
    <row r="36" spans="1:9" s="1598" customFormat="1" ht="19.5" customHeight="1">
      <c r="A36" s="3433"/>
      <c r="B36" s="3433" t="s">
        <v>1450</v>
      </c>
      <c r="C36" s="1130" t="s">
        <v>1482</v>
      </c>
      <c r="D36" s="1131"/>
      <c r="E36" s="1153">
        <v>1</v>
      </c>
      <c r="F36" s="1132" t="s">
        <v>1483</v>
      </c>
      <c r="G36" s="1133"/>
      <c r="H36" s="1104"/>
      <c r="I36" s="1104"/>
    </row>
    <row r="37" spans="1:9" s="1598" customFormat="1" ht="19.5" customHeight="1">
      <c r="A37" s="3433"/>
      <c r="B37" s="3433"/>
      <c r="C37" s="1130" t="s">
        <v>1484</v>
      </c>
      <c r="D37" s="1131"/>
      <c r="E37" s="1153">
        <v>1.5</v>
      </c>
      <c r="F37" s="1132" t="s">
        <v>1485</v>
      </c>
      <c r="G37" s="1133"/>
      <c r="H37" s="1104"/>
      <c r="I37" s="1104"/>
    </row>
    <row r="38" spans="1:9" s="1598" customFormat="1" ht="19.5" customHeight="1">
      <c r="A38" s="3433"/>
      <c r="B38" s="3433"/>
      <c r="C38" s="1130" t="s">
        <v>1486</v>
      </c>
      <c r="D38" s="1131"/>
      <c r="E38" s="1153">
        <v>1</v>
      </c>
      <c r="F38" s="1132" t="s">
        <v>1487</v>
      </c>
      <c r="G38" s="1133"/>
      <c r="H38" s="1104"/>
      <c r="I38" s="1104"/>
    </row>
    <row r="39" spans="1:9" s="1598" customFormat="1" ht="19.5" customHeight="1">
      <c r="A39" s="3433"/>
      <c r="B39" s="3433"/>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33" t="s">
        <v>1502</v>
      </c>
      <c r="C61" s="1067" t="s">
        <v>1503</v>
      </c>
      <c r="D61" s="1067" t="s">
        <v>1504</v>
      </c>
      <c r="E61" s="1138">
        <v>0.5</v>
      </c>
      <c r="F61" s="1153">
        <v>80</v>
      </c>
      <c r="H61" s="1104">
        <f>SUMIF(C59:C119,基准地价!C8,E59:E119)</f>
        <v>0</v>
      </c>
    </row>
    <row r="62" spans="1:8" s="1104" customFormat="1" ht="24">
      <c r="A62" s="1153">
        <v>2</v>
      </c>
      <c r="B62" s="3433"/>
      <c r="C62" s="1067" t="s">
        <v>1505</v>
      </c>
      <c r="D62" s="1067" t="s">
        <v>1506</v>
      </c>
      <c r="E62" s="1138">
        <v>0.5</v>
      </c>
      <c r="F62" s="1153">
        <v>80</v>
      </c>
    </row>
    <row r="63" spans="1:8" s="1104" customFormat="1" ht="36">
      <c r="A63" s="1153">
        <v>3</v>
      </c>
      <c r="B63" s="3433"/>
      <c r="C63" s="1067" t="s">
        <v>1507</v>
      </c>
      <c r="D63" s="1067" t="s">
        <v>1508</v>
      </c>
      <c r="E63" s="1138">
        <v>0.5</v>
      </c>
      <c r="F63" s="1153">
        <v>80</v>
      </c>
    </row>
    <row r="64" spans="1:8" s="1104" customFormat="1" ht="36">
      <c r="A64" s="1153">
        <v>4</v>
      </c>
      <c r="B64" s="3433"/>
      <c r="C64" s="1067" t="s">
        <v>1509</v>
      </c>
      <c r="D64" s="1067" t="s">
        <v>1510</v>
      </c>
      <c r="E64" s="1138">
        <v>0.4</v>
      </c>
      <c r="F64" s="1153">
        <v>60</v>
      </c>
    </row>
    <row r="65" spans="1:6" s="1104" customFormat="1" ht="36">
      <c r="A65" s="1153">
        <v>5</v>
      </c>
      <c r="B65" s="3433"/>
      <c r="C65" s="1067" t="s">
        <v>1511</v>
      </c>
      <c r="D65" s="1067" t="s">
        <v>1512</v>
      </c>
      <c r="E65" s="1138">
        <v>0.2</v>
      </c>
      <c r="F65" s="1153">
        <v>30</v>
      </c>
    </row>
    <row r="66" spans="1:6" s="1104" customFormat="1" ht="36">
      <c r="A66" s="1153">
        <v>6</v>
      </c>
      <c r="B66" s="3433"/>
      <c r="C66" s="1067" t="s">
        <v>1513</v>
      </c>
      <c r="D66" s="1067" t="s">
        <v>1514</v>
      </c>
      <c r="E66" s="1138">
        <v>0.3</v>
      </c>
      <c r="F66" s="1153">
        <v>50</v>
      </c>
    </row>
    <row r="67" spans="1:6" s="1104" customFormat="1" ht="36">
      <c r="A67" s="1153">
        <v>7</v>
      </c>
      <c r="B67" s="3433"/>
      <c r="C67" s="1067" t="s">
        <v>1515</v>
      </c>
      <c r="D67" s="1067" t="s">
        <v>1516</v>
      </c>
      <c r="E67" s="1138">
        <v>0.2</v>
      </c>
      <c r="F67" s="1153">
        <v>30</v>
      </c>
    </row>
    <row r="68" spans="1:6" s="1104" customFormat="1" ht="36">
      <c r="A68" s="1153">
        <v>8</v>
      </c>
      <c r="B68" s="3433"/>
      <c r="C68" s="1067" t="s">
        <v>1517</v>
      </c>
      <c r="D68" s="1067" t="s">
        <v>1518</v>
      </c>
      <c r="E68" s="1138">
        <v>0.2</v>
      </c>
      <c r="F68" s="1153">
        <v>30</v>
      </c>
    </row>
    <row r="69" spans="1:6" s="1104" customFormat="1" ht="36">
      <c r="A69" s="1153">
        <v>9</v>
      </c>
      <c r="B69" s="3433"/>
      <c r="C69" s="1067" t="s">
        <v>1519</v>
      </c>
      <c r="D69" s="1067" t="s">
        <v>1520</v>
      </c>
      <c r="E69" s="1138">
        <v>0.2</v>
      </c>
      <c r="F69" s="1153">
        <v>30</v>
      </c>
    </row>
    <row r="70" spans="1:6" s="1104" customFormat="1" ht="48">
      <c r="A70" s="1153">
        <v>10</v>
      </c>
      <c r="B70" s="3433"/>
      <c r="C70" s="1067" t="s">
        <v>1521</v>
      </c>
      <c r="D70" s="1067" t="s">
        <v>1522</v>
      </c>
      <c r="E70" s="1138">
        <v>0.2</v>
      </c>
      <c r="F70" s="1153">
        <v>30</v>
      </c>
    </row>
    <row r="71" spans="1:6" s="1104" customFormat="1" ht="48">
      <c r="A71" s="1153">
        <v>11</v>
      </c>
      <c r="B71" s="3433"/>
      <c r="C71" s="1067" t="s">
        <v>1523</v>
      </c>
      <c r="D71" s="1067" t="s">
        <v>1524</v>
      </c>
      <c r="E71" s="1138">
        <v>0.2</v>
      </c>
      <c r="F71" s="1153">
        <v>30</v>
      </c>
    </row>
    <row r="72" spans="1:6" s="1104" customFormat="1" ht="36">
      <c r="A72" s="1153">
        <v>12</v>
      </c>
      <c r="B72" s="3433"/>
      <c r="C72" s="1067" t="s">
        <v>1525</v>
      </c>
      <c r="D72" s="1067" t="s">
        <v>1526</v>
      </c>
      <c r="E72" s="1138">
        <v>0.5</v>
      </c>
      <c r="F72" s="1153">
        <v>80</v>
      </c>
    </row>
    <row r="73" spans="1:6" s="1104" customFormat="1" ht="24">
      <c r="A73" s="1153">
        <v>13</v>
      </c>
      <c r="B73" s="3433"/>
      <c r="C73" s="1067" t="s">
        <v>1527</v>
      </c>
      <c r="D73" s="1067" t="s">
        <v>1528</v>
      </c>
      <c r="E73" s="1138">
        <v>0.4</v>
      </c>
      <c r="F73" s="1153">
        <v>60</v>
      </c>
    </row>
    <row r="74" spans="1:6" s="1104" customFormat="1" ht="24">
      <c r="A74" s="1153">
        <v>14</v>
      </c>
      <c r="B74" s="3433"/>
      <c r="C74" s="1067" t="s">
        <v>1529</v>
      </c>
      <c r="D74" s="1067" t="s">
        <v>1530</v>
      </c>
      <c r="E74" s="1138">
        <v>0.2</v>
      </c>
      <c r="F74" s="1153">
        <v>30</v>
      </c>
    </row>
    <row r="75" spans="1:6" s="1104" customFormat="1" ht="24">
      <c r="A75" s="1153">
        <v>15</v>
      </c>
      <c r="B75" s="3433"/>
      <c r="C75" s="1067" t="s">
        <v>1531</v>
      </c>
      <c r="D75" s="1067" t="s">
        <v>1532</v>
      </c>
      <c r="E75" s="1138">
        <v>0.2</v>
      </c>
      <c r="F75" s="1153">
        <v>30</v>
      </c>
    </row>
    <row r="76" spans="1:6" s="1104" customFormat="1" ht="24">
      <c r="A76" s="1153">
        <v>16</v>
      </c>
      <c r="B76" s="3433" t="s">
        <v>1533</v>
      </c>
      <c r="C76" s="1067" t="s">
        <v>1534</v>
      </c>
      <c r="D76" s="1067" t="s">
        <v>1535</v>
      </c>
      <c r="E76" s="1138">
        <v>0.5</v>
      </c>
      <c r="F76" s="1153">
        <v>80</v>
      </c>
    </row>
    <row r="77" spans="1:6" s="1104" customFormat="1" ht="24">
      <c r="A77" s="1153">
        <v>17</v>
      </c>
      <c r="B77" s="3433"/>
      <c r="C77" s="1067" t="s">
        <v>1536</v>
      </c>
      <c r="D77" s="1067" t="s">
        <v>1537</v>
      </c>
      <c r="E77" s="1138">
        <v>0.5</v>
      </c>
      <c r="F77" s="1153">
        <v>80</v>
      </c>
    </row>
    <row r="78" spans="1:6" s="1104" customFormat="1" ht="24">
      <c r="A78" s="1153">
        <v>18</v>
      </c>
      <c r="B78" s="3433"/>
      <c r="C78" s="1067" t="s">
        <v>1538</v>
      </c>
      <c r="D78" s="1067" t="s">
        <v>1539</v>
      </c>
      <c r="E78" s="1138">
        <v>0.2</v>
      </c>
      <c r="F78" s="1153">
        <v>30</v>
      </c>
    </row>
    <row r="79" spans="1:6" s="1104" customFormat="1" ht="24">
      <c r="A79" s="1153">
        <v>19</v>
      </c>
      <c r="B79" s="3433"/>
      <c r="C79" s="1067" t="s">
        <v>1540</v>
      </c>
      <c r="D79" s="1067" t="s">
        <v>1541</v>
      </c>
      <c r="E79" s="1138">
        <v>0.5</v>
      </c>
      <c r="F79" s="1153">
        <v>80</v>
      </c>
    </row>
    <row r="80" spans="1:6" s="1104" customFormat="1" ht="36">
      <c r="A80" s="1153">
        <v>20</v>
      </c>
      <c r="B80" s="3433"/>
      <c r="C80" s="1067" t="s">
        <v>1542</v>
      </c>
      <c r="D80" s="1067" t="s">
        <v>1543</v>
      </c>
      <c r="E80" s="1138">
        <v>0.2</v>
      </c>
      <c r="F80" s="1153">
        <v>30</v>
      </c>
    </row>
    <row r="81" spans="1:6" s="1104" customFormat="1" ht="36">
      <c r="A81" s="1153">
        <v>21</v>
      </c>
      <c r="B81" s="3433"/>
      <c r="C81" s="1067" t="s">
        <v>1544</v>
      </c>
      <c r="D81" s="1067" t="s">
        <v>1545</v>
      </c>
      <c r="E81" s="1138">
        <v>0.2</v>
      </c>
      <c r="F81" s="1153">
        <v>30</v>
      </c>
    </row>
    <row r="82" spans="1:6" s="1104" customFormat="1" ht="48">
      <c r="A82" s="1153">
        <v>22</v>
      </c>
      <c r="B82" s="3433"/>
      <c r="C82" s="1067" t="s">
        <v>1546</v>
      </c>
      <c r="D82" s="1067" t="s">
        <v>1547</v>
      </c>
      <c r="E82" s="1138">
        <v>0.2</v>
      </c>
      <c r="F82" s="1153">
        <v>30</v>
      </c>
    </row>
    <row r="83" spans="1:6" s="1104" customFormat="1" ht="48">
      <c r="A83" s="1153">
        <v>23</v>
      </c>
      <c r="B83" s="3433"/>
      <c r="C83" s="1067" t="s">
        <v>1548</v>
      </c>
      <c r="D83" s="1067" t="s">
        <v>1549</v>
      </c>
      <c r="E83" s="1138">
        <v>0.2</v>
      </c>
      <c r="F83" s="1153">
        <v>30</v>
      </c>
    </row>
    <row r="84" spans="1:6" s="1104" customFormat="1" ht="36">
      <c r="A84" s="1153">
        <v>24</v>
      </c>
      <c r="B84" s="3433"/>
      <c r="C84" s="1067" t="s">
        <v>1550</v>
      </c>
      <c r="D84" s="1067" t="s">
        <v>1551</v>
      </c>
      <c r="E84" s="1138">
        <v>0.2</v>
      </c>
      <c r="F84" s="1153">
        <v>30</v>
      </c>
    </row>
    <row r="85" spans="1:6" s="1104" customFormat="1" ht="36">
      <c r="A85" s="1153">
        <v>25</v>
      </c>
      <c r="B85" s="3433"/>
      <c r="C85" s="1067" t="s">
        <v>1552</v>
      </c>
      <c r="D85" s="1067" t="s">
        <v>1553</v>
      </c>
      <c r="E85" s="1138">
        <v>0.5</v>
      </c>
      <c r="F85" s="1153">
        <v>80</v>
      </c>
    </row>
    <row r="86" spans="1:6" s="1104" customFormat="1" ht="36">
      <c r="A86" s="1153">
        <v>26</v>
      </c>
      <c r="B86" s="3433"/>
      <c r="C86" s="1067" t="s">
        <v>1554</v>
      </c>
      <c r="D86" s="1067" t="s">
        <v>1555</v>
      </c>
      <c r="E86" s="1138">
        <v>0.2</v>
      </c>
      <c r="F86" s="1153">
        <v>30</v>
      </c>
    </row>
    <row r="87" spans="1:6" s="1104" customFormat="1" ht="36">
      <c r="A87" s="1153">
        <v>27</v>
      </c>
      <c r="B87" s="3433"/>
      <c r="C87" s="1067" t="s">
        <v>1556</v>
      </c>
      <c r="D87" s="1067" t="s">
        <v>1557</v>
      </c>
      <c r="E87" s="1138">
        <v>0.2</v>
      </c>
      <c r="F87" s="1153">
        <v>30</v>
      </c>
    </row>
    <row r="88" spans="1:6" s="1104" customFormat="1" ht="36">
      <c r="A88" s="1153">
        <v>28</v>
      </c>
      <c r="B88" s="3433"/>
      <c r="C88" s="1067" t="s">
        <v>1558</v>
      </c>
      <c r="D88" s="1067" t="s">
        <v>1559</v>
      </c>
      <c r="E88" s="1138">
        <v>0.2</v>
      </c>
      <c r="F88" s="1153">
        <v>30</v>
      </c>
    </row>
    <row r="89" spans="1:6" s="1104" customFormat="1" ht="24">
      <c r="A89" s="1153">
        <v>29</v>
      </c>
      <c r="B89" s="3433"/>
      <c r="C89" s="1067" t="s">
        <v>1560</v>
      </c>
      <c r="D89" s="1067" t="s">
        <v>1561</v>
      </c>
      <c r="E89" s="1138">
        <v>0.2</v>
      </c>
      <c r="F89" s="1153">
        <v>30</v>
      </c>
    </row>
    <row r="90" spans="1:6" s="1104" customFormat="1" ht="24">
      <c r="A90" s="1153">
        <v>30</v>
      </c>
      <c r="B90" s="3433"/>
      <c r="C90" s="1067" t="s">
        <v>1562</v>
      </c>
      <c r="D90" s="1067" t="s">
        <v>1563</v>
      </c>
      <c r="E90" s="1138">
        <v>0.2</v>
      </c>
      <c r="F90" s="1153">
        <v>30</v>
      </c>
    </row>
    <row r="91" spans="1:6" s="1104" customFormat="1" ht="36">
      <c r="A91" s="1153">
        <v>31</v>
      </c>
      <c r="B91" s="3433"/>
      <c r="C91" s="1067" t="s">
        <v>1564</v>
      </c>
      <c r="D91" s="1067" t="s">
        <v>1565</v>
      </c>
      <c r="E91" s="1138">
        <v>0.2</v>
      </c>
      <c r="F91" s="1153">
        <v>30</v>
      </c>
    </row>
    <row r="92" spans="1:6" s="1104" customFormat="1" ht="24">
      <c r="A92" s="1153">
        <v>32</v>
      </c>
      <c r="B92" s="3433" t="s">
        <v>1566</v>
      </c>
      <c r="C92" s="1153" t="s">
        <v>1567</v>
      </c>
      <c r="D92" s="1067" t="s">
        <v>1568</v>
      </c>
      <c r="E92" s="1138">
        <v>0.2</v>
      </c>
      <c r="F92" s="1153">
        <v>30</v>
      </c>
    </row>
    <row r="93" spans="1:6" s="1104" customFormat="1" ht="36">
      <c r="A93" s="1153">
        <v>33</v>
      </c>
      <c r="B93" s="3433"/>
      <c r="C93" s="1153" t="s">
        <v>1569</v>
      </c>
      <c r="D93" s="1067" t="s">
        <v>1570</v>
      </c>
      <c r="E93" s="1138">
        <v>0.2</v>
      </c>
      <c r="F93" s="1153">
        <v>30</v>
      </c>
    </row>
    <row r="94" spans="1:6" s="1104" customFormat="1" ht="48">
      <c r="A94" s="1153">
        <v>34</v>
      </c>
      <c r="B94" s="3433"/>
      <c r="C94" s="1153" t="s">
        <v>1571</v>
      </c>
      <c r="D94" s="1067" t="s">
        <v>1572</v>
      </c>
      <c r="E94" s="1138">
        <v>0.2</v>
      </c>
      <c r="F94" s="1153">
        <v>30</v>
      </c>
    </row>
    <row r="95" spans="1:6" s="1104" customFormat="1" ht="36">
      <c r="A95" s="1153">
        <v>35</v>
      </c>
      <c r="B95" s="3433"/>
      <c r="C95" s="1153" t="s">
        <v>1573</v>
      </c>
      <c r="D95" s="1067" t="s">
        <v>1574</v>
      </c>
      <c r="E95" s="1138">
        <v>0.2</v>
      </c>
      <c r="F95" s="1153">
        <v>30</v>
      </c>
    </row>
    <row r="96" spans="1:6" s="1104" customFormat="1" ht="48">
      <c r="A96" s="1153">
        <v>36</v>
      </c>
      <c r="B96" s="3433"/>
      <c r="C96" s="1067" t="s">
        <v>1575</v>
      </c>
      <c r="D96" s="1067" t="s">
        <v>1576</v>
      </c>
      <c r="E96" s="1138">
        <v>0.2</v>
      </c>
      <c r="F96" s="1153">
        <v>30</v>
      </c>
    </row>
    <row r="97" spans="1:6" s="1104" customFormat="1" ht="36">
      <c r="A97" s="1153">
        <v>37</v>
      </c>
      <c r="B97" s="3433"/>
      <c r="C97" s="1153" t="s">
        <v>1577</v>
      </c>
      <c r="D97" s="1067" t="s">
        <v>1578</v>
      </c>
      <c r="E97" s="1138">
        <v>0.2</v>
      </c>
      <c r="F97" s="1153">
        <v>30</v>
      </c>
    </row>
    <row r="98" spans="1:6" s="1104" customFormat="1" ht="36">
      <c r="A98" s="1153">
        <v>38</v>
      </c>
      <c r="B98" s="3433"/>
      <c r="C98" s="1153" t="s">
        <v>1579</v>
      </c>
      <c r="D98" s="1067" t="s">
        <v>1580</v>
      </c>
      <c r="E98" s="1138">
        <v>0.2</v>
      </c>
      <c r="F98" s="1153">
        <v>30</v>
      </c>
    </row>
    <row r="99" spans="1:6" s="1104" customFormat="1" ht="36">
      <c r="A99" s="1153">
        <v>39</v>
      </c>
      <c r="B99" s="3433" t="s">
        <v>1581</v>
      </c>
      <c r="C99" s="1153" t="s">
        <v>1582</v>
      </c>
      <c r="D99" s="1067" t="s">
        <v>1583</v>
      </c>
      <c r="E99" s="1138">
        <v>0.3</v>
      </c>
      <c r="F99" s="1153">
        <v>50</v>
      </c>
    </row>
    <row r="100" spans="1:6" s="1104" customFormat="1" ht="24">
      <c r="A100" s="1153">
        <v>40</v>
      </c>
      <c r="B100" s="3433"/>
      <c r="C100" s="1153" t="s">
        <v>1584</v>
      </c>
      <c r="D100" s="1067" t="s">
        <v>1585</v>
      </c>
      <c r="E100" s="1138">
        <v>0.2</v>
      </c>
      <c r="F100" s="1153">
        <v>30</v>
      </c>
    </row>
    <row r="101" spans="1:6" s="1104" customFormat="1" ht="36">
      <c r="A101" s="1153">
        <v>41</v>
      </c>
      <c r="B101" s="3433"/>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33" t="s">
        <v>1596</v>
      </c>
      <c r="C105" s="1153" t="s">
        <v>1597</v>
      </c>
      <c r="D105" s="1067" t="s">
        <v>1598</v>
      </c>
      <c r="E105" s="1138">
        <v>0.2</v>
      </c>
      <c r="F105" s="1153">
        <v>30</v>
      </c>
    </row>
    <row r="106" spans="1:6" s="1104" customFormat="1" ht="36">
      <c r="A106" s="1153">
        <v>46</v>
      </c>
      <c r="B106" s="3433"/>
      <c r="C106" s="1153" t="s">
        <v>1599</v>
      </c>
      <c r="D106" s="1067" t="s">
        <v>1600</v>
      </c>
      <c r="E106" s="1138">
        <v>0.2</v>
      </c>
      <c r="F106" s="1153">
        <v>30</v>
      </c>
    </row>
    <row r="107" spans="1:6" s="1104" customFormat="1" ht="36">
      <c r="A107" s="1153">
        <v>47</v>
      </c>
      <c r="B107" s="3433" t="s">
        <v>1601</v>
      </c>
      <c r="C107" s="1153" t="s">
        <v>1602</v>
      </c>
      <c r="D107" s="1067" t="s">
        <v>1603</v>
      </c>
      <c r="E107" s="1138">
        <v>0.3</v>
      </c>
      <c r="F107" s="1153">
        <v>50</v>
      </c>
    </row>
    <row r="108" spans="1:6" s="1104" customFormat="1" ht="36">
      <c r="A108" s="1153">
        <v>48</v>
      </c>
      <c r="B108" s="3433"/>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33" t="s">
        <v>1612</v>
      </c>
      <c r="C111" s="1153" t="s">
        <v>1613</v>
      </c>
      <c r="D111" s="1067" t="s">
        <v>1614</v>
      </c>
      <c r="E111" s="1138">
        <v>0.2</v>
      </c>
      <c r="F111" s="1153">
        <v>30</v>
      </c>
    </row>
    <row r="112" spans="1:6" s="1104" customFormat="1" ht="24">
      <c r="A112" s="1153">
        <v>52</v>
      </c>
      <c r="B112" s="3433"/>
      <c r="C112" s="1153" t="s">
        <v>1615</v>
      </c>
      <c r="D112" s="1067" t="s">
        <v>1616</v>
      </c>
      <c r="E112" s="1138">
        <v>0.2</v>
      </c>
      <c r="F112" s="1153">
        <v>30</v>
      </c>
    </row>
    <row r="113" spans="1:14" s="1104" customFormat="1" ht="24">
      <c r="A113" s="1153">
        <v>53</v>
      </c>
      <c r="B113" s="3433"/>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33" t="s">
        <v>1625</v>
      </c>
      <c r="C116" s="1153" t="s">
        <v>1626</v>
      </c>
      <c r="D116" s="1067" t="s">
        <v>1627</v>
      </c>
      <c r="E116" s="1138">
        <v>0.2</v>
      </c>
      <c r="F116" s="1153">
        <v>30</v>
      </c>
    </row>
    <row r="117" spans="1:14" ht="36">
      <c r="A117" s="1153">
        <v>57</v>
      </c>
      <c r="B117" s="3433"/>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32" t="s">
        <v>1634</v>
      </c>
      <c r="B121" s="3432"/>
      <c r="C121" s="3432"/>
      <c r="D121" s="3432"/>
      <c r="E121" s="3432"/>
      <c r="F121" s="3432"/>
      <c r="G121" s="3432"/>
      <c r="H121" s="3432"/>
      <c r="I121" s="3432"/>
      <c r="J121" s="343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7" t="s">
        <v>1040</v>
      </c>
      <c r="B1" s="3437"/>
      <c r="C1" s="3437"/>
      <c r="D1" s="3437"/>
      <c r="E1" s="3437"/>
      <c r="F1" s="3437"/>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38" t="s">
        <v>1053</v>
      </c>
      <c r="B2" s="3438"/>
      <c r="C2" s="3438"/>
      <c r="D2" s="3438"/>
      <c r="E2" s="3438"/>
      <c r="F2" s="3438"/>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39"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40"/>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2420</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2421</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41" t="s">
        <v>2079</v>
      </c>
      <c r="B1" s="3441"/>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1097</v>
      </c>
      <c r="B6" s="1858" t="s">
        <v>2088</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2089</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2090</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2091</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2092</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2093</v>
      </c>
      <c r="C72" s="1868"/>
      <c r="D72" s="1868"/>
      <c r="E72" s="1868"/>
      <c r="F72" s="1860">
        <v>0.05</v>
      </c>
    </row>
    <row r="73" spans="1:6" ht="14.25" thickBot="1">
      <c r="A73" s="1854" t="s">
        <v>925</v>
      </c>
      <c r="B73" s="1858" t="s">
        <v>2094</v>
      </c>
      <c r="C73" s="1868"/>
      <c r="D73" s="1868"/>
      <c r="E73" s="1868"/>
      <c r="F73" s="1860">
        <v>0.05</v>
      </c>
    </row>
    <row r="74" spans="1:6" ht="14.25" thickBot="1">
      <c r="A74" s="1854" t="s">
        <v>925</v>
      </c>
      <c r="B74" s="1858" t="s">
        <v>2095</v>
      </c>
      <c r="C74" s="1868"/>
      <c r="D74" s="1868"/>
      <c r="E74" s="1868"/>
      <c r="F74" s="1860">
        <v>0.05</v>
      </c>
    </row>
    <row r="75" spans="1:6" ht="14.25" thickBot="1">
      <c r="A75" s="1862" t="s">
        <v>925</v>
      </c>
      <c r="B75" s="1869" t="s">
        <v>2096</v>
      </c>
      <c r="C75" s="1865"/>
      <c r="D75" s="1865"/>
      <c r="E75" s="1865"/>
      <c r="F75" s="1870">
        <v>0.05</v>
      </c>
    </row>
    <row r="76" spans="1:6" ht="14.25" thickBot="1">
      <c r="A76" s="1854" t="s">
        <v>1408</v>
      </c>
      <c r="B76" s="1855" t="s">
        <v>2097</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2098</v>
      </c>
      <c r="C102" s="1868"/>
      <c r="D102" s="1868"/>
      <c r="E102" s="1868"/>
      <c r="F102" s="1860">
        <v>0.05</v>
      </c>
    </row>
    <row r="103" spans="1:6" ht="24.75" thickBot="1">
      <c r="A103" s="1854" t="s">
        <v>1408</v>
      </c>
      <c r="B103" s="1858" t="s">
        <v>2099</v>
      </c>
      <c r="C103" s="1868"/>
      <c r="D103" s="1868"/>
      <c r="E103" s="1868"/>
      <c r="F103" s="1860">
        <v>0.05</v>
      </c>
    </row>
    <row r="104" spans="1:6" ht="14.25" thickBot="1">
      <c r="A104" s="1854" t="s">
        <v>1408</v>
      </c>
      <c r="B104" s="1858" t="s">
        <v>2100</v>
      </c>
      <c r="C104" s="1868"/>
      <c r="D104" s="1868"/>
      <c r="E104" s="1868"/>
      <c r="F104" s="1860">
        <v>0.05</v>
      </c>
    </row>
    <row r="105" spans="1:6" ht="14.25" thickBot="1">
      <c r="A105" s="1854" t="s">
        <v>1408</v>
      </c>
      <c r="B105" s="1858" t="s">
        <v>2101</v>
      </c>
      <c r="C105" s="1868"/>
      <c r="D105" s="1868"/>
      <c r="E105" s="1868"/>
      <c r="F105" s="1860">
        <v>0.05</v>
      </c>
    </row>
    <row r="106" spans="1:6" ht="14.25" thickBot="1">
      <c r="A106" s="1854" t="s">
        <v>1408</v>
      </c>
      <c r="B106" s="1858" t="s">
        <v>2102</v>
      </c>
      <c r="C106" s="1868"/>
      <c r="D106" s="1868"/>
      <c r="E106" s="1868"/>
      <c r="F106" s="1860">
        <v>0.05</v>
      </c>
    </row>
    <row r="107" spans="1:6" ht="24.75" thickBot="1">
      <c r="A107" s="1854" t="s">
        <v>1408</v>
      </c>
      <c r="B107" s="1858" t="s">
        <v>2103</v>
      </c>
      <c r="C107" s="1868"/>
      <c r="D107" s="1868"/>
      <c r="E107" s="1868"/>
      <c r="F107" s="1860">
        <v>0.05</v>
      </c>
    </row>
    <row r="108" spans="1:6" ht="24.75" thickBot="1">
      <c r="A108" s="1854" t="s">
        <v>1408</v>
      </c>
      <c r="B108" s="1858" t="s">
        <v>2104</v>
      </c>
      <c r="C108" s="1868"/>
      <c r="D108" s="1868"/>
      <c r="E108" s="1868"/>
      <c r="F108" s="1860">
        <v>0.05</v>
      </c>
    </row>
    <row r="109" spans="1:6" ht="24.75" thickBot="1">
      <c r="A109" s="1862" t="s">
        <v>1408</v>
      </c>
      <c r="B109" s="1869" t="s">
        <v>2105</v>
      </c>
      <c r="C109" s="1865"/>
      <c r="D109" s="1865"/>
      <c r="E109" s="1865"/>
      <c r="F109" s="1870">
        <v>0.05</v>
      </c>
    </row>
    <row r="110" spans="1:6" ht="14.25" thickBot="1">
      <c r="A110" s="1854" t="s">
        <v>1410</v>
      </c>
      <c r="B110" s="1855" t="s">
        <v>2106</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2107</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2108</v>
      </c>
      <c r="C138" s="1859">
        <v>0.105</v>
      </c>
      <c r="D138" s="1859">
        <v>0.125</v>
      </c>
      <c r="E138" s="1859">
        <v>0.112</v>
      </c>
      <c r="F138" s="1867"/>
    </row>
    <row r="139" spans="1:6" ht="14.25" thickBot="1">
      <c r="A139" s="1854" t="s">
        <v>1410</v>
      </c>
      <c r="B139" s="1858" t="s">
        <v>2109</v>
      </c>
      <c r="C139" s="1859">
        <v>0.127</v>
      </c>
      <c r="D139" s="1859">
        <v>0.127</v>
      </c>
      <c r="E139" s="1859">
        <v>0.122</v>
      </c>
      <c r="F139" s="1860">
        <v>0.13</v>
      </c>
    </row>
    <row r="140" spans="1:6" ht="14.25" thickBot="1">
      <c r="A140" s="1854" t="s">
        <v>1410</v>
      </c>
      <c r="B140" s="1858" t="s">
        <v>2110</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2111</v>
      </c>
      <c r="C144" s="1872">
        <v>0.126</v>
      </c>
      <c r="D144" s="1872">
        <v>0.126</v>
      </c>
      <c r="E144" s="1872">
        <v>0.121</v>
      </c>
      <c r="F144" s="1867"/>
    </row>
    <row r="145" spans="1:6" ht="14.25" thickBot="1">
      <c r="A145" s="1862" t="s">
        <v>1410</v>
      </c>
      <c r="B145" s="1873" t="s">
        <v>2112</v>
      </c>
      <c r="C145" s="1874"/>
      <c r="D145" s="1874"/>
      <c r="E145" s="1874"/>
      <c r="F145" s="1875">
        <v>0.05</v>
      </c>
    </row>
    <row r="146" spans="1:6" ht="24.75" thickBot="1">
      <c r="A146" s="1876" t="s">
        <v>1410</v>
      </c>
      <c r="B146" s="1861" t="s">
        <v>2113</v>
      </c>
      <c r="C146" s="1868"/>
      <c r="D146" s="1868"/>
      <c r="E146" s="1868"/>
      <c r="F146" s="1877">
        <v>0.05</v>
      </c>
    </row>
    <row r="147" spans="1:6" ht="24.75" thickBot="1">
      <c r="A147" s="1854" t="s">
        <v>1410</v>
      </c>
      <c r="B147" s="1858" t="s">
        <v>2114</v>
      </c>
      <c r="C147" s="1868"/>
      <c r="D147" s="1868"/>
      <c r="E147" s="1868"/>
      <c r="F147" s="1860">
        <v>0.05</v>
      </c>
    </row>
    <row r="148" spans="1:6" ht="24.75" thickBot="1">
      <c r="A148" s="1854" t="s">
        <v>1410</v>
      </c>
      <c r="B148" s="1858" t="s">
        <v>2115</v>
      </c>
      <c r="C148" s="1868"/>
      <c r="D148" s="1868"/>
      <c r="E148" s="1868"/>
      <c r="F148" s="1860">
        <v>0.05</v>
      </c>
    </row>
    <row r="149" spans="1:6" ht="24.75" thickBot="1">
      <c r="A149" s="1854" t="s">
        <v>1410</v>
      </c>
      <c r="B149" s="1858" t="s">
        <v>2116</v>
      </c>
      <c r="C149" s="1868"/>
      <c r="D149" s="1868"/>
      <c r="E149" s="1868"/>
      <c r="F149" s="1860">
        <v>0.05</v>
      </c>
    </row>
    <row r="150" spans="1:6" ht="24.75" thickBot="1">
      <c r="A150" s="1854" t="s">
        <v>1410</v>
      </c>
      <c r="B150" s="1858" t="s">
        <v>2117</v>
      </c>
      <c r="C150" s="1868"/>
      <c r="D150" s="1868"/>
      <c r="E150" s="1868"/>
      <c r="F150" s="1860">
        <v>0.05</v>
      </c>
    </row>
    <row r="151" spans="1:6" ht="24.75" thickBot="1">
      <c r="A151" s="1854" t="s">
        <v>1410</v>
      </c>
      <c r="B151" s="1858" t="s">
        <v>2118</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2119</v>
      </c>
      <c r="C153" s="1868"/>
      <c r="D153" s="1868"/>
      <c r="E153" s="1868"/>
      <c r="F153" s="1860">
        <v>0.05</v>
      </c>
    </row>
    <row r="154" spans="1:6" ht="14.25" thickBot="1">
      <c r="A154" s="1854" t="s">
        <v>1410</v>
      </c>
      <c r="B154" s="1858" t="s">
        <v>2120</v>
      </c>
      <c r="C154" s="1868"/>
      <c r="D154" s="1868"/>
      <c r="E154" s="1868"/>
      <c r="F154" s="1860">
        <v>0.05</v>
      </c>
    </row>
    <row r="155" spans="1:6" ht="24.75" thickBot="1">
      <c r="A155" s="1854" t="s">
        <v>1410</v>
      </c>
      <c r="B155" s="1858" t="s">
        <v>2121</v>
      </c>
      <c r="C155" s="1868"/>
      <c r="D155" s="1868"/>
      <c r="E155" s="1868"/>
      <c r="F155" s="1860">
        <v>0.05</v>
      </c>
    </row>
    <row r="156" spans="1:6" ht="24.75" thickBot="1">
      <c r="A156" s="1854" t="s">
        <v>1410</v>
      </c>
      <c r="B156" s="1858" t="s">
        <v>2122</v>
      </c>
      <c r="C156" s="1868"/>
      <c r="D156" s="1868"/>
      <c r="E156" s="1868"/>
      <c r="F156" s="1860">
        <v>0.05</v>
      </c>
    </row>
    <row r="157" spans="1:6" ht="14.25" thickBot="1">
      <c r="A157" s="1862" t="s">
        <v>1410</v>
      </c>
      <c r="B157" s="1869" t="s">
        <v>2123</v>
      </c>
      <c r="C157" s="1865"/>
      <c r="D157" s="1865"/>
      <c r="E157" s="1865"/>
      <c r="F157" s="1870">
        <v>0.05</v>
      </c>
    </row>
    <row r="158" spans="1:6" ht="14.25" thickBot="1">
      <c r="A158" s="1854" t="s">
        <v>1412</v>
      </c>
      <c r="B158" s="1855" t="s">
        <v>2124</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2125</v>
      </c>
      <c r="C171" s="1859">
        <v>0.127</v>
      </c>
      <c r="D171" s="1859">
        <v>0.126</v>
      </c>
      <c r="E171" s="1859">
        <v>0.126</v>
      </c>
      <c r="F171" s="1860">
        <v>0.11799999999999999</v>
      </c>
    </row>
    <row r="172" spans="1:6" ht="14.25" thickBot="1">
      <c r="A172" s="1854" t="s">
        <v>1412</v>
      </c>
      <c r="B172" s="1858" t="s">
        <v>2126</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2127</v>
      </c>
      <c r="C174" s="1859">
        <v>0.13</v>
      </c>
      <c r="D174" s="1859">
        <v>0.13</v>
      </c>
      <c r="E174" s="1859">
        <v>0.13</v>
      </c>
      <c r="F174" s="1860">
        <v>0.13</v>
      </c>
    </row>
    <row r="175" spans="1:6" ht="14.25" thickBot="1">
      <c r="A175" s="1854" t="s">
        <v>1412</v>
      </c>
      <c r="B175" s="1858" t="s">
        <v>2128</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2129</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2130</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2131</v>
      </c>
      <c r="C185" s="1859">
        <v>0.127</v>
      </c>
      <c r="D185" s="1859">
        <v>0.127</v>
      </c>
      <c r="E185" s="1859">
        <v>0.128</v>
      </c>
      <c r="F185" s="1860">
        <v>0.13</v>
      </c>
    </row>
    <row r="186" spans="1:6" ht="24.75" thickBot="1">
      <c r="A186" s="1854" t="s">
        <v>1412</v>
      </c>
      <c r="B186" s="1858" t="s">
        <v>2132</v>
      </c>
      <c r="C186" s="1868"/>
      <c r="D186" s="1868"/>
      <c r="E186" s="1868"/>
      <c r="F186" s="1860">
        <v>0.05</v>
      </c>
    </row>
    <row r="187" spans="1:6" ht="14.25" thickBot="1">
      <c r="A187" s="1854" t="s">
        <v>1412</v>
      </c>
      <c r="B187" s="1858" t="s">
        <v>2133</v>
      </c>
      <c r="C187" s="1868"/>
      <c r="D187" s="1868"/>
      <c r="E187" s="1868"/>
      <c r="F187" s="1860">
        <v>0.05</v>
      </c>
    </row>
    <row r="188" spans="1:6" ht="14.25" thickBot="1">
      <c r="A188" s="1854" t="s">
        <v>1412</v>
      </c>
      <c r="B188" s="1858" t="s">
        <v>2134</v>
      </c>
      <c r="C188" s="1868"/>
      <c r="D188" s="1868"/>
      <c r="E188" s="1868"/>
      <c r="F188" s="1860">
        <v>0.05</v>
      </c>
    </row>
    <row r="189" spans="1:6" ht="24.75" thickBot="1">
      <c r="A189" s="1854" t="s">
        <v>1412</v>
      </c>
      <c r="B189" s="1858" t="s">
        <v>2135</v>
      </c>
      <c r="C189" s="1868"/>
      <c r="D189" s="1868"/>
      <c r="E189" s="1868"/>
      <c r="F189" s="1860">
        <v>0.05</v>
      </c>
    </row>
    <row r="190" spans="1:6" ht="24.75" thickBot="1">
      <c r="A190" s="1854" t="s">
        <v>1412</v>
      </c>
      <c r="B190" s="1858" t="s">
        <v>2136</v>
      </c>
      <c r="C190" s="1868"/>
      <c r="D190" s="1868"/>
      <c r="E190" s="1868"/>
      <c r="F190" s="1860">
        <v>0.05</v>
      </c>
    </row>
    <row r="191" spans="1:6" ht="24.75" thickBot="1">
      <c r="A191" s="1854" t="s">
        <v>1412</v>
      </c>
      <c r="B191" s="1858" t="s">
        <v>2137</v>
      </c>
      <c r="C191" s="1868"/>
      <c r="D191" s="1868"/>
      <c r="E191" s="1868"/>
      <c r="F191" s="1860">
        <v>0.05</v>
      </c>
    </row>
    <row r="192" spans="1:6" ht="24.75" thickBot="1">
      <c r="A192" s="1854" t="s">
        <v>1412</v>
      </c>
      <c r="B192" s="1858" t="s">
        <v>2138</v>
      </c>
      <c r="C192" s="1868"/>
      <c r="D192" s="1868"/>
      <c r="E192" s="1868"/>
      <c r="F192" s="1860">
        <v>0.05</v>
      </c>
    </row>
    <row r="193" spans="1:6" ht="24.75" thickBot="1">
      <c r="A193" s="1854" t="s">
        <v>1412</v>
      </c>
      <c r="B193" s="1858" t="s">
        <v>2139</v>
      </c>
      <c r="C193" s="1868"/>
      <c r="D193" s="1868"/>
      <c r="E193" s="1868"/>
      <c r="F193" s="1860">
        <v>0.05</v>
      </c>
    </row>
    <row r="194" spans="1:6" ht="24.75" thickBot="1">
      <c r="A194" s="1854" t="s">
        <v>1412</v>
      </c>
      <c r="B194" s="1858" t="s">
        <v>2140</v>
      </c>
      <c r="C194" s="1868"/>
      <c r="D194" s="1868"/>
      <c r="E194" s="1868"/>
      <c r="F194" s="1860">
        <v>0.05</v>
      </c>
    </row>
    <row r="195" spans="1:6" ht="14.25" thickBot="1">
      <c r="A195" s="1854" t="s">
        <v>1412</v>
      </c>
      <c r="B195" s="1858" t="s">
        <v>2141</v>
      </c>
      <c r="C195" s="1868"/>
      <c r="D195" s="1868"/>
      <c r="E195" s="1868"/>
      <c r="F195" s="1860">
        <v>0.05</v>
      </c>
    </row>
    <row r="196" spans="1:6" ht="24.75" thickBot="1">
      <c r="A196" s="1854" t="s">
        <v>1412</v>
      </c>
      <c r="B196" s="1858" t="s">
        <v>2142</v>
      </c>
      <c r="C196" s="1868"/>
      <c r="D196" s="1868"/>
      <c r="E196" s="1868"/>
      <c r="F196" s="1860">
        <v>0.05</v>
      </c>
    </row>
    <row r="197" spans="1:6" ht="24.75" thickBot="1">
      <c r="A197" s="1854" t="s">
        <v>1412</v>
      </c>
      <c r="B197" s="1858" t="s">
        <v>2143</v>
      </c>
      <c r="C197" s="1868"/>
      <c r="D197" s="1868"/>
      <c r="E197" s="1868"/>
      <c r="F197" s="1860">
        <v>0.05</v>
      </c>
    </row>
    <row r="198" spans="1:6" ht="24.75" thickBot="1">
      <c r="A198" s="1854" t="s">
        <v>1412</v>
      </c>
      <c r="B198" s="1858" t="s">
        <v>2144</v>
      </c>
      <c r="C198" s="1868"/>
      <c r="D198" s="1868"/>
      <c r="E198" s="1868"/>
      <c r="F198" s="1860">
        <v>0.05</v>
      </c>
    </row>
    <row r="199" spans="1:6" ht="24.75" thickBot="1">
      <c r="A199" s="1854" t="s">
        <v>1412</v>
      </c>
      <c r="B199" s="1858" t="s">
        <v>2145</v>
      </c>
      <c r="C199" s="1868"/>
      <c r="D199" s="1868"/>
      <c r="E199" s="1868"/>
      <c r="F199" s="1860">
        <v>0.05</v>
      </c>
    </row>
    <row r="200" spans="1:6" ht="24.75" thickBot="1">
      <c r="A200" s="1854" t="s">
        <v>1412</v>
      </c>
      <c r="B200" s="1858" t="s">
        <v>2146</v>
      </c>
      <c r="C200" s="1868"/>
      <c r="D200" s="1868"/>
      <c r="E200" s="1868"/>
      <c r="F200" s="1860">
        <v>0.05</v>
      </c>
    </row>
    <row r="201" spans="1:6" ht="24.75" thickBot="1">
      <c r="A201" s="1854" t="s">
        <v>1412</v>
      </c>
      <c r="B201" s="1858" t="s">
        <v>2147</v>
      </c>
      <c r="C201" s="1868"/>
      <c r="D201" s="1868"/>
      <c r="E201" s="1868"/>
      <c r="F201" s="1860">
        <v>0.05</v>
      </c>
    </row>
    <row r="202" spans="1:6" ht="24.75" thickBot="1">
      <c r="A202" s="1854" t="s">
        <v>1412</v>
      </c>
      <c r="B202" s="1858" t="s">
        <v>2148</v>
      </c>
      <c r="C202" s="1868"/>
      <c r="D202" s="1868"/>
      <c r="E202" s="1868"/>
      <c r="F202" s="1860">
        <v>0.05</v>
      </c>
    </row>
    <row r="203" spans="1:6" ht="24.75" thickBot="1">
      <c r="A203" s="1854" t="s">
        <v>1412</v>
      </c>
      <c r="B203" s="1858" t="s">
        <v>2149</v>
      </c>
      <c r="C203" s="1868"/>
      <c r="D203" s="1868"/>
      <c r="E203" s="1868"/>
      <c r="F203" s="1860">
        <v>0.05</v>
      </c>
    </row>
    <row r="204" spans="1:6" ht="14.25" thickBot="1">
      <c r="A204" s="1854" t="s">
        <v>1412</v>
      </c>
      <c r="B204" s="1858" t="s">
        <v>2150</v>
      </c>
      <c r="C204" s="1868"/>
      <c r="D204" s="1868"/>
      <c r="E204" s="1868"/>
      <c r="F204" s="1860">
        <v>0.05</v>
      </c>
    </row>
    <row r="205" spans="1:6" ht="14.25" thickBot="1">
      <c r="A205" s="1862" t="s">
        <v>1412</v>
      </c>
      <c r="B205" s="1869" t="s">
        <v>2151</v>
      </c>
      <c r="C205" s="1865"/>
      <c r="D205" s="1865"/>
      <c r="E205" s="1865"/>
      <c r="F205" s="1870">
        <v>0.05</v>
      </c>
    </row>
    <row r="206" spans="1:6" ht="14.25" thickBot="1">
      <c r="A206" s="1854" t="s">
        <v>1414</v>
      </c>
      <c r="B206" s="1855" t="s">
        <v>2152</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2153</v>
      </c>
      <c r="C210" s="1859">
        <v>0.15</v>
      </c>
      <c r="D210" s="1859">
        <v>0.15</v>
      </c>
      <c r="E210" s="1859">
        <v>0.15</v>
      </c>
      <c r="F210" s="1860">
        <v>0.13800000000000001</v>
      </c>
    </row>
    <row r="211" spans="1:6" ht="14.25" thickBot="1">
      <c r="A211" s="1854" t="s">
        <v>1414</v>
      </c>
      <c r="B211" s="1858" t="s">
        <v>2154</v>
      </c>
      <c r="C211" s="1859">
        <v>0.13700000000000001</v>
      </c>
      <c r="D211" s="1859">
        <v>0.13500000000000001</v>
      </c>
      <c r="E211" s="1859">
        <v>0.13600000000000001</v>
      </c>
      <c r="F211" s="1860">
        <v>0.1</v>
      </c>
    </row>
    <row r="212" spans="1:6" ht="14.25" thickBot="1">
      <c r="A212" s="1854" t="s">
        <v>1414</v>
      </c>
      <c r="B212" s="1858" t="s">
        <v>2155</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2156</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2157</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2158</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2159</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2160</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2161</v>
      </c>
      <c r="C231" s="1859">
        <v>0.128</v>
      </c>
      <c r="D231" s="1859">
        <v>0.125</v>
      </c>
      <c r="E231" s="1859">
        <v>0.13200000000000001</v>
      </c>
      <c r="F231" s="1867"/>
    </row>
    <row r="232" spans="1:6" ht="14.25" thickBot="1">
      <c r="A232" s="1854" t="s">
        <v>1414</v>
      </c>
      <c r="B232" s="1858" t="s">
        <v>2162</v>
      </c>
      <c r="C232" s="1859">
        <v>0.14499999999999999</v>
      </c>
      <c r="D232" s="1859">
        <v>0.14399999999999999</v>
      </c>
      <c r="E232" s="1859">
        <v>0.14599999999999999</v>
      </c>
      <c r="F232" s="1860">
        <v>0.13800000000000001</v>
      </c>
    </row>
    <row r="233" spans="1:6" ht="14.25" thickBot="1">
      <c r="A233" s="1854" t="s">
        <v>1414</v>
      </c>
      <c r="B233" s="1858" t="s">
        <v>2163</v>
      </c>
      <c r="C233" s="1859">
        <v>0.14499999999999999</v>
      </c>
      <c r="D233" s="1859">
        <v>0.14299999999999999</v>
      </c>
      <c r="E233" s="1859">
        <v>0.14199999999999999</v>
      </c>
      <c r="F233" s="1867"/>
    </row>
    <row r="234" spans="1:6" ht="14.25" thickBot="1">
      <c r="A234" s="1854" t="s">
        <v>1414</v>
      </c>
      <c r="B234" s="1858" t="s">
        <v>2164</v>
      </c>
      <c r="C234" s="1859">
        <v>0.14000000000000001</v>
      </c>
      <c r="D234" s="1859">
        <v>0.14000000000000001</v>
      </c>
      <c r="E234" s="1859">
        <v>0.14399999999999999</v>
      </c>
      <c r="F234" s="1867"/>
    </row>
    <row r="235" spans="1:6" ht="14.25" thickBot="1">
      <c r="A235" s="1854" t="s">
        <v>1414</v>
      </c>
      <c r="B235" s="1858" t="s">
        <v>2165</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2166</v>
      </c>
      <c r="C237" s="1868"/>
      <c r="D237" s="1868"/>
      <c r="E237" s="1868"/>
      <c r="F237" s="1860">
        <v>0.05</v>
      </c>
    </row>
    <row r="238" spans="1:6" ht="24.75" thickBot="1">
      <c r="A238" s="1854" t="s">
        <v>1414</v>
      </c>
      <c r="B238" s="1858" t="s">
        <v>2167</v>
      </c>
      <c r="C238" s="1868"/>
      <c r="D238" s="1868"/>
      <c r="E238" s="1868"/>
      <c r="F238" s="1860">
        <v>0.05</v>
      </c>
    </row>
    <row r="239" spans="1:6" ht="24.75" thickBot="1">
      <c r="A239" s="1854" t="s">
        <v>1414</v>
      </c>
      <c r="B239" s="1858" t="s">
        <v>2168</v>
      </c>
      <c r="C239" s="1868"/>
      <c r="D239" s="1868"/>
      <c r="E239" s="1868"/>
      <c r="F239" s="1860">
        <v>0.05</v>
      </c>
    </row>
    <row r="240" spans="1:6" ht="24.75" thickBot="1">
      <c r="A240" s="1854" t="s">
        <v>1414</v>
      </c>
      <c r="B240" s="1858" t="s">
        <v>2169</v>
      </c>
      <c r="C240" s="1868"/>
      <c r="D240" s="1868"/>
      <c r="E240" s="1868"/>
      <c r="F240" s="1860">
        <v>0.05</v>
      </c>
    </row>
    <row r="241" spans="1:6" ht="24.75" thickBot="1">
      <c r="A241" s="1854" t="s">
        <v>1414</v>
      </c>
      <c r="B241" s="1858" t="s">
        <v>2170</v>
      </c>
      <c r="C241" s="1868"/>
      <c r="D241" s="1868"/>
      <c r="E241" s="1868"/>
      <c r="F241" s="1860">
        <v>0.05</v>
      </c>
    </row>
    <row r="242" spans="1:6" ht="24.75" thickBot="1">
      <c r="A242" s="1854" t="s">
        <v>1414</v>
      </c>
      <c r="B242" s="1858" t="s">
        <v>2171</v>
      </c>
      <c r="C242" s="1868"/>
      <c r="D242" s="1868"/>
      <c r="E242" s="1868"/>
      <c r="F242" s="1860">
        <v>0.05</v>
      </c>
    </row>
    <row r="243" spans="1:6" ht="24.75" thickBot="1">
      <c r="A243" s="1854" t="s">
        <v>1414</v>
      </c>
      <c r="B243" s="1858" t="s">
        <v>2172</v>
      </c>
      <c r="C243" s="1868"/>
      <c r="D243" s="1868"/>
      <c r="E243" s="1868"/>
      <c r="F243" s="1860">
        <v>0.05</v>
      </c>
    </row>
    <row r="244" spans="1:6" ht="24.75" thickBot="1">
      <c r="A244" s="1862" t="s">
        <v>1414</v>
      </c>
      <c r="B244" s="1869" t="s">
        <v>2173</v>
      </c>
      <c r="C244" s="1865"/>
      <c r="D244" s="1865"/>
      <c r="E244" s="1865"/>
      <c r="F244" s="1870">
        <v>0.05</v>
      </c>
    </row>
    <row r="245" spans="1:6" ht="14.25" thickBot="1">
      <c r="A245" s="1854" t="s">
        <v>1416</v>
      </c>
      <c r="B245" s="1855" t="s">
        <v>2174</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2175</v>
      </c>
      <c r="C247" s="1859">
        <v>0.15</v>
      </c>
      <c r="D247" s="1859">
        <v>0.15</v>
      </c>
      <c r="E247" s="1859">
        <v>0.15</v>
      </c>
      <c r="F247" s="1860">
        <v>0.15</v>
      </c>
    </row>
    <row r="248" spans="1:6" ht="14.25" thickBot="1">
      <c r="A248" s="1854" t="s">
        <v>1416</v>
      </c>
      <c r="B248" s="1858" t="s">
        <v>2176</v>
      </c>
      <c r="C248" s="1859">
        <v>0.15</v>
      </c>
      <c r="D248" s="1859">
        <v>0.15</v>
      </c>
      <c r="E248" s="1859">
        <v>0.15</v>
      </c>
      <c r="F248" s="1860">
        <v>0.14000000000000001</v>
      </c>
    </row>
    <row r="249" spans="1:6" ht="14.25" thickBot="1">
      <c r="A249" s="1854" t="s">
        <v>1416</v>
      </c>
      <c r="B249" s="1858" t="s">
        <v>2177</v>
      </c>
      <c r="C249" s="1859">
        <v>0.15</v>
      </c>
      <c r="D249" s="1859">
        <v>0.14899999999999999</v>
      </c>
      <c r="E249" s="1859">
        <v>0.15</v>
      </c>
      <c r="F249" s="1860">
        <v>0.1</v>
      </c>
    </row>
    <row r="250" spans="1:6" ht="14.25" thickBot="1">
      <c r="A250" s="1854" t="s">
        <v>1416</v>
      </c>
      <c r="B250" s="1858" t="s">
        <v>2178</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2179</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2180</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2181</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2182</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2183</v>
      </c>
      <c r="C273" s="1859">
        <v>0.14199999999999999</v>
      </c>
      <c r="D273" s="1859">
        <v>0.14299999999999999</v>
      </c>
      <c r="E273" s="1859">
        <v>0.15</v>
      </c>
      <c r="F273" s="1860">
        <v>0.1</v>
      </c>
    </row>
    <row r="274" spans="1:6" ht="14.25" thickBot="1">
      <c r="A274" s="1854" t="s">
        <v>1416</v>
      </c>
      <c r="B274" s="1858" t="s">
        <v>2184</v>
      </c>
      <c r="C274" s="1859">
        <v>0.14799999999999999</v>
      </c>
      <c r="D274" s="1859">
        <v>0.14799999999999999</v>
      </c>
      <c r="E274" s="1859">
        <v>0.15</v>
      </c>
      <c r="F274" s="1860">
        <v>6.7000000000000004E-2</v>
      </c>
    </row>
    <row r="275" spans="1:6" ht="14.25" thickBot="1">
      <c r="A275" s="1854" t="s">
        <v>1416</v>
      </c>
      <c r="B275" s="1858" t="s">
        <v>2185</v>
      </c>
      <c r="C275" s="1859">
        <v>0.15</v>
      </c>
      <c r="D275" s="1859">
        <v>0.15</v>
      </c>
      <c r="E275" s="1859">
        <v>0.15</v>
      </c>
      <c r="F275" s="1860">
        <v>0.15</v>
      </c>
    </row>
    <row r="276" spans="1:6" ht="14.25" thickBot="1">
      <c r="A276" s="1854" t="s">
        <v>1416</v>
      </c>
      <c r="B276" s="1858" t="s">
        <v>2186</v>
      </c>
      <c r="C276" s="1859">
        <v>0.14499999999999999</v>
      </c>
      <c r="D276" s="1859">
        <v>0.14299999999999999</v>
      </c>
      <c r="E276" s="1859">
        <v>0.15</v>
      </c>
      <c r="F276" s="1860">
        <v>5.8999999999999997E-2</v>
      </c>
    </row>
    <row r="277" spans="1:6" ht="14.25" thickBot="1">
      <c r="A277" s="1854" t="s">
        <v>1416</v>
      </c>
      <c r="B277" s="1858" t="s">
        <v>2187</v>
      </c>
      <c r="C277" s="1859">
        <v>0.15</v>
      </c>
      <c r="D277" s="1859">
        <v>0.15</v>
      </c>
      <c r="E277" s="1859">
        <v>0.15</v>
      </c>
      <c r="F277" s="1860">
        <v>0.121</v>
      </c>
    </row>
    <row r="278" spans="1:6" ht="14.25" thickBot="1">
      <c r="A278" s="1854" t="s">
        <v>1416</v>
      </c>
      <c r="B278" s="1858" t="s">
        <v>2188</v>
      </c>
      <c r="C278" s="1859">
        <v>0.15</v>
      </c>
      <c r="D278" s="1859">
        <v>0.15</v>
      </c>
      <c r="E278" s="1859">
        <v>0.15</v>
      </c>
      <c r="F278" s="1860">
        <v>0.13800000000000001</v>
      </c>
    </row>
    <row r="279" spans="1:6" ht="24.75" thickBot="1">
      <c r="A279" s="1854" t="s">
        <v>1416</v>
      </c>
      <c r="B279" s="1858" t="s">
        <v>2189</v>
      </c>
      <c r="C279" s="1868"/>
      <c r="D279" s="1868"/>
      <c r="E279" s="1868"/>
      <c r="F279" s="1860">
        <v>0.05</v>
      </c>
    </row>
    <row r="280" spans="1:6" ht="24.75" thickBot="1">
      <c r="A280" s="1854" t="s">
        <v>1416</v>
      </c>
      <c r="B280" s="1858" t="s">
        <v>2190</v>
      </c>
      <c r="C280" s="1868"/>
      <c r="D280" s="1868"/>
      <c r="E280" s="1868"/>
      <c r="F280" s="1860">
        <v>0.05</v>
      </c>
    </row>
    <row r="281" spans="1:6" ht="24.75" thickBot="1">
      <c r="A281" s="1854" t="s">
        <v>1416</v>
      </c>
      <c r="B281" s="1858" t="s">
        <v>2191</v>
      </c>
      <c r="C281" s="1868"/>
      <c r="D281" s="1868"/>
      <c r="E281" s="1868"/>
      <c r="F281" s="1860">
        <v>0.05</v>
      </c>
    </row>
    <row r="282" spans="1:6" ht="24.75" thickBot="1">
      <c r="A282" s="1854" t="s">
        <v>1416</v>
      </c>
      <c r="B282" s="1858" t="s">
        <v>2192</v>
      </c>
      <c r="C282" s="1868"/>
      <c r="D282" s="1868"/>
      <c r="E282" s="1868"/>
      <c r="F282" s="1860">
        <v>0.05</v>
      </c>
    </row>
    <row r="283" spans="1:6" ht="24.75" thickBot="1">
      <c r="A283" s="1854" t="s">
        <v>1416</v>
      </c>
      <c r="B283" s="1858" t="s">
        <v>2193</v>
      </c>
      <c r="C283" s="1868"/>
      <c r="D283" s="1868"/>
      <c r="E283" s="1868"/>
      <c r="F283" s="1860">
        <v>0.05</v>
      </c>
    </row>
    <row r="284" spans="1:6" ht="24.75" thickBot="1">
      <c r="A284" s="1854" t="s">
        <v>1416</v>
      </c>
      <c r="B284" s="1858" t="s">
        <v>2194</v>
      </c>
      <c r="C284" s="1868"/>
      <c r="D284" s="1868"/>
      <c r="E284" s="1868"/>
      <c r="F284" s="1860">
        <v>0.05</v>
      </c>
    </row>
    <row r="285" spans="1:6" ht="24.75" thickBot="1">
      <c r="A285" s="1854" t="s">
        <v>1416</v>
      </c>
      <c r="B285" s="1858" t="s">
        <v>2195</v>
      </c>
      <c r="C285" s="1868"/>
      <c r="D285" s="1868"/>
      <c r="E285" s="1868"/>
      <c r="F285" s="1860">
        <v>0.05</v>
      </c>
    </row>
    <row r="286" spans="1:6" ht="24.75" thickBot="1">
      <c r="A286" s="1854" t="s">
        <v>1416</v>
      </c>
      <c r="B286" s="1858" t="s">
        <v>2196</v>
      </c>
      <c r="C286" s="1868"/>
      <c r="D286" s="1868"/>
      <c r="E286" s="1868"/>
      <c r="F286" s="1860">
        <v>0.05</v>
      </c>
    </row>
    <row r="287" spans="1:6" ht="24.75" thickBot="1">
      <c r="A287" s="1854" t="s">
        <v>1416</v>
      </c>
      <c r="B287" s="1858" t="s">
        <v>2197</v>
      </c>
      <c r="C287" s="1868"/>
      <c r="D287" s="1868"/>
      <c r="E287" s="1868"/>
      <c r="F287" s="1860">
        <v>0.05</v>
      </c>
    </row>
    <row r="288" spans="1:6" ht="24.75" thickBot="1">
      <c r="A288" s="1854" t="s">
        <v>1416</v>
      </c>
      <c r="B288" s="1858" t="s">
        <v>2198</v>
      </c>
      <c r="C288" s="1868"/>
      <c r="D288" s="1868"/>
      <c r="E288" s="1868"/>
      <c r="F288" s="1860">
        <v>0.05</v>
      </c>
    </row>
    <row r="289" spans="1:6" ht="24.75" thickBot="1">
      <c r="A289" s="1862" t="s">
        <v>1416</v>
      </c>
      <c r="B289" s="1869" t="s">
        <v>2199</v>
      </c>
      <c r="C289" s="1865"/>
      <c r="D289" s="1865"/>
      <c r="E289" s="1865"/>
      <c r="F289" s="1870">
        <v>0.05</v>
      </c>
    </row>
    <row r="290" spans="1:6" ht="14.25" thickBot="1">
      <c r="A290" s="1854" t="s">
        <v>1420</v>
      </c>
      <c r="B290" s="1855" t="s">
        <v>2200</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2201</v>
      </c>
      <c r="C292" s="1859">
        <v>0.15</v>
      </c>
      <c r="D292" s="1859">
        <v>0.15</v>
      </c>
      <c r="E292" s="1859">
        <v>0.15</v>
      </c>
      <c r="F292" s="1860">
        <v>0.14699999999999999</v>
      </c>
    </row>
    <row r="293" spans="1:6" ht="14.25" thickBot="1">
      <c r="A293" s="1854" t="s">
        <v>1420</v>
      </c>
      <c r="B293" s="1858" t="s">
        <v>2202</v>
      </c>
      <c r="C293" s="1868"/>
      <c r="D293" s="1868"/>
      <c r="E293" s="1868"/>
      <c r="F293" s="1860">
        <v>0.1</v>
      </c>
    </row>
    <row r="294" spans="1:6" ht="14.25" thickBot="1">
      <c r="A294" s="1854" t="s">
        <v>1420</v>
      </c>
      <c r="B294" s="1858" t="s">
        <v>2203</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2204</v>
      </c>
      <c r="C296" s="1859">
        <v>0.15</v>
      </c>
      <c r="D296" s="1859">
        <v>0.15</v>
      </c>
      <c r="E296" s="1859">
        <v>0.15</v>
      </c>
      <c r="F296" s="1860">
        <v>0.15</v>
      </c>
    </row>
    <row r="297" spans="1:6" ht="14.25" thickBot="1">
      <c r="A297" s="1854" t="s">
        <v>1420</v>
      </c>
      <c r="B297" s="1858" t="s">
        <v>2205</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2206</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2207</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2208</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2209</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2210</v>
      </c>
      <c r="C310" s="1859">
        <v>0.15</v>
      </c>
      <c r="D310" s="1859">
        <v>0.15</v>
      </c>
      <c r="E310" s="1859">
        <v>0.15</v>
      </c>
      <c r="F310" s="1860">
        <v>0.13700000000000001</v>
      </c>
    </row>
    <row r="311" spans="1:6" ht="14.25" thickBot="1">
      <c r="A311" s="1854" t="s">
        <v>1420</v>
      </c>
      <c r="B311" s="1858" t="s">
        <v>2211</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2212</v>
      </c>
      <c r="C313" s="1859">
        <v>0.15</v>
      </c>
      <c r="D313" s="1859">
        <v>0.15</v>
      </c>
      <c r="E313" s="1859">
        <v>0.15</v>
      </c>
      <c r="F313" s="1860">
        <v>0.15</v>
      </c>
    </row>
    <row r="314" spans="1:6" ht="24.75" thickBot="1">
      <c r="A314" s="1854" t="s">
        <v>1420</v>
      </c>
      <c r="B314" s="1858" t="s">
        <v>2213</v>
      </c>
      <c r="C314" s="1868"/>
      <c r="D314" s="1868"/>
      <c r="E314" s="1868"/>
      <c r="F314" s="1860">
        <v>0.05</v>
      </c>
    </row>
    <row r="315" spans="1:6" ht="24.75" thickBot="1">
      <c r="A315" s="1854" t="s">
        <v>1420</v>
      </c>
      <c r="B315" s="1858" t="s">
        <v>2214</v>
      </c>
      <c r="C315" s="1868"/>
      <c r="D315" s="1868"/>
      <c r="E315" s="1868"/>
      <c r="F315" s="1860">
        <v>0.05</v>
      </c>
    </row>
    <row r="316" spans="1:6" ht="24.75" thickBot="1">
      <c r="A316" s="1862" t="s">
        <v>1420</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1108</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1177</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1197</v>
      </c>
      <c r="C328" s="1859">
        <v>0.15</v>
      </c>
      <c r="D328" s="1859">
        <v>0.15</v>
      </c>
      <c r="E328" s="1859">
        <v>0.15</v>
      </c>
      <c r="F328" s="1860">
        <v>0.14099999999999999</v>
      </c>
    </row>
    <row r="329" spans="1:6" ht="14.25" thickBot="1">
      <c r="A329" s="1854" t="s">
        <v>2216</v>
      </c>
      <c r="B329" s="1858" t="s">
        <v>1207</v>
      </c>
      <c r="C329" s="1859">
        <v>0.15</v>
      </c>
      <c r="D329" s="1859">
        <v>0.15</v>
      </c>
      <c r="E329" s="1859">
        <v>0.15</v>
      </c>
      <c r="F329" s="1860">
        <v>0.15</v>
      </c>
    </row>
    <row r="330" spans="1:6" ht="14.25" thickBot="1">
      <c r="A330" s="1854" t="s">
        <v>2216</v>
      </c>
      <c r="B330" s="1858" t="s">
        <v>1217</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1237</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1257</v>
      </c>
      <c r="C334" s="1859">
        <v>0.15</v>
      </c>
      <c r="D334" s="1859">
        <v>0.15</v>
      </c>
      <c r="E334" s="1859">
        <v>0.15</v>
      </c>
      <c r="F334" s="1860">
        <v>0.15</v>
      </c>
    </row>
    <row r="335" spans="1:6" ht="14.25" thickBot="1">
      <c r="A335" s="1854" t="s">
        <v>2216</v>
      </c>
      <c r="B335" s="1858" t="s">
        <v>1267</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1285</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2950</v>
      </c>
      <c r="B1" s="3135"/>
      <c r="C1" s="3135"/>
      <c r="D1" s="3135"/>
      <c r="E1" s="3135"/>
      <c r="F1" s="3135"/>
    </row>
    <row r="2" spans="1:6" ht="14.25">
      <c r="A2" s="3136" t="s">
        <v>2944</v>
      </c>
      <c r="B2" s="3137" t="e">
        <f ca="1">SUMIF(B7:B14,"&lt;&gt;#ref!",B7:B14)</f>
        <v>#DIV/0!</v>
      </c>
      <c r="C2" s="3136" t="s">
        <v>2945</v>
      </c>
      <c r="D2" s="3135"/>
      <c r="E2" s="3135"/>
      <c r="F2" s="3135"/>
    </row>
    <row r="3" spans="1:6" ht="14.25">
      <c r="A3" s="3136" t="s">
        <v>2947</v>
      </c>
      <c r="B3" s="3137" t="e">
        <f ca="1">ROUND(B2*10000/E3,0)</f>
        <v>#DIV/0!</v>
      </c>
      <c r="C3" s="3136" t="s">
        <v>2078</v>
      </c>
      <c r="D3" s="3136" t="s">
        <v>2946</v>
      </c>
      <c r="E3" s="3137" t="e">
        <f ca="1">SUM(E7:E14)</f>
        <v>#REF!</v>
      </c>
      <c r="F3" s="3135"/>
    </row>
    <row r="4" spans="1:6" ht="14.25">
      <c r="A4" s="3136" t="s">
        <v>2954</v>
      </c>
      <c r="B4" s="3137" t="e">
        <f ca="1">ROUND(B2*10000/E4,0)</f>
        <v>#DIV/0!</v>
      </c>
      <c r="C4" s="3136" t="s">
        <v>2078</v>
      </c>
      <c r="D4" s="3136" t="s">
        <v>2955</v>
      </c>
      <c r="E4" s="3137" t="e">
        <f ca="1">SUM(F7:F14)</f>
        <v>#REF!</v>
      </c>
      <c r="F4" s="3135"/>
    </row>
    <row r="5" spans="1:6" ht="14.25">
      <c r="A5" s="3138"/>
      <c r="B5" s="1880"/>
      <c r="C5" s="1880"/>
      <c r="D5" s="1880"/>
      <c r="E5" s="1880"/>
      <c r="F5" s="3135"/>
    </row>
    <row r="6" spans="1:6" ht="28.5">
      <c r="A6" s="3139" t="s">
        <v>2951</v>
      </c>
      <c r="B6" s="3136" t="s">
        <v>2948</v>
      </c>
      <c r="C6" s="3137"/>
      <c r="D6" s="1880"/>
      <c r="E6" s="3136" t="s">
        <v>2949</v>
      </c>
      <c r="F6" s="3136" t="s">
        <v>2953</v>
      </c>
    </row>
    <row r="7" spans="1:6" ht="14.25">
      <c r="A7" s="260" t="s">
        <v>2952</v>
      </c>
      <c r="B7" s="3140" t="e">
        <f ca="1">SUMIF(INDIRECT("'"&amp;A7&amp;"'"&amp;"!A:A"),"总价",INDIRECT("'"&amp;A7&amp;"'"&amp;"!B:B"))</f>
        <v>#DIV/0!</v>
      </c>
      <c r="C7" s="3136" t="s">
        <v>2945</v>
      </c>
      <c r="D7" s="1880"/>
      <c r="E7" s="3141">
        <f ca="1">SUMIF(INDIRECT("'"&amp;A7&amp;"'"&amp;"!C:C"),"建筑面积",INDIRECT("'"&amp;A7&amp;"'"&amp;"!D:D"))</f>
        <v>0</v>
      </c>
      <c r="F7" s="3141">
        <f ca="1">SUMIF(INDIRECT("'"&amp;A7&amp;"'"&amp;"!E:E"),"土地面积",INDIRECT("'"&amp;A7&amp;"'"&amp;"!F:F"))</f>
        <v>0</v>
      </c>
    </row>
    <row r="8" spans="1:6" ht="14.25">
      <c r="A8" s="260"/>
      <c r="B8" s="3140" t="e">
        <f t="shared" ref="B8:B14" ca="1" si="0">SUMIF(INDIRECT("'"&amp;A8&amp;"'"&amp;"!A:A"),"总价",INDIRECT("'"&amp;A8&amp;"'"&amp;"!B:B"))</f>
        <v>#REF!</v>
      </c>
      <c r="C8" s="3136" t="s">
        <v>2945</v>
      </c>
      <c r="D8" s="1880"/>
      <c r="E8" s="3141" t="e">
        <f t="shared" ref="E8:E14" ca="1" si="1">SUMIF(INDIRECT("'"&amp;A8&amp;"'"&amp;"!C:C"),"建筑面积",INDIRECT("'"&amp;A8&amp;"'"&amp;"!D:D"))</f>
        <v>#REF!</v>
      </c>
      <c r="F8" s="3141" t="e">
        <f t="shared" ref="F8:F14" ca="1" si="2">SUMIF(INDIRECT("'"&amp;A8&amp;"'"&amp;"!E:E"),"土地面积",INDIRECT("'"&amp;A8&amp;"'"&amp;"!F:F"))</f>
        <v>#REF!</v>
      </c>
    </row>
    <row r="9" spans="1:6" ht="14.25">
      <c r="A9" s="260"/>
      <c r="B9" s="3140" t="e">
        <f t="shared" ca="1" si="0"/>
        <v>#REF!</v>
      </c>
      <c r="C9" s="3136" t="s">
        <v>2945</v>
      </c>
      <c r="D9" s="1880"/>
      <c r="E9" s="3141" t="e">
        <f t="shared" ca="1" si="1"/>
        <v>#REF!</v>
      </c>
      <c r="F9" s="3141" t="e">
        <f t="shared" ca="1" si="2"/>
        <v>#REF!</v>
      </c>
    </row>
    <row r="10" spans="1:6" ht="14.25">
      <c r="A10" s="260"/>
      <c r="B10" s="3140" t="e">
        <f t="shared" ca="1" si="0"/>
        <v>#REF!</v>
      </c>
      <c r="C10" s="3136" t="s">
        <v>2945</v>
      </c>
      <c r="D10" s="1880"/>
      <c r="E10" s="3141" t="e">
        <f t="shared" ca="1" si="1"/>
        <v>#REF!</v>
      </c>
      <c r="F10" s="3141" t="e">
        <f t="shared" ca="1" si="2"/>
        <v>#REF!</v>
      </c>
    </row>
    <row r="11" spans="1:6" ht="14.25">
      <c r="A11" s="260"/>
      <c r="B11" s="3140" t="e">
        <f t="shared" ca="1" si="0"/>
        <v>#REF!</v>
      </c>
      <c r="C11" s="3136" t="s">
        <v>2945</v>
      </c>
      <c r="D11" s="1880"/>
      <c r="E11" s="3141" t="e">
        <f t="shared" ca="1" si="1"/>
        <v>#REF!</v>
      </c>
      <c r="F11" s="3141" t="e">
        <f t="shared" ca="1" si="2"/>
        <v>#REF!</v>
      </c>
    </row>
    <row r="12" spans="1:6" ht="14.25">
      <c r="A12" s="260"/>
      <c r="B12" s="3140" t="e">
        <f t="shared" ca="1" si="0"/>
        <v>#REF!</v>
      </c>
      <c r="C12" s="3136" t="s">
        <v>2945</v>
      </c>
      <c r="D12" s="1880"/>
      <c r="E12" s="3141" t="e">
        <f t="shared" ca="1" si="1"/>
        <v>#REF!</v>
      </c>
      <c r="F12" s="3141" t="e">
        <f t="shared" ca="1" si="2"/>
        <v>#REF!</v>
      </c>
    </row>
    <row r="13" spans="1:6" ht="14.25">
      <c r="A13" s="260"/>
      <c r="B13" s="3140" t="e">
        <f t="shared" ca="1" si="0"/>
        <v>#REF!</v>
      </c>
      <c r="C13" s="3136" t="s">
        <v>2945</v>
      </c>
      <c r="D13" s="1880"/>
      <c r="E13" s="3141" t="e">
        <f t="shared" ca="1" si="1"/>
        <v>#REF!</v>
      </c>
      <c r="F13" s="3141" t="e">
        <f t="shared" ca="1" si="2"/>
        <v>#REF!</v>
      </c>
    </row>
    <row r="14" spans="1:6" ht="14.25">
      <c r="A14" s="3134"/>
      <c r="B14" s="3140" t="e">
        <f t="shared" ca="1" si="0"/>
        <v>#REF!</v>
      </c>
      <c r="C14" s="3136" t="s">
        <v>2945</v>
      </c>
      <c r="D14" s="1880"/>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629</v>
      </c>
      <c r="B1" s="738"/>
      <c r="C1" s="773"/>
      <c r="D1" s="2049"/>
      <c r="E1" s="2410" t="s">
        <v>2372</v>
      </c>
      <c r="F1" s="2411">
        <f ca="1">J54</f>
        <v>0</v>
      </c>
      <c r="G1" s="774">
        <f>MATCH(C1,'数据-取费表'!A6:A16,0)+5</f>
        <v>10</v>
      </c>
      <c r="H1" s="1349"/>
      <c r="I1" s="2050"/>
      <c r="J1" s="2050"/>
      <c r="K1" s="2051"/>
      <c r="L1" s="2050"/>
      <c r="M1" s="2050"/>
      <c r="N1" s="2052"/>
      <c r="O1" s="2052"/>
      <c r="P1" s="2052"/>
      <c r="Q1" s="2052"/>
      <c r="R1" s="2052"/>
      <c r="S1" s="2052"/>
      <c r="T1" s="2052"/>
      <c r="U1" s="2052"/>
      <c r="V1" s="2052"/>
      <c r="W1" s="2052"/>
      <c r="X1" s="2052"/>
      <c r="Y1" s="2052"/>
    </row>
    <row r="2" spans="1:25" ht="18" customHeight="1">
      <c r="A2" s="1643" t="s">
        <v>630</v>
      </c>
      <c r="B2" s="775">
        <f ca="1">IF(ISERROR(C45+J31),0,C45+J31)</f>
        <v>0</v>
      </c>
      <c r="C2" s="1350"/>
      <c r="D2" s="2054"/>
      <c r="E2" s="2055"/>
      <c r="F2" s="2055"/>
      <c r="G2" s="1589"/>
      <c r="H2" s="1362"/>
      <c r="I2" s="2056"/>
      <c r="J2" s="2056"/>
      <c r="K2" s="2057"/>
      <c r="L2" s="2056"/>
      <c r="M2" s="2056"/>
    </row>
    <row r="3" spans="1:25" ht="18" customHeight="1">
      <c r="A3" s="1644" t="s">
        <v>1687</v>
      </c>
      <c r="B3" s="1390">
        <f ca="1">ROUND(B2*10000/'数据-汇总表'!E3,0)</f>
        <v>0</v>
      </c>
      <c r="C3" s="1350"/>
      <c r="D3" s="2054"/>
      <c r="E3" s="2055"/>
      <c r="F3" s="2055"/>
      <c r="G3" s="1589"/>
      <c r="H3" s="776" t="s">
        <v>696</v>
      </c>
      <c r="I3" s="2056"/>
      <c r="J3" s="2056"/>
      <c r="K3" s="2057"/>
      <c r="L3" s="2056"/>
      <c r="M3" s="2056"/>
    </row>
    <row r="4" spans="1:25" ht="18" customHeight="1">
      <c r="A4" s="1645" t="s">
        <v>697</v>
      </c>
      <c r="B4" s="1351">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698</v>
      </c>
      <c r="D5" s="2054"/>
      <c r="E5" s="2055"/>
      <c r="F5" s="2055"/>
      <c r="G5" s="1589"/>
      <c r="H5" s="776"/>
      <c r="I5" s="2056"/>
      <c r="J5" s="2056"/>
      <c r="K5" s="2057"/>
      <c r="L5" s="2056"/>
      <c r="M5" s="2056"/>
    </row>
    <row r="6" spans="1:25" ht="18" customHeight="1">
      <c r="A6" s="1827" t="s">
        <v>699</v>
      </c>
      <c r="B6" s="1819" t="s">
        <v>700</v>
      </c>
      <c r="C6" s="1819" t="s">
        <v>633</v>
      </c>
      <c r="D6" s="1819" t="s">
        <v>634</v>
      </c>
      <c r="E6" s="779" t="s">
        <v>635</v>
      </c>
      <c r="F6" s="780"/>
      <c r="G6" s="1591"/>
      <c r="H6" s="1827" t="s">
        <v>631</v>
      </c>
      <c r="I6" s="1819" t="s">
        <v>632</v>
      </c>
      <c r="J6" s="1819" t="s">
        <v>633</v>
      </c>
      <c r="K6" s="1819" t="s">
        <v>634</v>
      </c>
      <c r="L6" s="779" t="s">
        <v>635</v>
      </c>
      <c r="M6" s="780"/>
    </row>
    <row r="7" spans="1:25" ht="18" customHeight="1">
      <c r="A7" s="781">
        <v>1</v>
      </c>
      <c r="B7" s="782" t="s">
        <v>2457</v>
      </c>
      <c r="C7" s="53">
        <f ca="1">C8+C12+C14</f>
        <v>0</v>
      </c>
      <c r="D7" s="2519" t="s">
        <v>2460</v>
      </c>
      <c r="E7" s="2513"/>
      <c r="F7" s="2514"/>
      <c r="G7" s="1591"/>
      <c r="H7" s="781">
        <v>1</v>
      </c>
      <c r="I7" s="782" t="s">
        <v>2457</v>
      </c>
      <c r="J7" s="53">
        <f ca="1">J8+J12+J14</f>
        <v>0</v>
      </c>
      <c r="K7" s="2519" t="s">
        <v>2460</v>
      </c>
      <c r="L7" s="2513"/>
      <c r="M7" s="2514"/>
    </row>
    <row r="8" spans="1:25" ht="18" customHeight="1">
      <c r="A8" s="1829" t="s">
        <v>1825</v>
      </c>
      <c r="B8" s="3443" t="s">
        <v>2462</v>
      </c>
      <c r="C8" s="1824">
        <f ca="1">ROUND(F8*F10*F9*(1-F11)/10000,0)</f>
        <v>0</v>
      </c>
      <c r="D8" s="1821" t="s">
        <v>2534</v>
      </c>
      <c r="E8" s="61" t="s">
        <v>638</v>
      </c>
      <c r="F8" s="785">
        <f ca="1">INDIRECT("'数据-取费表'!u"&amp;$G$1)</f>
        <v>0</v>
      </c>
      <c r="G8" s="1591"/>
      <c r="H8" s="2527" t="s">
        <v>1825</v>
      </c>
      <c r="I8" s="3443" t="s">
        <v>2462</v>
      </c>
      <c r="J8" s="783">
        <f ca="1">ROUND(M8*M10*M9*(1-M11)/10000,0)</f>
        <v>0</v>
      </c>
      <c r="K8" s="341" t="s">
        <v>2534</v>
      </c>
      <c r="L8" s="784" t="s">
        <v>1739</v>
      </c>
      <c r="M8" s="785">
        <f ca="1">INDIRECT("'数据-取费表'!z"&amp;$G$1)</f>
        <v>0</v>
      </c>
    </row>
    <row r="9" spans="1:25" ht="18" customHeight="1">
      <c r="A9" s="2523"/>
      <c r="B9" s="3444"/>
      <c r="C9" s="1825"/>
      <c r="D9" s="1822"/>
      <c r="E9" s="61" t="s">
        <v>639</v>
      </c>
      <c r="F9" s="785">
        <f ca="1">IF(INDIRECT("'数据-取费表'!ah"&amp;$G$1)="",INDIRECT("'数据-取费表'!k"&amp;$G$1),INDIRECT("'数据-取费表'!ah"&amp;$G$1))</f>
        <v>0</v>
      </c>
      <c r="G9" s="1591"/>
      <c r="H9" s="2512"/>
      <c r="I9" s="3444"/>
      <c r="J9" s="788"/>
      <c r="K9" s="789"/>
      <c r="L9" s="784" t="s">
        <v>1740</v>
      </c>
      <c r="M9" s="785">
        <f ca="1">F9</f>
        <v>0</v>
      </c>
    </row>
    <row r="10" spans="1:25" ht="18" customHeight="1">
      <c r="A10" s="2516"/>
      <c r="B10" s="3445"/>
      <c r="C10" s="1825"/>
      <c r="D10" s="1822"/>
      <c r="E10" s="61" t="s">
        <v>640</v>
      </c>
      <c r="F10" s="785">
        <f ca="1">INDIRECT("'数据-取费表'!ai"&amp;$G$1)</f>
        <v>0</v>
      </c>
      <c r="G10" s="1591"/>
      <c r="H10" s="2512"/>
      <c r="I10" s="3445"/>
      <c r="J10" s="788"/>
      <c r="K10" s="789"/>
      <c r="L10" s="784" t="s">
        <v>1741</v>
      </c>
      <c r="M10" s="785">
        <f ca="1">INDIRECT("'数据-取费表'!ai"&amp;$G$1)</f>
        <v>0</v>
      </c>
    </row>
    <row r="11" spans="1:25" ht="18" customHeight="1">
      <c r="A11" s="786"/>
      <c r="B11" s="3446"/>
      <c r="C11" s="1825"/>
      <c r="D11" s="1822"/>
      <c r="E11" s="61" t="s">
        <v>641</v>
      </c>
      <c r="F11" s="794">
        <f ca="1">INDIRECT("'数据-取费表'!w"&amp;$G$1)</f>
        <v>0</v>
      </c>
      <c r="G11" s="1591"/>
      <c r="H11" s="2528"/>
      <c r="I11" s="3445"/>
      <c r="J11" s="788"/>
      <c r="K11" s="789"/>
      <c r="L11" s="795" t="s">
        <v>1742</v>
      </c>
      <c r="M11" s="796">
        <f ca="1">INDIRECT("'数据-取费表'!ab"&amp;$G$1)</f>
        <v>0</v>
      </c>
    </row>
    <row r="12" spans="1:25" ht="18" customHeight="1">
      <c r="A12" s="1829" t="s">
        <v>1826</v>
      </c>
      <c r="B12" s="2517" t="s">
        <v>2458</v>
      </c>
      <c r="C12" s="799">
        <f ca="1">ROUND(IF(F12="押一",F8*F10*F9/12*F13,IF(F12="押二",F8*F10*F9/12*2*F13,IF(F12="押三",F8*F10*F9/12*3*F13,C13*F13)))/10000,0)</f>
        <v>0</v>
      </c>
      <c r="D12" s="2524" t="s">
        <v>2465</v>
      </c>
      <c r="E12" s="2521" t="s">
        <v>2463</v>
      </c>
      <c r="F12" s="2644"/>
      <c r="G12" s="1591"/>
      <c r="H12" s="2584" t="s">
        <v>1826</v>
      </c>
      <c r="I12" s="2589" t="s">
        <v>2458</v>
      </c>
      <c r="J12" s="783">
        <f ca="1">ROUND(IF(M12="押一",M8*M10*M9/12*M13,IF(M12="押二",M8*M10*M9/12*2*M13,IF(M12="押三",M8*M10*M9/12*3*M13,J13*M13)))/10000,0)</f>
        <v>0</v>
      </c>
      <c r="K12" s="2524" t="s">
        <v>2465</v>
      </c>
      <c r="L12" s="2521" t="s">
        <v>2463</v>
      </c>
      <c r="M12" s="2644"/>
    </row>
    <row r="13" spans="1:25" ht="18" customHeight="1">
      <c r="A13" s="790"/>
      <c r="B13" s="2518" t="s">
        <v>2573</v>
      </c>
      <c r="C13" s="2522"/>
      <c r="D13" s="789"/>
      <c r="E13" s="2521" t="s">
        <v>2455</v>
      </c>
      <c r="F13" s="796">
        <f ca="1">'数据-取费表'!B39</f>
        <v>1.4999999999999999E-2</v>
      </c>
      <c r="G13" s="1591"/>
      <c r="H13" s="2585"/>
      <c r="I13" s="2518" t="s">
        <v>2573</v>
      </c>
      <c r="J13" s="2522"/>
      <c r="K13" s="2586"/>
      <c r="L13" s="2521" t="s">
        <v>2455</v>
      </c>
      <c r="M13" s="2515">
        <f ca="1">'数据-取费表'!B39</f>
        <v>1.4999999999999999E-2</v>
      </c>
    </row>
    <row r="14" spans="1:25" ht="18" customHeight="1" thickBot="1">
      <c r="A14" s="2560" t="s">
        <v>2467</v>
      </c>
      <c r="B14" s="2561" t="s">
        <v>2459</v>
      </c>
      <c r="C14" s="2562"/>
      <c r="D14" s="2563"/>
      <c r="E14" s="2564"/>
      <c r="F14" s="2565"/>
      <c r="G14" s="1591"/>
      <c r="H14" s="2574" t="s">
        <v>2467</v>
      </c>
      <c r="I14" s="2587" t="s">
        <v>2459</v>
      </c>
      <c r="J14" s="2588"/>
      <c r="K14" s="2563"/>
      <c r="L14" s="2564"/>
      <c r="M14" s="2577"/>
    </row>
    <row r="15" spans="1:25" ht="18" customHeight="1" thickTop="1">
      <c r="A15" s="1828" t="s">
        <v>1875</v>
      </c>
      <c r="B15" s="1826" t="s">
        <v>642</v>
      </c>
      <c r="C15" s="792">
        <f ca="1">ROUND(C31*F15,0)</f>
        <v>0</v>
      </c>
      <c r="D15" s="1833" t="s">
        <v>643</v>
      </c>
      <c r="E15" s="795" t="s">
        <v>644</v>
      </c>
      <c r="F15" s="800">
        <f ca="1">INDIRECT("'数据-取费表'!y"&amp;$G$1)</f>
        <v>0</v>
      </c>
      <c r="G15" s="1591"/>
      <c r="H15" s="1828" t="s">
        <v>1827</v>
      </c>
      <c r="I15" s="1826" t="s">
        <v>645</v>
      </c>
      <c r="J15" s="1818">
        <f ca="1">ROUND(J16*J17,0)</f>
        <v>0</v>
      </c>
      <c r="K15" s="1820" t="s">
        <v>643</v>
      </c>
      <c r="L15" s="801"/>
      <c r="M15" s="802"/>
    </row>
    <row r="16" spans="1:25" ht="18" customHeight="1">
      <c r="A16" s="803" t="s">
        <v>1876</v>
      </c>
      <c r="B16" s="784" t="s">
        <v>646</v>
      </c>
      <c r="C16" s="804">
        <f ca="1">INDIRECT("'数据-取费表'!m"&amp;$G$1)+INDIRECT("'数据-取费表'!t"&amp;$G$1)</f>
        <v>0</v>
      </c>
      <c r="D16" s="1978" t="s">
        <v>647</v>
      </c>
      <c r="E16" s="1979"/>
      <c r="F16" s="805"/>
      <c r="G16" s="1591"/>
      <c r="H16" s="803" t="s">
        <v>2069</v>
      </c>
      <c r="I16" s="2230" t="s">
        <v>2826</v>
      </c>
      <c r="J16" s="53">
        <f ca="1">C31</f>
        <v>0</v>
      </c>
      <c r="K16" s="26"/>
      <c r="L16" s="801"/>
      <c r="M16" s="802"/>
    </row>
    <row r="17" spans="1:25" s="2063" customFormat="1" ht="18" customHeight="1">
      <c r="A17" s="803" t="s">
        <v>1850</v>
      </c>
      <c r="B17" s="784" t="s">
        <v>648</v>
      </c>
      <c r="C17" s="53">
        <f ca="1">ROUND(C16*F17,0)</f>
        <v>0</v>
      </c>
      <c r="D17" s="806" t="s">
        <v>649</v>
      </c>
      <c r="E17" s="806" t="s">
        <v>650</v>
      </c>
      <c r="F17" s="807">
        <f>'数据-取费表'!B33</f>
        <v>0.03</v>
      </c>
      <c r="G17" s="1592"/>
      <c r="H17" s="803" t="s">
        <v>2070</v>
      </c>
      <c r="I17" s="784" t="s">
        <v>644</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651</v>
      </c>
      <c r="C18" s="53">
        <f ca="1">ROUND(INDIRECT("'数据-取费表'!m"&amp;$G$1)*F18,0)</f>
        <v>0</v>
      </c>
      <c r="D18" s="784" t="s">
        <v>649</v>
      </c>
      <c r="E18" s="784" t="s">
        <v>650</v>
      </c>
      <c r="F18" s="809">
        <f ca="1">IF(INDIRECT("'数据-取费表'!c"&amp;$G$1)="住宅",'数据-取费表'!B34,0)</f>
        <v>0</v>
      </c>
      <c r="G18" s="1591"/>
      <c r="H18" s="797" t="s">
        <v>1828</v>
      </c>
      <c r="I18" s="798" t="s">
        <v>652</v>
      </c>
      <c r="J18" s="799">
        <f ca="1">ROUND(J19+J24+J25+J26,0)</f>
        <v>0</v>
      </c>
      <c r="K18" s="26" t="s">
        <v>653</v>
      </c>
      <c r="L18" s="1981"/>
      <c r="M18" s="56"/>
    </row>
    <row r="19" spans="1:25" s="2063" customFormat="1" ht="18" customHeight="1">
      <c r="A19" s="803" t="s">
        <v>1852</v>
      </c>
      <c r="B19" s="784" t="s">
        <v>654</v>
      </c>
      <c r="C19" s="53">
        <f ca="1">ROUND(F19*(INDIRECT("'数据-取费表'!k"&amp;$G$1)+INDIRECT("'数据-取费表'!S"&amp;$G$1))/10000,0)</f>
        <v>0</v>
      </c>
      <c r="D19" s="784" t="s">
        <v>655</v>
      </c>
      <c r="E19" s="784" t="s">
        <v>656</v>
      </c>
      <c r="F19" s="56">
        <f>'数据-取费表'!B35</f>
        <v>200</v>
      </c>
      <c r="G19" s="1592"/>
      <c r="H19" s="803" t="s">
        <v>2069</v>
      </c>
      <c r="I19" s="784" t="s">
        <v>657</v>
      </c>
      <c r="J19" s="53">
        <f ca="1">ROUND(IF(项目基本情况!B11="自然人",J7*M19,J20+J21+J22),0)</f>
        <v>0</v>
      </c>
      <c r="K19" s="1978" t="s">
        <v>658</v>
      </c>
      <c r="L19" s="1976" t="s">
        <v>659</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1853</v>
      </c>
      <c r="B20" s="784" t="s">
        <v>660</v>
      </c>
      <c r="C20" s="53">
        <f ca="1">ROUND(C16*F20,0)</f>
        <v>0</v>
      </c>
      <c r="D20" s="784" t="s">
        <v>649</v>
      </c>
      <c r="E20" s="784" t="s">
        <v>650</v>
      </c>
      <c r="F20" s="809">
        <f>'数据-取费表'!B36</f>
        <v>1.4999999999999999E-2</v>
      </c>
      <c r="G20" s="1592"/>
      <c r="H20" s="803" t="s">
        <v>1832</v>
      </c>
      <c r="I20" s="784" t="s">
        <v>661</v>
      </c>
      <c r="J20" s="53">
        <f ca="1">ROUND(J7*M20/1.05,1)</f>
        <v>0</v>
      </c>
      <c r="K20" s="1976" t="s">
        <v>662</v>
      </c>
      <c r="L20" s="784" t="s">
        <v>650</v>
      </c>
      <c r="M20" s="809">
        <f>'数据-取费表'!B41</f>
        <v>6.1600000000000002E-2</v>
      </c>
      <c r="N20" s="2062"/>
      <c r="O20" s="2062"/>
      <c r="P20" s="2062"/>
      <c r="Q20" s="2062"/>
      <c r="R20" s="2062"/>
      <c r="S20" s="2062"/>
      <c r="T20" s="2062"/>
      <c r="U20" s="2062"/>
      <c r="V20" s="2062"/>
      <c r="W20" s="2062"/>
      <c r="X20" s="2062"/>
      <c r="Y20" s="2062"/>
    </row>
    <row r="21" spans="1:25" ht="18" customHeight="1">
      <c r="A21" s="803" t="s">
        <v>1877</v>
      </c>
      <c r="B21" s="784" t="s">
        <v>663</v>
      </c>
      <c r="C21" s="53">
        <f ca="1">SUM(C16:C20)</f>
        <v>0</v>
      </c>
      <c r="D21" s="261" t="s">
        <v>664</v>
      </c>
      <c r="E21" s="1981"/>
      <c r="F21" s="56"/>
      <c r="G21" s="1591"/>
      <c r="H21" s="1829" t="s">
        <v>1850</v>
      </c>
      <c r="I21" s="784" t="s">
        <v>665</v>
      </c>
      <c r="J21" s="53">
        <f ca="1">IF(K21="按租金收入计税",ROUND(J7*M21,1),ROUND(C31*F35*0.7,1))</f>
        <v>0</v>
      </c>
      <c r="K21" s="811" t="s">
        <v>666</v>
      </c>
      <c r="L21" s="784" t="s">
        <v>650</v>
      </c>
      <c r="M21" s="809">
        <f>IF(K21="按租金收入计税",'数据-取费表'!B51,'数据-取费表'!B50)</f>
        <v>1.2E-2</v>
      </c>
    </row>
    <row r="22" spans="1:25" s="2063" customFormat="1" ht="18" customHeight="1">
      <c r="A22" s="803" t="s">
        <v>1878</v>
      </c>
      <c r="B22" s="784" t="s">
        <v>667</v>
      </c>
      <c r="C22" s="53">
        <f ca="1">ROUND(C21*F22,0)</f>
        <v>0</v>
      </c>
      <c r="D22" s="812" t="s">
        <v>668</v>
      </c>
      <c r="E22" s="784" t="s">
        <v>650</v>
      </c>
      <c r="F22" s="809">
        <f>'数据-取费表'!B37</f>
        <v>1.4999999999999999E-2</v>
      </c>
      <c r="G22" s="1592"/>
      <c r="H22" s="1831" t="s">
        <v>1851</v>
      </c>
      <c r="I22" s="1821" t="s">
        <v>669</v>
      </c>
      <c r="J22" s="54">
        <f ca="1">ROUND(M22*M23/10000,0)</f>
        <v>0</v>
      </c>
      <c r="K22" s="814" t="s">
        <v>670</v>
      </c>
      <c r="L22" s="784" t="s">
        <v>671</v>
      </c>
      <c r="M22" s="640">
        <f>'数据-取费表'!B52</f>
        <v>12</v>
      </c>
      <c r="N22" s="2062"/>
      <c r="O22" s="2062"/>
      <c r="P22" s="2062"/>
      <c r="Q22" s="2062"/>
      <c r="R22" s="2062"/>
      <c r="S22" s="2062"/>
      <c r="T22" s="2062"/>
      <c r="U22" s="2062"/>
      <c r="V22" s="2062"/>
      <c r="W22" s="2062"/>
      <c r="X22" s="2062"/>
      <c r="Y22" s="2062"/>
    </row>
    <row r="23" spans="1:25" s="2063" customFormat="1" ht="18" customHeight="1">
      <c r="A23" s="803" t="s">
        <v>1879</v>
      </c>
      <c r="B23" s="784" t="s">
        <v>672</v>
      </c>
      <c r="C23" s="53" t="s">
        <v>1</v>
      </c>
      <c r="D23" s="812" t="s">
        <v>673</v>
      </c>
      <c r="E23" s="784" t="s">
        <v>674</v>
      </c>
      <c r="F23" s="809">
        <f>'数据-取费表'!B38</f>
        <v>2.5000000000000001E-2</v>
      </c>
      <c r="G23" s="1592"/>
      <c r="H23" s="1832"/>
      <c r="I23" s="1823"/>
      <c r="J23" s="69"/>
      <c r="K23" s="816"/>
      <c r="L23" s="784" t="s">
        <v>675</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676</v>
      </c>
      <c r="C24" s="53"/>
      <c r="D24" s="2595" t="str">
        <f>IF(F25&lt;=1,"单利计息。","复利计息。")&amp;"建造成本、管理费用、销售费用产生的利息。"</f>
        <v>复利计息。建造成本、管理费用、销售费用产生的利息。</v>
      </c>
      <c r="E24" s="1981"/>
      <c r="F24" s="56"/>
      <c r="G24" s="1591"/>
      <c r="H24" s="1830" t="s">
        <v>2070</v>
      </c>
      <c r="I24" s="784" t="s">
        <v>677</v>
      </c>
      <c r="J24" s="53">
        <f ca="1">ROUND(J16*M24,0)</f>
        <v>0</v>
      </c>
      <c r="K24" s="1976" t="s">
        <v>678</v>
      </c>
      <c r="L24" s="784" t="s">
        <v>650</v>
      </c>
      <c r="M24" s="817">
        <f ca="1">INDIRECT("'数据-取费表'!Ak"&amp;$G$1)</f>
        <v>0</v>
      </c>
    </row>
    <row r="25" spans="1:25" s="2063" customFormat="1" ht="18" customHeight="1">
      <c r="A25" s="803" t="s">
        <v>1876</v>
      </c>
      <c r="B25" s="784" t="s">
        <v>2435</v>
      </c>
      <c r="C25" s="53">
        <f ca="1">ROUND(IF('数据-取费表'!B22&lt;=1,(C21+C22)*F26*F25/2,(C21+C22)*(POWER((1+F26),F25/2)-1)),0)</f>
        <v>0</v>
      </c>
      <c r="D25" s="2594" t="str">
        <f>IF(F25&lt;=1,"(建造成本+管理费用)×利率×(建设周期÷2)","(建造成本+管理费用)×((1+利率)^(建设周期÷2)-1)")</f>
        <v>(建造成本+管理费用)×((1+利率)^(建设周期÷2)-1)</v>
      </c>
      <c r="E25" s="784" t="s">
        <v>679</v>
      </c>
      <c r="F25" s="640">
        <f>'数据-取费表'!B20</f>
        <v>2.5</v>
      </c>
      <c r="G25" s="1592"/>
      <c r="H25" s="803" t="s">
        <v>1879</v>
      </c>
      <c r="I25" s="784" t="s">
        <v>680</v>
      </c>
      <c r="J25" s="53">
        <f ca="1">ROUND(J15*M25,0)</f>
        <v>0</v>
      </c>
      <c r="K25" s="1976" t="s">
        <v>681</v>
      </c>
      <c r="L25" s="784" t="s">
        <v>650</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682</v>
      </c>
      <c r="C26" s="53">
        <f ca="1">ROUND(IF('数据-取费表'!B22&lt;=1,F23*F26*F25/2,F23*(POWER((1+F26),F25/2)-1)),4)</f>
        <v>1.5E-3</v>
      </c>
      <c r="D26" s="2594" t="str">
        <f>IF(F25&lt;=1,"销售费用×利率×(建设周期÷2)","销售费用×((1+利率)^(建设周期÷2)-1)")</f>
        <v>销售费用×((1+利率)^(建设周期÷2)-1)</v>
      </c>
      <c r="E26" s="784" t="s">
        <v>683</v>
      </c>
      <c r="F26" s="819">
        <f ca="1">'数据-取费表'!B40</f>
        <v>4.7500000000000001E-2</v>
      </c>
      <c r="G26" s="1592"/>
      <c r="H26" s="803" t="s">
        <v>1880</v>
      </c>
      <c r="I26" s="784" t="s">
        <v>667</v>
      </c>
      <c r="J26" s="53">
        <f ca="1">ROUND(J7*M26,0)</f>
        <v>0</v>
      </c>
      <c r="K26" s="1976" t="s">
        <v>684</v>
      </c>
      <c r="L26" s="784" t="s">
        <v>650</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685</v>
      </c>
      <c r="C27" s="53"/>
      <c r="D27" s="261" t="s">
        <v>686</v>
      </c>
      <c r="E27" s="1981"/>
      <c r="F27" s="56"/>
      <c r="G27" s="1591"/>
      <c r="H27" s="797" t="s">
        <v>1829</v>
      </c>
      <c r="I27" s="3036" t="s">
        <v>2823</v>
      </c>
      <c r="J27" s="799">
        <f ca="1">J7-J18</f>
        <v>0</v>
      </c>
      <c r="K27" s="1978" t="s">
        <v>701</v>
      </c>
      <c r="L27" s="1980"/>
      <c r="M27" s="820"/>
    </row>
    <row r="28" spans="1:25" ht="18" customHeight="1">
      <c r="A28" s="803" t="s">
        <v>1876</v>
      </c>
      <c r="B28" s="784" t="s">
        <v>2436</v>
      </c>
      <c r="C28" s="53">
        <f ca="1">ROUND((C21+C22)*F28,0)</f>
        <v>0</v>
      </c>
      <c r="D28" s="812" t="s">
        <v>702</v>
      </c>
      <c r="E28" s="795" t="s">
        <v>703</v>
      </c>
      <c r="F28" s="794">
        <f ca="1">INDIRECT("'数据-取费表'!q"&amp;$G$1)</f>
        <v>0</v>
      </c>
      <c r="G28" s="1591"/>
      <c r="H28" s="781" t="s">
        <v>1838</v>
      </c>
      <c r="I28" s="782" t="s">
        <v>704</v>
      </c>
      <c r="J28" s="783">
        <f ca="1">IF(J7&lt;&gt;0,ROUND(J27*(1-((1+M30)/(1+M28))^M29)/(M28-M30),0),0)</f>
        <v>0</v>
      </c>
      <c r="K28" s="814" t="s">
        <v>705</v>
      </c>
      <c r="L28" s="784" t="s">
        <v>706</v>
      </c>
      <c r="M28" s="794">
        <f ca="1">INDIRECT("'数据-取费表'!I"&amp;$G$1)</f>
        <v>0</v>
      </c>
    </row>
    <row r="29" spans="1:25" ht="18" customHeight="1">
      <c r="A29" s="803" t="s">
        <v>1850</v>
      </c>
      <c r="B29" s="784" t="s">
        <v>687</v>
      </c>
      <c r="C29" s="53">
        <f ca="1">ROUND(F23*F28,4)</f>
        <v>0</v>
      </c>
      <c r="D29" s="812" t="s">
        <v>707</v>
      </c>
      <c r="E29" s="806"/>
      <c r="F29" s="807"/>
      <c r="G29" s="1591"/>
      <c r="H29" s="786"/>
      <c r="I29" s="787"/>
      <c r="J29" s="788"/>
      <c r="K29" s="821" t="s">
        <v>708</v>
      </c>
      <c r="L29" s="784" t="s">
        <v>709</v>
      </c>
      <c r="M29" s="822">
        <f ca="1">INDIRECT("'数据-取费表'!ag"&amp;$G$1)</f>
        <v>0</v>
      </c>
    </row>
    <row r="30" spans="1:25" s="2063" customFormat="1" ht="18" customHeight="1">
      <c r="A30" s="803" t="s">
        <v>1883</v>
      </c>
      <c r="B30" s="784" t="s">
        <v>688</v>
      </c>
      <c r="C30" s="53">
        <f>ROUND(F30/(1+'数据-取费表'!C42),4)</f>
        <v>5.8299999999999998E-2</v>
      </c>
      <c r="D30" s="812" t="s">
        <v>710</v>
      </c>
      <c r="E30" s="784" t="s">
        <v>650</v>
      </c>
      <c r="F30" s="809">
        <f>'数据-取费表'!B41</f>
        <v>6.1600000000000002E-2</v>
      </c>
      <c r="G30" s="1592"/>
      <c r="H30" s="790"/>
      <c r="I30" s="791"/>
      <c r="J30" s="792"/>
      <c r="K30" s="816"/>
      <c r="L30" s="784" t="s">
        <v>711</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3" t="s">
        <v>1884</v>
      </c>
      <c r="B31" s="2564" t="s">
        <v>2824</v>
      </c>
      <c r="C31" s="2567">
        <f ca="1">ROUND((C21+C22+C25+C28)/(1-F23-C26-C29-C30),0)</f>
        <v>0</v>
      </c>
      <c r="D31" s="2568"/>
      <c r="E31" s="2569"/>
      <c r="F31" s="2570"/>
      <c r="G31" s="1592"/>
      <c r="H31" s="823" t="s">
        <v>1873</v>
      </c>
      <c r="I31" s="3037" t="s">
        <v>2825</v>
      </c>
      <c r="J31" s="825">
        <f ca="1">ROUND(J28/(1+F45)^F46,0)</f>
        <v>0</v>
      </c>
      <c r="K31" s="826" t="s">
        <v>689</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690</v>
      </c>
      <c r="C32" s="792">
        <f ca="1">ROUND(C33+C38+C39+C40,0)</f>
        <v>0</v>
      </c>
      <c r="D32" s="1820" t="s">
        <v>653</v>
      </c>
      <c r="E32" s="2510"/>
      <c r="F32" s="2514"/>
      <c r="G32" s="2061"/>
      <c r="H32" s="2064"/>
      <c r="I32" s="2065"/>
      <c r="J32" s="2066"/>
      <c r="K32" s="2067"/>
      <c r="L32" s="2068"/>
      <c r="M32" s="2069"/>
    </row>
    <row r="33" spans="1:18" ht="18" customHeight="1">
      <c r="A33" s="803" t="s">
        <v>1877</v>
      </c>
      <c r="B33" s="784" t="s">
        <v>657</v>
      </c>
      <c r="C33" s="53">
        <f ca="1">ROUND(IF(项目基本情况!B11="自然人",C7*F33,C34+C35+C36),1)</f>
        <v>0</v>
      </c>
      <c r="D33" s="1978" t="s">
        <v>658</v>
      </c>
      <c r="E33" s="1976" t="s">
        <v>691</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1876</v>
      </c>
      <c r="B34" s="784" t="s">
        <v>661</v>
      </c>
      <c r="C34" s="53">
        <f ca="1">ROUND(C7*F34/1.05,1)</f>
        <v>0</v>
      </c>
      <c r="D34" s="1976" t="s">
        <v>662</v>
      </c>
      <c r="E34" s="784" t="s">
        <v>650</v>
      </c>
      <c r="F34" s="809">
        <f>'数据-取费表'!B41</f>
        <v>6.1600000000000002E-2</v>
      </c>
      <c r="G34" s="2061"/>
      <c r="H34" s="2070"/>
      <c r="I34" s="2071"/>
      <c r="J34" s="2072"/>
      <c r="K34" s="2073"/>
      <c r="L34" s="2074"/>
      <c r="M34" s="2075"/>
    </row>
    <row r="35" spans="1:18" ht="18" customHeight="1">
      <c r="A35" s="803" t="s">
        <v>1850</v>
      </c>
      <c r="B35" s="784" t="s">
        <v>665</v>
      </c>
      <c r="C35" s="53">
        <f ca="1">IF(D35="按租金收入计税",ROUND(C7*F35,1),IF(D35="按房产原值计税",ROUND(C31*F35*0.7,1),INDIRECT("'数据-取费表'!Aj"&amp;$G$1)))</f>
        <v>0</v>
      </c>
      <c r="D35" s="811" t="s">
        <v>1681</v>
      </c>
      <c r="E35" s="784" t="s">
        <v>650</v>
      </c>
      <c r="F35" s="809">
        <f>IF(D35="按租金收入计税",'数据-取费表'!B51,'数据-取费表'!B50)</f>
        <v>1.2E-2</v>
      </c>
      <c r="G35" s="2061"/>
      <c r="H35" s="2076"/>
      <c r="I35" s="2076"/>
      <c r="J35" s="2076"/>
      <c r="K35" s="2077"/>
      <c r="L35" s="2076"/>
      <c r="M35" s="2076"/>
    </row>
    <row r="36" spans="1:18" ht="18" customHeight="1">
      <c r="A36" s="813" t="s">
        <v>1881</v>
      </c>
      <c r="B36" s="341" t="s">
        <v>669</v>
      </c>
      <c r="C36" s="54">
        <f ca="1">ROUND(F36*F37/10000,1)</f>
        <v>0</v>
      </c>
      <c r="D36" s="814" t="s">
        <v>670</v>
      </c>
      <c r="E36" s="784" t="s">
        <v>671</v>
      </c>
      <c r="F36" s="640">
        <f>'数据-取费表'!B52</f>
        <v>12</v>
      </c>
      <c r="G36" s="2061"/>
      <c r="H36" s="2064"/>
      <c r="I36" s="3442"/>
      <c r="J36" s="2078"/>
      <c r="K36" s="2079"/>
      <c r="L36" s="2078"/>
      <c r="M36" s="2078"/>
    </row>
    <row r="37" spans="1:18" ht="18" customHeight="1">
      <c r="A37" s="815"/>
      <c r="B37" s="793"/>
      <c r="C37" s="69"/>
      <c r="D37" s="816"/>
      <c r="E37" s="784" t="s">
        <v>675</v>
      </c>
      <c r="F37" s="785">
        <f ca="1">INDIRECT("'数据-取费表'!r"&amp;$G$1)</f>
        <v>0</v>
      </c>
      <c r="G37" s="2061"/>
      <c r="H37" s="2064"/>
      <c r="I37" s="3442"/>
      <c r="J37" s="2076"/>
      <c r="K37" s="2077"/>
      <c r="L37" s="2076"/>
      <c r="M37" s="2076"/>
    </row>
    <row r="38" spans="1:18" ht="18" customHeight="1">
      <c r="A38" s="803" t="s">
        <v>1878</v>
      </c>
      <c r="B38" s="784" t="s">
        <v>677</v>
      </c>
      <c r="C38" s="53">
        <f ca="1">ROUND(C31*F38,1)</f>
        <v>0</v>
      </c>
      <c r="D38" s="1976" t="s">
        <v>692</v>
      </c>
      <c r="E38" s="784" t="s">
        <v>650</v>
      </c>
      <c r="F38" s="817">
        <f ca="1">INDIRECT("'数据-取费表'!Ak"&amp;$G$1)</f>
        <v>0</v>
      </c>
      <c r="G38" s="2061"/>
      <c r="H38" s="2076"/>
      <c r="I38" s="2080"/>
      <c r="J38" s="1987"/>
      <c r="K38" s="2081"/>
      <c r="L38" s="2076"/>
      <c r="M38" s="2076"/>
    </row>
    <row r="39" spans="1:18" ht="18" customHeight="1">
      <c r="A39" s="803" t="s">
        <v>1879</v>
      </c>
      <c r="B39" s="784" t="s">
        <v>680</v>
      </c>
      <c r="C39" s="53">
        <f ca="1">ROUND(C15*F39,1)</f>
        <v>0</v>
      </c>
      <c r="D39" s="1976" t="s">
        <v>681</v>
      </c>
      <c r="E39" s="784" t="s">
        <v>650</v>
      </c>
      <c r="F39" s="818">
        <f ca="1">INDIRECT("'数据-取费表'!Al"&amp;$G$1)</f>
        <v>0</v>
      </c>
      <c r="G39" s="2061"/>
      <c r="H39" s="2076"/>
      <c r="I39" s="2080"/>
      <c r="J39" s="1987"/>
      <c r="K39" s="2081"/>
      <c r="L39" s="2076"/>
      <c r="M39" s="2076"/>
    </row>
    <row r="40" spans="1:18" ht="18" customHeight="1" thickBot="1">
      <c r="A40" s="2583" t="s">
        <v>1880</v>
      </c>
      <c r="B40" s="2569" t="s">
        <v>667</v>
      </c>
      <c r="C40" s="2567">
        <f ca="1">ROUND(C7*F40,1)</f>
        <v>0</v>
      </c>
      <c r="D40" s="2568" t="s">
        <v>684</v>
      </c>
      <c r="E40" s="2569" t="s">
        <v>650</v>
      </c>
      <c r="F40" s="2565">
        <f ca="1">INDIRECT("'数据-取费表'!Am"&amp;$G$1)</f>
        <v>0</v>
      </c>
      <c r="G40" s="2061"/>
      <c r="H40" s="2076"/>
      <c r="I40" s="2080"/>
      <c r="J40" s="1987"/>
      <c r="K40" s="2082"/>
      <c r="L40" s="2076"/>
      <c r="M40" s="2076"/>
    </row>
    <row r="41" spans="1:18" ht="18" customHeight="1" thickTop="1">
      <c r="A41" s="1828">
        <v>4</v>
      </c>
      <c r="B41" s="1826" t="s">
        <v>693</v>
      </c>
      <c r="C41" s="1352"/>
      <c r="D41" s="1353"/>
      <c r="E41" s="1353"/>
      <c r="F41" s="1354"/>
      <c r="G41" s="2061"/>
      <c r="H41" s="2061"/>
      <c r="I41" s="2061"/>
      <c r="J41" s="2061"/>
      <c r="K41" s="2082"/>
      <c r="L41" s="2061"/>
      <c r="M41" s="2061"/>
    </row>
    <row r="42" spans="1:18" ht="18" customHeight="1">
      <c r="A42" s="803" t="s">
        <v>1877</v>
      </c>
      <c r="B42" s="835" t="s">
        <v>694</v>
      </c>
      <c r="C42" s="829">
        <f ca="1">C7-C32</f>
        <v>0</v>
      </c>
      <c r="D42" s="1978" t="s">
        <v>695</v>
      </c>
      <c r="E42" s="1980"/>
      <c r="F42" s="820"/>
      <c r="G42" s="2061"/>
      <c r="H42" s="2061"/>
      <c r="I42" s="2061"/>
      <c r="J42" s="2061"/>
      <c r="K42" s="2082"/>
      <c r="L42" s="2061"/>
      <c r="M42" s="2061"/>
    </row>
    <row r="43" spans="1:18" ht="18" customHeight="1">
      <c r="A43" s="803" t="s">
        <v>1878</v>
      </c>
      <c r="B43" s="835" t="s">
        <v>712</v>
      </c>
      <c r="C43" s="836">
        <f ca="1">ROUND(C15*F43,0)</f>
        <v>0</v>
      </c>
      <c r="D43" s="1355" t="s">
        <v>713</v>
      </c>
      <c r="E43" s="3154" t="s">
        <v>2963</v>
      </c>
      <c r="F43" s="3155">
        <f ca="1">INDIRECT("'数据-取费表'!j"&amp;$G$1)</f>
        <v>0</v>
      </c>
      <c r="G43" s="2061"/>
      <c r="H43" s="2061"/>
      <c r="I43" s="2061"/>
      <c r="J43" s="2061"/>
      <c r="K43" s="2082"/>
      <c r="L43" s="2061"/>
      <c r="M43" s="2061"/>
    </row>
    <row r="44" spans="1:18" ht="18" customHeight="1">
      <c r="A44" s="803" t="s">
        <v>1879</v>
      </c>
      <c r="B44" s="835" t="s">
        <v>714</v>
      </c>
      <c r="C44" s="1356">
        <f ca="1">C42-C43</f>
        <v>0</v>
      </c>
      <c r="D44" s="463" t="s">
        <v>715</v>
      </c>
      <c r="E44" s="464"/>
      <c r="F44" s="465"/>
      <c r="G44" s="2061"/>
      <c r="H44" s="2061"/>
      <c r="I44" s="2061"/>
      <c r="J44" s="2061"/>
      <c r="K44" s="2082"/>
      <c r="L44" s="2061"/>
      <c r="M44" s="2061"/>
    </row>
    <row r="45" spans="1:18" ht="18" customHeight="1">
      <c r="A45" s="803" t="s">
        <v>1880</v>
      </c>
      <c r="B45" s="1355" t="s">
        <v>716</v>
      </c>
      <c r="C45" s="3063">
        <f ca="1">ROUND(-PV(F45,F46,C44,0),0)</f>
        <v>0</v>
      </c>
      <c r="D45" s="1357" t="s">
        <v>717</v>
      </c>
      <c r="E45" s="806" t="s">
        <v>718</v>
      </c>
      <c r="F45" s="830">
        <f ca="1">INDIRECT("'数据-取费表'!h"&amp;$G$1)</f>
        <v>0</v>
      </c>
      <c r="G45" s="2061"/>
      <c r="H45" s="2061"/>
      <c r="I45" s="2061"/>
      <c r="J45" s="2061"/>
      <c r="K45" s="2082"/>
      <c r="L45" s="2061"/>
      <c r="M45" s="2061"/>
    </row>
    <row r="46" spans="1:18" ht="18" customHeight="1" thickBot="1">
      <c r="A46" s="831"/>
      <c r="B46" s="1358"/>
      <c r="C46" s="1359"/>
      <c r="D46" s="1360"/>
      <c r="E46" s="3156" t="s">
        <v>2966</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2340</v>
      </c>
      <c r="J47" s="2378"/>
      <c r="K47" s="2379"/>
      <c r="L47" s="2380" t="str">
        <f ca="1">IF(M48="住宅",0,IF(L49&gt;J52,L61,J61))</f>
        <v>0</v>
      </c>
      <c r="O47" s="2417" t="s">
        <v>2408</v>
      </c>
      <c r="P47" s="1591"/>
      <c r="Q47" s="1603"/>
      <c r="R47" s="1591"/>
    </row>
    <row r="48" spans="1:18" s="2058" customFormat="1" ht="18" customHeight="1" thickBot="1">
      <c r="A48" s="2083"/>
      <c r="C48" s="2086"/>
      <c r="D48" s="2087"/>
      <c r="E48" s="2087"/>
      <c r="F48" s="2088"/>
      <c r="G48" s="2089"/>
      <c r="I48" s="2381" t="s">
        <v>2341</v>
      </c>
      <c r="J48" s="2386"/>
      <c r="K48" s="2387" t="s">
        <v>2347</v>
      </c>
      <c r="L48" s="2388">
        <f ca="1">INDIRECT("'数据-取费表'!d"&amp;$G$1)</f>
        <v>0</v>
      </c>
      <c r="M48" s="3151" t="str">
        <f>IF(ISNUMBER(FIND("住宅",C1)),"住宅","非住宅")</f>
        <v>非住宅</v>
      </c>
      <c r="O48" s="2418" t="s">
        <v>2373</v>
      </c>
      <c r="P48" s="2419" t="s">
        <v>2374</v>
      </c>
      <c r="Q48" s="2420" t="s">
        <v>2375</v>
      </c>
      <c r="R48" s="2419" t="s">
        <v>2376</v>
      </c>
    </row>
    <row r="49" spans="1:18" s="2058" customFormat="1" ht="18" customHeight="1" thickBot="1">
      <c r="A49" s="2083"/>
      <c r="D49" s="2090"/>
      <c r="E49" s="2091"/>
      <c r="F49" s="2088"/>
      <c r="G49" s="2089"/>
      <c r="H49" s="2092"/>
      <c r="I49" s="2382" t="s">
        <v>2342</v>
      </c>
      <c r="J49" s="2389"/>
      <c r="K49" s="2390" t="s">
        <v>2349</v>
      </c>
      <c r="L49" s="2391">
        <f ca="1">INDIRECT("'数据-取费表'!f"&amp;$G$1)</f>
        <v>0</v>
      </c>
      <c r="O49" s="2421" t="s">
        <v>2377</v>
      </c>
      <c r="P49" s="2422" t="s">
        <v>2403</v>
      </c>
      <c r="Q49" s="2423">
        <f ca="1">C41+J31</f>
        <v>0</v>
      </c>
      <c r="R49" s="2422" t="s">
        <v>2378</v>
      </c>
    </row>
    <row r="50" spans="1:18" s="2058" customFormat="1" ht="18" customHeight="1" thickBot="1">
      <c r="A50" s="2083"/>
      <c r="D50" s="2093"/>
      <c r="E50" s="2093"/>
      <c r="F50" s="2087"/>
      <c r="G50" s="2094"/>
      <c r="H50" s="2092"/>
      <c r="I50" s="2382" t="s">
        <v>2343</v>
      </c>
      <c r="J50" s="2392"/>
      <c r="K50" s="2393" t="s">
        <v>2350</v>
      </c>
      <c r="L50" s="2394"/>
      <c r="O50" s="2421" t="s">
        <v>2379</v>
      </c>
      <c r="P50" s="2422" t="s">
        <v>2404</v>
      </c>
      <c r="Q50" s="2423" t="str">
        <f ca="1">J61</f>
        <v>0</v>
      </c>
      <c r="R50" s="2422" t="s">
        <v>2380</v>
      </c>
    </row>
    <row r="51" spans="1:18" s="2058" customFormat="1" ht="18" customHeight="1" thickBot="1">
      <c r="A51" s="2095"/>
      <c r="D51" s="2093"/>
      <c r="E51" s="2093"/>
      <c r="F51" s="2084"/>
      <c r="H51" s="2092"/>
      <c r="I51" s="2382" t="s">
        <v>2344</v>
      </c>
      <c r="J51" s="2395">
        <f>SUMPRODUCT((I64:I66=J48)*(J63:L63=J49)*(J64:L66))</f>
        <v>0</v>
      </c>
      <c r="K51" s="2393" t="s">
        <v>2351</v>
      </c>
      <c r="L51" s="2394"/>
      <c r="O51" s="2424" t="s">
        <v>2381</v>
      </c>
      <c r="P51" s="2422" t="s">
        <v>2405</v>
      </c>
      <c r="Q51" s="2423">
        <f ca="1">C31</f>
        <v>0</v>
      </c>
      <c r="R51" s="2422" t="s">
        <v>2378</v>
      </c>
    </row>
    <row r="52" spans="1:18" s="2058" customFormat="1" ht="18" customHeight="1" thickBot="1">
      <c r="A52" s="2095"/>
      <c r="F52" s="2084"/>
      <c r="I52" s="2383" t="s">
        <v>2345</v>
      </c>
      <c r="J52" s="2396">
        <f>IF(J50="",J51,J50+J51-YEAR('数据-取费表'!B3))</f>
        <v>0</v>
      </c>
      <c r="K52" s="2382" t="s">
        <v>2352</v>
      </c>
      <c r="L52" s="2397">
        <f ca="1">ROUND(-PV(INDIRECT("'数据-取费表'!h"&amp;$G$1),L49,(C40-C14*J36),0),0)</f>
        <v>0</v>
      </c>
      <c r="O52" s="2424" t="s">
        <v>2382</v>
      </c>
      <c r="P52" s="2422" t="s">
        <v>2383</v>
      </c>
      <c r="Q52" s="2425" t="e">
        <f ca="1">J59</f>
        <v>#VALUE!</v>
      </c>
      <c r="R52" s="2426"/>
    </row>
    <row r="53" spans="1:18" s="2058" customFormat="1" ht="18" customHeight="1" thickBot="1">
      <c r="A53" s="2095"/>
      <c r="F53" s="2084"/>
      <c r="I53" s="2384" t="s">
        <v>2419</v>
      </c>
      <c r="J53" s="2398"/>
      <c r="K53" s="2384" t="s">
        <v>2418</v>
      </c>
      <c r="L53" s="2398"/>
      <c r="O53" s="2424" t="s">
        <v>2384</v>
      </c>
      <c r="P53" s="2422" t="s">
        <v>2385</v>
      </c>
      <c r="Q53" s="2425">
        <f>J53</f>
        <v>0</v>
      </c>
      <c r="R53" s="2426"/>
    </row>
    <row r="54" spans="1:18" s="2058" customFormat="1" ht="43.5" thickBot="1">
      <c r="A54" s="2095"/>
      <c r="I54" s="2385" t="s">
        <v>2346</v>
      </c>
      <c r="J54" s="2399">
        <f ca="1">IF(M48="住宅",J52,IF(J52&gt;L49,L49-'数据-取费表'!B25,J52))</f>
        <v>0</v>
      </c>
      <c r="K54" s="3447"/>
      <c r="L54" s="3448"/>
      <c r="O54" s="2424" t="s">
        <v>2386</v>
      </c>
      <c r="P54" s="2422" t="s">
        <v>2387</v>
      </c>
      <c r="Q54" s="2423">
        <f ca="1">J54</f>
        <v>0</v>
      </c>
      <c r="R54" s="2422" t="s">
        <v>2388</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2389</v>
      </c>
      <c r="P55" s="2422" t="s">
        <v>2406</v>
      </c>
      <c r="Q55" s="2423">
        <f ca="1">Q49+Q50</f>
        <v>0</v>
      </c>
      <c r="R55" s="2426" t="s">
        <v>2390</v>
      </c>
    </row>
    <row r="56" spans="1:18" s="2058" customFormat="1" ht="16.5" thickBot="1">
      <c r="A56" s="2095"/>
      <c r="B56" s="2096"/>
      <c r="C56" s="2096"/>
      <c r="I56" s="3128" t="s">
        <v>2353</v>
      </c>
      <c r="J56" s="3152" t="e">
        <f ca="1">ROUND(IF(J48="钢混",J58/J51,1-(1-2%)*(J51-J58)/J51),3)</f>
        <v>#VALUE!</v>
      </c>
      <c r="K56" s="2400" t="s">
        <v>2354</v>
      </c>
      <c r="L56" s="2401"/>
      <c r="O56" s="2427" t="s">
        <v>2409</v>
      </c>
      <c r="P56" s="1591"/>
      <c r="Q56" s="1603"/>
      <c r="R56" s="1591"/>
    </row>
    <row r="57" spans="1:18" s="2058" customFormat="1" ht="43.5" thickBot="1">
      <c r="A57" s="2095"/>
      <c r="B57" s="2096"/>
      <c r="C57" s="2096"/>
      <c r="I57" s="2402" t="s">
        <v>2355</v>
      </c>
      <c r="J57" s="3151" t="s">
        <v>1679</v>
      </c>
      <c r="K57" s="2382" t="s">
        <v>2360</v>
      </c>
      <c r="L57" s="2391">
        <f ca="1">IF(L49&lt;J52,"——",L49-J52)</f>
        <v>0</v>
      </c>
      <c r="O57" s="2418" t="s">
        <v>2373</v>
      </c>
      <c r="P57" s="2419" t="s">
        <v>2374</v>
      </c>
      <c r="Q57" s="2420" t="s">
        <v>2375</v>
      </c>
      <c r="R57" s="2419" t="s">
        <v>2376</v>
      </c>
    </row>
    <row r="58" spans="1:18" s="2058" customFormat="1" ht="29.25" thickBot="1">
      <c r="A58" s="2095"/>
      <c r="B58" s="2096"/>
      <c r="C58" s="2096"/>
      <c r="I58" s="2403" t="s">
        <v>2356</v>
      </c>
      <c r="J58" s="2405" t="str">
        <f ca="1">IF(OR(M48="住宅",J52&lt;L49,J57="是"),"——",J52-L49)</f>
        <v>——</v>
      </c>
      <c r="K58" s="2382" t="s">
        <v>2361</v>
      </c>
      <c r="L58" s="2391">
        <f ca="1">IF(L49&lt;J52,"——",IF(L56="比较法",L50,IF(L56="基准地价",L51,L52)))</f>
        <v>0</v>
      </c>
      <c r="O58" s="2421" t="s">
        <v>2377</v>
      </c>
      <c r="P58" s="2422" t="s">
        <v>2403</v>
      </c>
      <c r="Q58" s="2423">
        <f ca="1">C41+J31</f>
        <v>0</v>
      </c>
      <c r="R58" s="2422" t="s">
        <v>2378</v>
      </c>
    </row>
    <row r="59" spans="1:18" s="2058" customFormat="1" ht="29.25" thickBot="1">
      <c r="A59" s="2095"/>
      <c r="B59" s="2096"/>
      <c r="C59" s="2096"/>
      <c r="I59" s="2403" t="s">
        <v>2357</v>
      </c>
      <c r="J59" s="3153" t="e">
        <f ca="1">IF(J56&lt;0.4,0.4,J56)</f>
        <v>#VALUE!</v>
      </c>
      <c r="K59" s="2382" t="s">
        <v>2362</v>
      </c>
      <c r="L59" s="2391">
        <f ca="1">IF(ISERROR(POWER(1+L53,L48-L49)*(POWER(1+L53,L49)-1)/(POWER(1+L53,L48)-1)),0,POWER(1+L53,L48-L49)*(POWER(1+L53,L49)-1)/(POWER(1+L53,L48)-1))</f>
        <v>0</v>
      </c>
      <c r="O59" s="2421" t="s">
        <v>2379</v>
      </c>
      <c r="P59" s="2422" t="s">
        <v>2410</v>
      </c>
      <c r="Q59" s="2423" t="e">
        <f ca="1">L61</f>
        <v>#DIV/0!</v>
      </c>
      <c r="R59" s="2426" t="s">
        <v>2412</v>
      </c>
    </row>
    <row r="60" spans="1:18" s="2058" customFormat="1" ht="29.25" thickBot="1">
      <c r="A60" s="2095"/>
      <c r="B60" s="2096"/>
      <c r="C60" s="2096"/>
      <c r="I60" s="2403" t="s">
        <v>2358</v>
      </c>
      <c r="J60" s="2405" t="str">
        <f ca="1">IF(OR(M48="住宅",J52&lt;L49,J57="是"),"——",ROUND(C30*J59,0))</f>
        <v>——</v>
      </c>
      <c r="K60" s="2382" t="s">
        <v>2363</v>
      </c>
      <c r="L60" s="2391">
        <f ca="1">IF(ISERROR(POWER(1+L53,L48-J52)*(POWER(1+L53,J52)-1)/(POWER(1+L53,L48)-1)),0,POWER(1+L53,L48-J52)*(POWER(1+L53,J52)-1)/(POWER(1+L53,L48)-1))</f>
        <v>0</v>
      </c>
      <c r="O60" s="2424" t="s">
        <v>2381</v>
      </c>
      <c r="P60" s="2422" t="s">
        <v>2411</v>
      </c>
      <c r="Q60" s="2423">
        <f>IF(L56="比较法",L50,IF(L56="基准地价",L51,0))</f>
        <v>0</v>
      </c>
      <c r="R60" s="2422" t="s">
        <v>2378</v>
      </c>
    </row>
    <row r="61" spans="1:18" s="2058" customFormat="1" ht="15.75" thickBot="1">
      <c r="A61" s="2095"/>
      <c r="B61" s="2096"/>
      <c r="C61" s="2096"/>
      <c r="I61" s="2404" t="s">
        <v>2359</v>
      </c>
      <c r="J61" s="2406" t="str">
        <f ca="1">IF(OR(M48="住宅",J52&lt;L49,J57="是"),"0",ROUND(J60/(1+J53)^J54,0))</f>
        <v>0</v>
      </c>
      <c r="K61" s="2407" t="s">
        <v>2364</v>
      </c>
      <c r="L61" s="2406" t="e">
        <f ca="1">IF(OR(M48="住宅",L49&lt;J52),0,ROUND(L58*(L59/L60-1),0))</f>
        <v>#DIV/0!</v>
      </c>
      <c r="O61" s="2424" t="s">
        <v>2382</v>
      </c>
      <c r="P61" s="2422" t="s">
        <v>2391</v>
      </c>
      <c r="Q61" s="2425">
        <f>L53</f>
        <v>0</v>
      </c>
      <c r="R61" s="2426"/>
    </row>
    <row r="62" spans="1:18" s="2058" customFormat="1" ht="20.25" thickBot="1">
      <c r="A62" s="2095"/>
      <c r="B62" s="2096"/>
      <c r="C62" s="2096"/>
      <c r="K62" s="2085"/>
      <c r="O62" s="2424" t="s">
        <v>2384</v>
      </c>
      <c r="P62" s="2422" t="s">
        <v>2392</v>
      </c>
      <c r="Q62" s="2423">
        <f ca="1">L59</f>
        <v>0</v>
      </c>
      <c r="R62" s="2426" t="s">
        <v>2393</v>
      </c>
    </row>
    <row r="63" spans="1:18" s="2058" customFormat="1" ht="20.25" thickBot="1">
      <c r="A63" s="2095"/>
      <c r="B63" s="2096"/>
      <c r="C63" s="2096"/>
      <c r="I63" s="2408" t="s">
        <v>2365</v>
      </c>
      <c r="J63" s="2409" t="s">
        <v>2366</v>
      </c>
      <c r="K63" s="2409" t="s">
        <v>2367</v>
      </c>
      <c r="L63" s="2409" t="s">
        <v>2348</v>
      </c>
      <c r="M63" s="3130" t="s">
        <v>2942</v>
      </c>
      <c r="O63" s="2424" t="s">
        <v>2386</v>
      </c>
      <c r="P63" s="2422" t="s">
        <v>2394</v>
      </c>
      <c r="Q63" s="2423">
        <f ca="1">L60</f>
        <v>0</v>
      </c>
      <c r="R63" s="2426" t="s">
        <v>2395</v>
      </c>
    </row>
    <row r="64" spans="1:18" s="2058" customFormat="1" ht="15.75" thickBot="1">
      <c r="A64" s="2095"/>
      <c r="B64" s="2096"/>
      <c r="C64" s="2096"/>
      <c r="I64" s="2408" t="s">
        <v>2368</v>
      </c>
      <c r="J64" s="2409">
        <v>70</v>
      </c>
      <c r="K64" s="2409">
        <v>50</v>
      </c>
      <c r="L64" s="2409">
        <v>80</v>
      </c>
      <c r="M64" s="3131">
        <v>0.02</v>
      </c>
      <c r="O64" s="2421" t="s">
        <v>2389</v>
      </c>
      <c r="P64" s="2422" t="s">
        <v>2406</v>
      </c>
      <c r="Q64" s="2423" t="e">
        <f ca="1">Q58+Q59</f>
        <v>#DIV/0!</v>
      </c>
      <c r="R64" s="2426" t="s">
        <v>2390</v>
      </c>
    </row>
    <row r="65" spans="1:18" s="2058" customFormat="1" ht="16.5" thickBot="1">
      <c r="A65" s="2095"/>
      <c r="B65" s="2096"/>
      <c r="C65" s="2096"/>
      <c r="I65" s="2408" t="s">
        <v>2369</v>
      </c>
      <c r="J65" s="2409">
        <v>50</v>
      </c>
      <c r="K65" s="2409">
        <v>35</v>
      </c>
      <c r="L65" s="2409">
        <v>60</v>
      </c>
      <c r="M65" s="3132">
        <v>0</v>
      </c>
      <c r="O65" s="2427" t="s">
        <v>2413</v>
      </c>
      <c r="P65" s="1591"/>
      <c r="Q65" s="1603"/>
      <c r="R65" s="1591"/>
    </row>
    <row r="66" spans="1:18" s="2058" customFormat="1" ht="15.75" thickBot="1">
      <c r="A66" s="2095"/>
      <c r="B66" s="2096"/>
      <c r="C66" s="2096"/>
      <c r="I66" s="2408" t="s">
        <v>2370</v>
      </c>
      <c r="J66" s="2409">
        <v>40</v>
      </c>
      <c r="K66" s="2409">
        <v>30</v>
      </c>
      <c r="L66" s="2409">
        <v>50</v>
      </c>
      <c r="M66" s="3131">
        <v>0.02</v>
      </c>
      <c r="O66" s="2418" t="s">
        <v>2373</v>
      </c>
      <c r="P66" s="2419" t="s">
        <v>2374</v>
      </c>
      <c r="Q66" s="2420" t="s">
        <v>2375</v>
      </c>
      <c r="R66" s="2419" t="s">
        <v>2376</v>
      </c>
    </row>
    <row r="67" spans="1:18" s="2058" customFormat="1" ht="15.75" thickBot="1">
      <c r="A67" s="2095"/>
      <c r="B67" s="2096"/>
      <c r="C67" s="2096"/>
      <c r="K67" s="2085"/>
      <c r="O67" s="2421" t="s">
        <v>2377</v>
      </c>
      <c r="P67" s="2422" t="s">
        <v>2403</v>
      </c>
      <c r="Q67" s="2423">
        <f ca="1">C41+J31</f>
        <v>0</v>
      </c>
      <c r="R67" s="2422" t="s">
        <v>2378</v>
      </c>
    </row>
    <row r="68" spans="1:18" s="2058" customFormat="1" ht="20.25" thickBot="1">
      <c r="A68" s="2095"/>
      <c r="B68" s="2096"/>
      <c r="C68" s="2096"/>
      <c r="K68" s="2085"/>
      <c r="O68" s="2421" t="s">
        <v>2379</v>
      </c>
      <c r="P68" s="2422" t="s">
        <v>2410</v>
      </c>
      <c r="Q68" s="2423" t="e">
        <f ca="1">L61</f>
        <v>#DIV/0!</v>
      </c>
      <c r="R68" s="2426" t="s">
        <v>2412</v>
      </c>
    </row>
    <row r="69" spans="1:18" s="2058" customFormat="1" ht="21.75" thickBot="1">
      <c r="A69" s="2095"/>
      <c r="B69" s="2096"/>
      <c r="C69" s="2096"/>
      <c r="K69" s="2085"/>
      <c r="O69" s="2424" t="s">
        <v>2381</v>
      </c>
      <c r="P69" s="2422" t="s">
        <v>2411</v>
      </c>
      <c r="Q69" s="2428">
        <f ca="1">L52</f>
        <v>0</v>
      </c>
      <c r="R69" s="2429" t="s">
        <v>2414</v>
      </c>
    </row>
    <row r="70" spans="1:18" s="2058" customFormat="1" ht="20.25" thickBot="1">
      <c r="A70" s="2095"/>
      <c r="B70" s="2096"/>
      <c r="C70" s="2096"/>
      <c r="K70" s="2085"/>
      <c r="O70" s="2424" t="s">
        <v>2382</v>
      </c>
      <c r="P70" s="2430" t="s">
        <v>2396</v>
      </c>
      <c r="Q70" s="2423">
        <f ca="1">ROUND(Q71-Q72*Q73,0)</f>
        <v>0</v>
      </c>
      <c r="R70" s="2426"/>
    </row>
    <row r="71" spans="1:18" s="2058" customFormat="1" ht="15.75" thickBot="1">
      <c r="A71" s="2095"/>
      <c r="B71" s="2096"/>
      <c r="C71" s="2096"/>
      <c r="K71" s="2085"/>
      <c r="O71" s="2424" t="s">
        <v>2397</v>
      </c>
      <c r="P71" s="2430" t="s">
        <v>2398</v>
      </c>
      <c r="Q71" s="2423">
        <f ca="1">C42</f>
        <v>0</v>
      </c>
      <c r="R71" s="2422" t="s">
        <v>2378</v>
      </c>
    </row>
    <row r="72" spans="1:18" s="2058" customFormat="1" ht="15.75" thickBot="1">
      <c r="A72" s="2095"/>
      <c r="B72" s="2096"/>
      <c r="C72" s="2096"/>
      <c r="K72" s="2085"/>
      <c r="O72" s="2424" t="s">
        <v>2399</v>
      </c>
      <c r="P72" s="2430" t="s">
        <v>2400</v>
      </c>
      <c r="Q72" s="2423">
        <f ca="1">C15</f>
        <v>0</v>
      </c>
      <c r="R72" s="2422" t="s">
        <v>2378</v>
      </c>
    </row>
    <row r="73" spans="1:18" s="2058" customFormat="1" ht="15.75" thickBot="1">
      <c r="A73" s="2095"/>
      <c r="B73" s="2096"/>
      <c r="C73" s="2096"/>
      <c r="K73" s="2085"/>
      <c r="O73" s="2424" t="s">
        <v>2401</v>
      </c>
      <c r="P73" s="2430" t="s">
        <v>2402</v>
      </c>
      <c r="Q73" s="2425">
        <f ca="1">F43</f>
        <v>0</v>
      </c>
      <c r="R73" s="2426"/>
    </row>
    <row r="74" spans="1:18" s="2058" customFormat="1" ht="15.75" thickBot="1">
      <c r="A74" s="2095"/>
      <c r="B74" s="2096"/>
      <c r="C74" s="2096"/>
      <c r="K74" s="2085"/>
      <c r="O74" s="2424" t="s">
        <v>2384</v>
      </c>
      <c r="P74" s="2422" t="s">
        <v>2391</v>
      </c>
      <c r="Q74" s="2425">
        <f>L53</f>
        <v>0</v>
      </c>
      <c r="R74" s="2426"/>
    </row>
    <row r="75" spans="1:18" s="2058" customFormat="1" ht="20.25" thickBot="1">
      <c r="A75" s="2095"/>
      <c r="B75" s="2096"/>
      <c r="C75" s="2096"/>
      <c r="K75" s="2085"/>
      <c r="O75" s="2424" t="s">
        <v>2386</v>
      </c>
      <c r="P75" s="2422" t="s">
        <v>2392</v>
      </c>
      <c r="Q75" s="2423">
        <f ca="1">L59</f>
        <v>0</v>
      </c>
      <c r="R75" s="2426" t="s">
        <v>2393</v>
      </c>
    </row>
    <row r="76" spans="1:18" s="2058" customFormat="1" ht="20.25" thickBot="1">
      <c r="A76" s="2095"/>
      <c r="B76" s="2096"/>
      <c r="C76" s="2096"/>
      <c r="K76" s="2085"/>
      <c r="O76" s="2424" t="s">
        <v>2415</v>
      </c>
      <c r="P76" s="2422" t="s">
        <v>2394</v>
      </c>
      <c r="Q76" s="2423">
        <f ca="1">L60</f>
        <v>0</v>
      </c>
      <c r="R76" s="2426" t="s">
        <v>2395</v>
      </c>
    </row>
    <row r="77" spans="1:18" s="2058" customFormat="1" ht="15.75" thickBot="1">
      <c r="A77" s="2095"/>
      <c r="B77" s="2096"/>
      <c r="C77" s="2096"/>
      <c r="K77" s="2085"/>
      <c r="O77" s="2421" t="s">
        <v>2389</v>
      </c>
      <c r="P77" s="2422" t="s">
        <v>2406</v>
      </c>
      <c r="Q77" s="2423" t="e">
        <f ca="1">Q67+Q68</f>
        <v>#DIV/0!</v>
      </c>
      <c r="R77" s="2426" t="s">
        <v>2390</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55" t="s">
        <v>2576</v>
      </c>
      <c r="C1" s="3455"/>
      <c r="D1" s="3455"/>
      <c r="E1" s="3455"/>
      <c r="F1" s="3455"/>
      <c r="G1" s="3454" t="s">
        <v>2577</v>
      </c>
      <c r="H1" s="3454"/>
      <c r="I1" s="3454"/>
      <c r="J1" s="3454"/>
      <c r="K1" s="3454"/>
      <c r="L1" s="3454"/>
      <c r="N1" s="3454" t="s">
        <v>2578</v>
      </c>
      <c r="O1" s="3454"/>
      <c r="P1" s="3454"/>
      <c r="Q1" s="3454"/>
      <c r="R1" s="2678"/>
      <c r="S1" s="3454" t="s">
        <v>2579</v>
      </c>
      <c r="T1" s="3454"/>
      <c r="U1" s="3454"/>
      <c r="V1" s="3454"/>
      <c r="X1" s="3453" t="s">
        <v>2640</v>
      </c>
      <c r="Y1" s="3454"/>
      <c r="Z1" s="3454"/>
      <c r="AA1" s="3454"/>
      <c r="AB1" s="3454"/>
      <c r="AD1" s="3453" t="s">
        <v>2645</v>
      </c>
      <c r="AE1" s="3454"/>
      <c r="AF1" s="3454"/>
      <c r="AG1" s="3454"/>
      <c r="AH1" s="3454"/>
    </row>
    <row r="2" spans="1:34" s="2780" customFormat="1" ht="14.25" thickBot="1">
      <c r="B2" s="2789" t="s">
        <v>2580</v>
      </c>
      <c r="C2" s="2789" t="s">
        <v>2643</v>
      </c>
      <c r="D2" s="2781" t="s">
        <v>1645</v>
      </c>
      <c r="E2" s="2781" t="s">
        <v>1952</v>
      </c>
      <c r="F2" s="2789" t="s">
        <v>2644</v>
      </c>
      <c r="G2" s="2784"/>
      <c r="H2" s="2783"/>
      <c r="I2" s="2789" t="s">
        <v>2957</v>
      </c>
      <c r="J2" s="2781" t="s">
        <v>2959</v>
      </c>
      <c r="K2" s="2781" t="s">
        <v>2960</v>
      </c>
      <c r="L2" s="2789" t="s">
        <v>2961</v>
      </c>
      <c r="N2" s="2789" t="s">
        <v>2580</v>
      </c>
      <c r="O2" s="2781" t="s">
        <v>2958</v>
      </c>
      <c r="P2" s="2781" t="s">
        <v>1952</v>
      </c>
      <c r="Q2" s="2789" t="s">
        <v>2644</v>
      </c>
      <c r="R2" s="2782"/>
      <c r="S2" s="2789" t="s">
        <v>2580</v>
      </c>
      <c r="T2" s="2781" t="s">
        <v>2958</v>
      </c>
      <c r="U2" s="2781" t="s">
        <v>1952</v>
      </c>
      <c r="V2" s="2789" t="s">
        <v>2644</v>
      </c>
      <c r="X2" s="2789" t="s">
        <v>2580</v>
      </c>
      <c r="Y2" s="2789" t="s">
        <v>2643</v>
      </c>
      <c r="Z2" s="2781" t="s">
        <v>1645</v>
      </c>
      <c r="AA2" s="2781" t="s">
        <v>1952</v>
      </c>
      <c r="AB2" s="2789" t="s">
        <v>2644</v>
      </c>
      <c r="AD2" s="2789" t="s">
        <v>2580</v>
      </c>
      <c r="AE2" s="2789" t="s">
        <v>2643</v>
      </c>
      <c r="AF2" s="2781" t="s">
        <v>1645</v>
      </c>
      <c r="AG2" s="2781" t="s">
        <v>1952</v>
      </c>
      <c r="AH2" s="2789" t="s">
        <v>2644</v>
      </c>
    </row>
    <row r="3" spans="1:34" s="2773" customFormat="1" ht="14.25">
      <c r="B3" s="2774"/>
      <c r="C3" s="2774"/>
      <c r="D3" s="2775"/>
      <c r="E3" s="2775"/>
      <c r="F3" s="2774"/>
      <c r="G3" s="2779"/>
      <c r="H3" s="2776"/>
      <c r="I3" s="3162"/>
      <c r="J3" s="3162"/>
      <c r="K3" s="3162"/>
      <c r="L3" s="3162"/>
      <c r="N3" s="2779"/>
      <c r="O3" s="2777"/>
      <c r="P3" s="2777"/>
      <c r="Q3" s="2777"/>
      <c r="R3" s="2777"/>
      <c r="S3" s="2779"/>
      <c r="T3" s="2777"/>
      <c r="U3" s="2777"/>
      <c r="V3" s="2777"/>
      <c r="X3" s="2778">
        <f>ROUND(SUMPRODUCT(PRODUCT(1+N3:N$19)),4)</f>
        <v>1.4742</v>
      </c>
      <c r="Y3" s="2778">
        <f>ROUND(SUMPRODUCT(PRODUCT(1+O3:O$19)),4)</f>
        <v>1.2875000000000001</v>
      </c>
      <c r="Z3" s="2778">
        <f t="shared" ref="Z3:Z17" si="0">Y3</f>
        <v>1.2875000000000001</v>
      </c>
      <c r="AA3" s="2778">
        <f>ROUND(SUMPRODUCT(PRODUCT(1+P3:P$19)),4)</f>
        <v>1.5399</v>
      </c>
      <c r="AB3" s="2778">
        <f>ROUND(SUMPRODUCT(PRODUCT(1+Q3:Q$19)),4)</f>
        <v>1.2475000000000001</v>
      </c>
      <c r="AD3" s="2698">
        <f>ROUND(AVERAGE(I3:I$20)/100,4)</f>
        <v>2.4899999999999999E-2</v>
      </c>
      <c r="AE3" s="2698">
        <f>ROUND(AVERAGE(J3:J$20)/100,4)</f>
        <v>1.6400000000000001E-2</v>
      </c>
      <c r="AF3" s="2698">
        <f t="shared" ref="AF3:AF18" si="1">AE3</f>
        <v>1.6400000000000001E-2</v>
      </c>
      <c r="AG3" s="2698">
        <f>ROUND(AVERAGE(K3:K$20)/100,4)</f>
        <v>2.7799999999999998E-2</v>
      </c>
      <c r="AH3" s="2698">
        <f>ROUND(AVERAGE(L3:L$20)/100,4)</f>
        <v>1.3899999999999999E-2</v>
      </c>
    </row>
    <row r="4" spans="1:34" s="2773" customFormat="1" ht="13.5" thickBot="1">
      <c r="A4" s="2679" t="s">
        <v>2969</v>
      </c>
      <c r="B4" s="2693">
        <f>B5*(1+N4)</f>
        <v>453.57903691012211</v>
      </c>
      <c r="C4" s="2693">
        <f t="shared" ref="C4" si="2">C5*(1+O4)</f>
        <v>331.18001284964259</v>
      </c>
      <c r="D4" s="2693">
        <f t="shared" ref="D4:D9" si="3">C4</f>
        <v>331.18001284964259</v>
      </c>
      <c r="E4" s="2693">
        <f t="shared" ref="E4" si="4">E5*(1+P4)</f>
        <v>650.68458238034486</v>
      </c>
      <c r="F4" s="2693">
        <f t="shared" ref="F4" si="5">F5*(1+Q4)</f>
        <v>287.29097305893981</v>
      </c>
      <c r="G4" s="2779">
        <v>2018</v>
      </c>
      <c r="H4" s="2776">
        <v>1</v>
      </c>
      <c r="I4" s="3162">
        <f>ROUND(AVERAGE(I5:I20),2)</f>
        <v>2.4900000000000002</v>
      </c>
      <c r="J4" s="3162">
        <f t="shared" ref="J4:L4" si="6">ROUND(AVERAGE(J5:J20),2)</f>
        <v>1.64</v>
      </c>
      <c r="K4" s="3162">
        <f t="shared" si="6"/>
        <v>2.78</v>
      </c>
      <c r="L4" s="3162">
        <f t="shared" si="6"/>
        <v>1.39</v>
      </c>
      <c r="N4" s="3160">
        <f t="shared" ref="N4:N9" si="7">I4/100</f>
        <v>2.4900000000000002E-2</v>
      </c>
      <c r="O4" s="3161">
        <f t="shared" ref="O4" si="8">J4/100</f>
        <v>1.6399999999999998E-2</v>
      </c>
      <c r="P4" s="3161">
        <f t="shared" ref="P4" si="9">K4/100</f>
        <v>2.7799999999999998E-2</v>
      </c>
      <c r="Q4" s="3161">
        <f t="shared" ref="Q4" si="10">L4/100</f>
        <v>1.3899999999999999E-2</v>
      </c>
      <c r="R4" s="2777"/>
      <c r="S4" s="2779"/>
      <c r="T4" s="2777"/>
      <c r="U4" s="2777"/>
      <c r="V4" s="2777"/>
      <c r="X4" s="2778"/>
      <c r="Y4" s="2778"/>
      <c r="Z4" s="2778"/>
      <c r="AA4" s="2778"/>
      <c r="AB4" s="2778"/>
      <c r="AD4" s="2698"/>
      <c r="AE4" s="2698"/>
      <c r="AF4" s="2698"/>
      <c r="AG4" s="2698"/>
      <c r="AH4" s="2698"/>
    </row>
    <row r="5" spans="1:34" s="3145" customFormat="1">
      <c r="A5" s="3143" t="s">
        <v>2968</v>
      </c>
      <c r="B5" s="2820">
        <f t="shared" ref="B5" si="11">B6*(1+N5)</f>
        <v>442.55931008890832</v>
      </c>
      <c r="C5" s="2820">
        <f t="shared" ref="C5" si="12">C6*(1+O5)</f>
        <v>325.83629756950273</v>
      </c>
      <c r="D5" s="2820">
        <f t="shared" si="3"/>
        <v>325.83629756950273</v>
      </c>
      <c r="E5" s="2820">
        <f t="shared" ref="E5" si="13">E6*(1+P5)</f>
        <v>633.08482426575677</v>
      </c>
      <c r="F5" s="2820">
        <f t="shared" ref="F5" si="14">F6*(1+Q5)</f>
        <v>283.35237504580311</v>
      </c>
      <c r="G5" s="3452">
        <v>2017</v>
      </c>
      <c r="H5" s="3144">
        <v>4</v>
      </c>
      <c r="I5" s="3163">
        <f>ROUND(AVERAGE(I6:I20),2)</f>
        <v>2.4900000000000002</v>
      </c>
      <c r="J5" s="3163">
        <f>ROUND(AVERAGE(J6:J20),2)</f>
        <v>1.64</v>
      </c>
      <c r="K5" s="3163">
        <f>ROUND(AVERAGE(K6:K20),2)</f>
        <v>2.78</v>
      </c>
      <c r="L5" s="3163">
        <f>ROUND(AVERAGE(L6:L20),2)</f>
        <v>1.39</v>
      </c>
      <c r="N5" s="2786">
        <f t="shared" si="7"/>
        <v>2.4900000000000002E-2</v>
      </c>
      <c r="O5" s="2786">
        <f t="shared" ref="O5" si="15">J5/100</f>
        <v>1.6399999999999998E-2</v>
      </c>
      <c r="P5" s="2786">
        <f t="shared" ref="P5" si="16">K5/100</f>
        <v>2.7799999999999998E-2</v>
      </c>
      <c r="Q5" s="2786">
        <f t="shared" ref="Q5" si="17">L5/100</f>
        <v>1.3899999999999999E-2</v>
      </c>
      <c r="R5" s="3146"/>
      <c r="S5" s="3147"/>
      <c r="T5" s="3146"/>
      <c r="U5" s="3146"/>
      <c r="V5" s="3146"/>
      <c r="W5" s="2787" t="s">
        <v>2641</v>
      </c>
      <c r="X5" s="3148">
        <f>ROUND(SUMPRODUCT(PRODUCT(1+N5:N$19)),4)</f>
        <v>1.4383999999999999</v>
      </c>
      <c r="Y5" s="3148">
        <f>ROUND(SUMPRODUCT(PRODUCT(1+O5:O$19)),4)</f>
        <v>1.2667999999999999</v>
      </c>
      <c r="Z5" s="3148">
        <f t="shared" si="0"/>
        <v>1.2667999999999999</v>
      </c>
      <c r="AA5" s="3148">
        <f>ROUND(SUMPRODUCT(PRODUCT(1+P5:P$19)),4)</f>
        <v>1.4982</v>
      </c>
      <c r="AB5" s="3148">
        <f>ROUND(SUMPRODUCT(PRODUCT(1+Q5:Q$19)),4)</f>
        <v>1.2303999999999999</v>
      </c>
      <c r="AD5" s="3149">
        <f>ROUND(AVERAGE(I5:I$20)/100,4)</f>
        <v>2.4899999999999999E-2</v>
      </c>
      <c r="AE5" s="3149">
        <f>ROUND(AVERAGE(J5:J$20)/100,4)</f>
        <v>1.6400000000000001E-2</v>
      </c>
      <c r="AF5" s="3149">
        <f t="shared" si="1"/>
        <v>1.6400000000000001E-2</v>
      </c>
      <c r="AG5" s="3149">
        <f>ROUND(AVERAGE(K5:K$20)/100,4)</f>
        <v>2.7799999999999998E-2</v>
      </c>
      <c r="AH5" s="3149">
        <f>ROUND(AVERAGE(L5:L$20)/100,4)</f>
        <v>1.3899999999999999E-2</v>
      </c>
    </row>
    <row r="6" spans="1:34" s="3145" customFormat="1">
      <c r="A6" s="2679" t="s">
        <v>2581</v>
      </c>
      <c r="B6" s="2693">
        <f t="shared" ref="B6:C8" si="18">B7*(1+N6)</f>
        <v>431.80730811680002</v>
      </c>
      <c r="C6" s="2693">
        <f t="shared" si="18"/>
        <v>320.57880516480003</v>
      </c>
      <c r="D6" s="2693">
        <f t="shared" si="3"/>
        <v>320.57880516480003</v>
      </c>
      <c r="E6" s="2693">
        <f t="shared" ref="E6:F8" si="19">E7*(1+P6)</f>
        <v>615.96110553196797</v>
      </c>
      <c r="F6" s="2693">
        <f t="shared" si="19"/>
        <v>279.46777300108801</v>
      </c>
      <c r="G6" s="3450"/>
      <c r="H6" s="2683">
        <v>3</v>
      </c>
      <c r="I6" s="2683">
        <v>2.98</v>
      </c>
      <c r="J6" s="2683">
        <v>2.11</v>
      </c>
      <c r="K6" s="2683">
        <v>3.24</v>
      </c>
      <c r="L6" s="2694">
        <v>1.72</v>
      </c>
      <c r="N6" s="2688">
        <f t="shared" si="7"/>
        <v>2.98E-2</v>
      </c>
      <c r="O6" s="2689">
        <f t="shared" ref="O6:O7" si="20">J6/100</f>
        <v>2.1099999999999997E-2</v>
      </c>
      <c r="P6" s="2689">
        <f t="shared" ref="P6:P7" si="21">K6/100</f>
        <v>3.2400000000000005E-2</v>
      </c>
      <c r="Q6" s="2689">
        <f t="shared" ref="Q6:Q7" si="22">L6/100</f>
        <v>1.72E-2</v>
      </c>
      <c r="R6" s="3146"/>
      <c r="S6" s="2682"/>
      <c r="T6" s="3159"/>
      <c r="U6" s="3159"/>
      <c r="V6" s="3159"/>
      <c r="W6" s="2677"/>
      <c r="X6" s="2778">
        <f>ROUND(SUMPRODUCT(PRODUCT(1+N6:N$19)),4)</f>
        <v>1.4034</v>
      </c>
      <c r="Y6" s="2778">
        <f>ROUND(SUMPRODUCT(PRODUCT(1+O6:O$19)),4)</f>
        <v>1.2463</v>
      </c>
      <c r="Z6" s="2778">
        <f t="shared" si="0"/>
        <v>1.2463</v>
      </c>
      <c r="AA6" s="2778">
        <f>ROUND(SUMPRODUCT(PRODUCT(1+P6:P$19)),4)</f>
        <v>1.4577</v>
      </c>
      <c r="AB6" s="2778">
        <f>ROUND(SUMPRODUCT(PRODUCT(1+Q6:Q$19)),4)</f>
        <v>1.2136</v>
      </c>
      <c r="AC6" s="2677"/>
      <c r="AD6" s="2698">
        <f>ROUND(AVERAGE(I6:I$20)/100,4)</f>
        <v>2.4899999999999999E-2</v>
      </c>
      <c r="AE6" s="2698">
        <f>ROUND(AVERAGE(J6:J$20)/100,4)</f>
        <v>1.6400000000000001E-2</v>
      </c>
      <c r="AF6" s="2698">
        <f t="shared" si="1"/>
        <v>1.6400000000000001E-2</v>
      </c>
      <c r="AG6" s="2698">
        <f>ROUND(AVERAGE(K6:K$20)/100,4)</f>
        <v>2.7799999999999998E-2</v>
      </c>
      <c r="AH6" s="2698">
        <f>ROUND(AVERAGE(L6:L$20)/100,4)</f>
        <v>1.3899999999999999E-2</v>
      </c>
    </row>
    <row r="7" spans="1:34" s="2677" customFormat="1">
      <c r="A7" s="2679" t="s">
        <v>2582</v>
      </c>
      <c r="B7" s="2693">
        <f t="shared" si="18"/>
        <v>419.31181600000002</v>
      </c>
      <c r="C7" s="2693">
        <f t="shared" si="18"/>
        <v>313.95436800000004</v>
      </c>
      <c r="D7" s="2693">
        <f t="shared" si="3"/>
        <v>313.95436800000004</v>
      </c>
      <c r="E7" s="2693">
        <f t="shared" si="19"/>
        <v>596.63028431999999</v>
      </c>
      <c r="F7" s="2693">
        <f t="shared" si="19"/>
        <v>274.74220703999998</v>
      </c>
      <c r="G7" s="3450"/>
      <c r="H7" s="2684">
        <v>2</v>
      </c>
      <c r="I7" s="2684">
        <v>3.4</v>
      </c>
      <c r="J7" s="2684">
        <v>2</v>
      </c>
      <c r="K7" s="2684">
        <v>3.82</v>
      </c>
      <c r="L7" s="2695">
        <v>1.68</v>
      </c>
      <c r="N7" s="2688">
        <f t="shared" si="7"/>
        <v>3.4000000000000002E-2</v>
      </c>
      <c r="O7" s="2689">
        <f t="shared" si="20"/>
        <v>0.02</v>
      </c>
      <c r="P7" s="2689">
        <f t="shared" si="21"/>
        <v>3.8199999999999998E-2</v>
      </c>
      <c r="Q7" s="2689">
        <f t="shared" si="22"/>
        <v>1.6799999999999999E-2</v>
      </c>
      <c r="R7" s="2678"/>
      <c r="S7" s="2682"/>
      <c r="T7" s="2678"/>
      <c r="U7" s="2678"/>
      <c r="V7" s="2678"/>
      <c r="X7" s="2778">
        <f>ROUND(SUMPRODUCT(PRODUCT(1+N7:N$19)),4)</f>
        <v>1.3628</v>
      </c>
      <c r="Y7" s="2778">
        <f>ROUND(SUMPRODUCT(PRODUCT(1+O7:O$19)),4)</f>
        <v>1.2205999999999999</v>
      </c>
      <c r="Z7" s="2778">
        <f t="shared" si="0"/>
        <v>1.2205999999999999</v>
      </c>
      <c r="AA7" s="2778">
        <f>ROUND(SUMPRODUCT(PRODUCT(1+P7:P$19)),4)</f>
        <v>1.4118999999999999</v>
      </c>
      <c r="AB7" s="2778">
        <f>ROUND(SUMPRODUCT(PRODUCT(1+Q7:Q$19)),4)</f>
        <v>1.1930000000000001</v>
      </c>
      <c r="AD7" s="2698">
        <f>ROUND(AVERAGE(I7:I$20)/100,4)</f>
        <v>2.46E-2</v>
      </c>
      <c r="AE7" s="2698">
        <f>ROUND(AVERAGE(J7:J$20)/100,4)</f>
        <v>1.6E-2</v>
      </c>
      <c r="AF7" s="2698">
        <f t="shared" si="1"/>
        <v>1.6E-2</v>
      </c>
      <c r="AG7" s="2698">
        <f>ROUND(AVERAGE(K7:K$20)/100,4)</f>
        <v>2.75E-2</v>
      </c>
      <c r="AH7" s="2698">
        <f>ROUND(AVERAGE(L7:L$20)/100,4)</f>
        <v>1.37E-2</v>
      </c>
    </row>
    <row r="8" spans="1:34" s="2785" customFormat="1" ht="13.5" thickBot="1">
      <c r="A8" s="2679" t="s">
        <v>2583</v>
      </c>
      <c r="B8" s="2693">
        <f t="shared" si="18"/>
        <v>405.524</v>
      </c>
      <c r="C8" s="2693">
        <f t="shared" si="18"/>
        <v>307.79840000000002</v>
      </c>
      <c r="D8" s="2693">
        <f t="shared" si="3"/>
        <v>307.79840000000002</v>
      </c>
      <c r="E8" s="2693">
        <f t="shared" si="19"/>
        <v>574.67759999999998</v>
      </c>
      <c r="F8" s="2693">
        <f t="shared" si="19"/>
        <v>270.20280000000002</v>
      </c>
      <c r="G8" s="3451"/>
      <c r="H8" s="2683">
        <v>1</v>
      </c>
      <c r="I8" s="2683">
        <v>3.45</v>
      </c>
      <c r="J8" s="2683">
        <v>1.92</v>
      </c>
      <c r="K8" s="2683">
        <v>3.92</v>
      </c>
      <c r="L8" s="2694">
        <v>1.58</v>
      </c>
      <c r="M8" s="2687"/>
      <c r="N8" s="2688">
        <f t="shared" si="7"/>
        <v>3.4500000000000003E-2</v>
      </c>
      <c r="O8" s="2689">
        <f t="shared" ref="O8" si="23">J8/100</f>
        <v>1.9199999999999998E-2</v>
      </c>
      <c r="P8" s="2689">
        <f t="shared" ref="P8" si="24">K8/100</f>
        <v>3.9199999999999999E-2</v>
      </c>
      <c r="Q8" s="2689">
        <f t="shared" ref="Q8" si="25">L8/100</f>
        <v>1.5800000000000002E-2</v>
      </c>
      <c r="R8" s="2690"/>
      <c r="S8" s="2696">
        <f>B8/B9-1</f>
        <v>3.4499999999999975E-2</v>
      </c>
      <c r="T8" s="2697">
        <f>C8/C9-1</f>
        <v>1.9200000000000106E-2</v>
      </c>
      <c r="U8" s="2697">
        <f>E8/E9-1</f>
        <v>3.9199999999999902E-2</v>
      </c>
      <c r="V8" s="2697">
        <f>F8/F9-1</f>
        <v>1.5800000000000036E-2</v>
      </c>
      <c r="W8" s="2687"/>
      <c r="X8" s="2778">
        <f>ROUND(SUMPRODUCT(PRODUCT(1+N8:N$19)),4)</f>
        <v>1.3180000000000001</v>
      </c>
      <c r="Y8" s="2778">
        <f>ROUND(SUMPRODUCT(PRODUCT(1+O8:O$19)),4)</f>
        <v>1.1966000000000001</v>
      </c>
      <c r="Z8" s="2778">
        <f t="shared" si="0"/>
        <v>1.1966000000000001</v>
      </c>
      <c r="AA8" s="2778">
        <f>ROUND(SUMPRODUCT(PRODUCT(1+P8:P$19)),4)</f>
        <v>1.36</v>
      </c>
      <c r="AB8" s="2778">
        <f>ROUND(SUMPRODUCT(PRODUCT(1+Q8:Q$19)),4)</f>
        <v>1.1733</v>
      </c>
      <c r="AC8" s="2687"/>
      <c r="AD8" s="2698">
        <f>ROUND(AVERAGE(I8:I$20)/100,4)</f>
        <v>2.3900000000000001E-2</v>
      </c>
      <c r="AE8" s="2698">
        <f>ROUND(AVERAGE(J8:J$20)/100,4)</f>
        <v>1.5699999999999999E-2</v>
      </c>
      <c r="AF8" s="2698">
        <f t="shared" si="1"/>
        <v>1.5699999999999999E-2</v>
      </c>
      <c r="AG8" s="2698">
        <f>ROUND(AVERAGE(K8:K$20)/100,4)</f>
        <v>2.6599999999999999E-2</v>
      </c>
      <c r="AH8" s="2698">
        <f>ROUND(AVERAGE(L8:L$20)/100,4)</f>
        <v>1.34E-2</v>
      </c>
    </row>
    <row r="9" spans="1:34">
      <c r="A9" s="2679" t="s">
        <v>971</v>
      </c>
      <c r="B9" s="2685">
        <v>392</v>
      </c>
      <c r="C9" s="2685">
        <v>302</v>
      </c>
      <c r="D9" s="2685">
        <f t="shared" si="3"/>
        <v>302</v>
      </c>
      <c r="E9" s="2685">
        <v>553</v>
      </c>
      <c r="F9" s="2686">
        <v>266</v>
      </c>
      <c r="G9" s="3452">
        <v>2016</v>
      </c>
      <c r="H9" s="2680">
        <v>4</v>
      </c>
      <c r="I9" s="2680">
        <v>4.5599999999999996</v>
      </c>
      <c r="J9" s="2680">
        <v>2.15</v>
      </c>
      <c r="K9" s="2680">
        <v>5.32</v>
      </c>
      <c r="L9" s="2681">
        <v>1.57</v>
      </c>
      <c r="N9" s="2688">
        <f t="shared" si="7"/>
        <v>4.5599999999999995E-2</v>
      </c>
      <c r="O9" s="2689">
        <f t="shared" ref="O9:Q24" si="26">J9/100</f>
        <v>2.1499999999999998E-2</v>
      </c>
      <c r="P9" s="2689">
        <f t="shared" si="26"/>
        <v>5.3200000000000004E-2</v>
      </c>
      <c r="Q9" s="2689">
        <f t="shared" si="26"/>
        <v>1.5700000000000002E-2</v>
      </c>
      <c r="R9" s="2690"/>
      <c r="S9" s="2691"/>
      <c r="T9" s="2692"/>
      <c r="U9" s="2692"/>
      <c r="V9" s="2692"/>
      <c r="X9" s="2778">
        <f>ROUND(SUMPRODUCT(PRODUCT(1+N9:N$19)),4)</f>
        <v>1.274</v>
      </c>
      <c r="Y9" s="2778">
        <f>ROUND(SUMPRODUCT(PRODUCT(1+O9:O$19)),4)</f>
        <v>1.1740999999999999</v>
      </c>
      <c r="Z9" s="2778">
        <f t="shared" si="0"/>
        <v>1.1740999999999999</v>
      </c>
      <c r="AA9" s="2778">
        <f>ROUND(SUMPRODUCT(PRODUCT(1+P9:P$19)),4)</f>
        <v>1.3087</v>
      </c>
      <c r="AB9" s="2778">
        <f>ROUND(SUMPRODUCT(PRODUCT(1+Q9:Q$19)),4)</f>
        <v>1.1551</v>
      </c>
      <c r="AD9" s="2698">
        <f>ROUND(AVERAGE(I9:I$20)/100,4)</f>
        <v>2.3E-2</v>
      </c>
      <c r="AE9" s="2698">
        <f>ROUND(AVERAGE(J9:J$20)/100,4)</f>
        <v>1.55E-2</v>
      </c>
      <c r="AF9" s="2698">
        <f t="shared" si="1"/>
        <v>1.55E-2</v>
      </c>
      <c r="AG9" s="2698">
        <f>ROUND(AVERAGE(K9:K$20)/100,4)</f>
        <v>2.5600000000000001E-2</v>
      </c>
      <c r="AH9" s="2698">
        <f>ROUND(AVERAGE(L9:L$20)/100,4)</f>
        <v>1.32E-2</v>
      </c>
    </row>
    <row r="10" spans="1:34">
      <c r="A10" s="2679" t="s">
        <v>970</v>
      </c>
      <c r="B10" s="2693">
        <f t="shared" ref="B10:C12" si="27">B9/(1+N9)</f>
        <v>374.90436113236416</v>
      </c>
      <c r="C10" s="2693">
        <f t="shared" si="27"/>
        <v>295.64366128242779</v>
      </c>
      <c r="D10" s="2693">
        <f t="shared" ref="D10:D69" si="28">C10</f>
        <v>295.64366128242779</v>
      </c>
      <c r="E10" s="2693">
        <f t="shared" ref="E10:F12" si="29">E9/(1+P9)</f>
        <v>525.06646410938095</v>
      </c>
      <c r="F10" s="2693">
        <f t="shared" si="29"/>
        <v>261.88835286009646</v>
      </c>
      <c r="G10" s="3450"/>
      <c r="H10" s="2683">
        <v>3</v>
      </c>
      <c r="I10" s="2683">
        <v>4.12</v>
      </c>
      <c r="J10" s="2683">
        <v>2</v>
      </c>
      <c r="K10" s="2683">
        <v>4.79</v>
      </c>
      <c r="L10" s="2694">
        <v>1.97</v>
      </c>
      <c r="N10" s="2688">
        <f t="shared" ref="N10:Q44" si="30">I10/100</f>
        <v>4.1200000000000001E-2</v>
      </c>
      <c r="O10" s="2689">
        <f t="shared" si="26"/>
        <v>0.02</v>
      </c>
      <c r="P10" s="2689">
        <f t="shared" si="26"/>
        <v>4.7899999999999998E-2</v>
      </c>
      <c r="Q10" s="2689">
        <f t="shared" si="26"/>
        <v>1.9699999999999999E-2</v>
      </c>
      <c r="R10" s="2690"/>
      <c r="S10" s="2688"/>
      <c r="T10" s="2689"/>
      <c r="U10" s="2689"/>
      <c r="V10" s="2689"/>
      <c r="X10" s="2778">
        <f>ROUND(SUMPRODUCT(PRODUCT(1+N10:N$19)),4)</f>
        <v>1.2184999999999999</v>
      </c>
      <c r="Y10" s="2778">
        <f>ROUND(SUMPRODUCT(PRODUCT(1+O10:O$19)),4)</f>
        <v>1.1494</v>
      </c>
      <c r="Z10" s="2778">
        <f t="shared" si="0"/>
        <v>1.1494</v>
      </c>
      <c r="AA10" s="2778">
        <f>ROUND(SUMPRODUCT(PRODUCT(1+P10:P$19)),4)</f>
        <v>1.2425999999999999</v>
      </c>
      <c r="AB10" s="2778">
        <f>ROUND(SUMPRODUCT(PRODUCT(1+Q10:Q$19)),4)</f>
        <v>1.1372</v>
      </c>
      <c r="AD10" s="2698">
        <f>ROUND(AVERAGE(I10:I$20)/100,4)</f>
        <v>2.0899999999999998E-2</v>
      </c>
      <c r="AE10" s="2698">
        <f>ROUND(AVERAGE(J10:J$20)/100,4)</f>
        <v>1.49E-2</v>
      </c>
      <c r="AF10" s="2698">
        <f t="shared" si="1"/>
        <v>1.49E-2</v>
      </c>
      <c r="AG10" s="2698">
        <f>ROUND(AVERAGE(K10:K$20)/100,4)</f>
        <v>2.3099999999999999E-2</v>
      </c>
      <c r="AH10" s="2698">
        <f>ROUND(AVERAGE(L10:L$20)/100,4)</f>
        <v>1.2999999999999999E-2</v>
      </c>
    </row>
    <row r="11" spans="1:34">
      <c r="A11" s="2679" t="s">
        <v>960</v>
      </c>
      <c r="B11" s="2693">
        <f t="shared" si="27"/>
        <v>360.06949782209392</v>
      </c>
      <c r="C11" s="2693">
        <f t="shared" si="27"/>
        <v>289.84672674747821</v>
      </c>
      <c r="D11" s="2693">
        <f t="shared" si="28"/>
        <v>289.84672674747821</v>
      </c>
      <c r="E11" s="2693">
        <f t="shared" si="29"/>
        <v>501.06543001181495</v>
      </c>
      <c r="F11" s="2693">
        <f t="shared" si="29"/>
        <v>256.82882500744967</v>
      </c>
      <c r="G11" s="3450"/>
      <c r="H11" s="2684">
        <v>2</v>
      </c>
      <c r="I11" s="2684">
        <v>3.85</v>
      </c>
      <c r="J11" s="2684">
        <v>1.95</v>
      </c>
      <c r="K11" s="2684">
        <v>4.4800000000000004</v>
      </c>
      <c r="L11" s="2695">
        <v>1.41</v>
      </c>
      <c r="N11" s="2688">
        <f t="shared" si="30"/>
        <v>3.85E-2</v>
      </c>
      <c r="O11" s="2689">
        <f t="shared" si="26"/>
        <v>1.95E-2</v>
      </c>
      <c r="P11" s="2689">
        <f t="shared" si="26"/>
        <v>4.4800000000000006E-2</v>
      </c>
      <c r="Q11" s="2689">
        <f t="shared" si="26"/>
        <v>1.41E-2</v>
      </c>
      <c r="R11" s="2690"/>
      <c r="S11" s="2688"/>
      <c r="T11" s="2689"/>
      <c r="U11" s="2689"/>
      <c r="V11" s="2689"/>
      <c r="X11" s="2778">
        <f>ROUND(SUMPRODUCT(PRODUCT(1+N11:N$19)),4)</f>
        <v>1.1702999999999999</v>
      </c>
      <c r="Y11" s="2778">
        <f>ROUND(SUMPRODUCT(PRODUCT(1+O11:O$19)),4)</f>
        <v>1.1269</v>
      </c>
      <c r="Z11" s="2778">
        <f t="shared" si="0"/>
        <v>1.1269</v>
      </c>
      <c r="AA11" s="2778">
        <f>ROUND(SUMPRODUCT(PRODUCT(1+P11:P$19)),4)</f>
        <v>1.1858</v>
      </c>
      <c r="AB11" s="2778">
        <f>ROUND(SUMPRODUCT(PRODUCT(1+Q11:Q$19)),4)</f>
        <v>1.1152</v>
      </c>
      <c r="AD11" s="2698">
        <f>ROUND(AVERAGE(I11:I$20)/100,4)</f>
        <v>1.89E-2</v>
      </c>
      <c r="AE11" s="2698">
        <f>ROUND(AVERAGE(J11:J$20)/100,4)</f>
        <v>1.44E-2</v>
      </c>
      <c r="AF11" s="2698">
        <f t="shared" si="1"/>
        <v>1.44E-2</v>
      </c>
      <c r="AG11" s="2698">
        <f>ROUND(AVERAGE(K11:K$20)/100,4)</f>
        <v>2.06E-2</v>
      </c>
      <c r="AH11" s="2698">
        <f>ROUND(AVERAGE(L11:L$20)/100,4)</f>
        <v>1.23E-2</v>
      </c>
    </row>
    <row r="12" spans="1:34" ht="13.5" thickBot="1">
      <c r="A12" s="2679" t="s">
        <v>969</v>
      </c>
      <c r="B12" s="2693">
        <f t="shared" si="27"/>
        <v>346.720748986128</v>
      </c>
      <c r="C12" s="2693">
        <f t="shared" si="27"/>
        <v>284.30282172386285</v>
      </c>
      <c r="D12" s="2693">
        <f t="shared" si="28"/>
        <v>284.30282172386285</v>
      </c>
      <c r="E12" s="2693">
        <f t="shared" si="29"/>
        <v>479.58023546306947</v>
      </c>
      <c r="F12" s="2693">
        <f t="shared" si="29"/>
        <v>253.25788877571213</v>
      </c>
      <c r="G12" s="3451"/>
      <c r="H12" s="2683">
        <v>1</v>
      </c>
      <c r="I12" s="2683">
        <v>4.09</v>
      </c>
      <c r="J12" s="2683">
        <v>2.93</v>
      </c>
      <c r="K12" s="2683">
        <v>4.54</v>
      </c>
      <c r="L12" s="2694">
        <v>1.48</v>
      </c>
      <c r="N12" s="2688">
        <f t="shared" si="30"/>
        <v>4.0899999999999999E-2</v>
      </c>
      <c r="O12" s="2689">
        <f t="shared" si="26"/>
        <v>2.9300000000000003E-2</v>
      </c>
      <c r="P12" s="2689">
        <f t="shared" si="26"/>
        <v>4.5400000000000003E-2</v>
      </c>
      <c r="Q12" s="2689">
        <f t="shared" si="26"/>
        <v>1.4800000000000001E-2</v>
      </c>
      <c r="R12" s="2690"/>
      <c r="S12" s="2696">
        <f>B12/B13-1</f>
        <v>4.1203450408792808E-2</v>
      </c>
      <c r="T12" s="2697">
        <f>C12/C13-1</f>
        <v>2.6363977342465095E-2</v>
      </c>
      <c r="U12" s="2697">
        <f>E12/E13-1</f>
        <v>4.4837114298626357E-2</v>
      </c>
      <c r="V12" s="2697">
        <f>F12/F13-1</f>
        <v>1.7099954922538574E-2</v>
      </c>
      <c r="X12" s="2778">
        <f>ROUND(SUMPRODUCT(PRODUCT(1+N12:N$19)),4)</f>
        <v>1.1269</v>
      </c>
      <c r="Y12" s="2778">
        <f>ROUND(SUMPRODUCT(PRODUCT(1+O12:O$19)),4)</f>
        <v>1.1052999999999999</v>
      </c>
      <c r="Z12" s="2778">
        <f t="shared" si="0"/>
        <v>1.1052999999999999</v>
      </c>
      <c r="AA12" s="2778">
        <f>ROUND(SUMPRODUCT(PRODUCT(1+P12:P$19)),4)</f>
        <v>1.1349</v>
      </c>
      <c r="AB12" s="2778">
        <f>ROUND(SUMPRODUCT(PRODUCT(1+Q12:Q$19)),4)</f>
        <v>1.0996999999999999</v>
      </c>
      <c r="AD12" s="2698">
        <f>ROUND(AVERAGE(I12:I$20)/100,4)</f>
        <v>1.67E-2</v>
      </c>
      <c r="AE12" s="2698">
        <f>ROUND(AVERAGE(J12:J$20)/100,4)</f>
        <v>1.38E-2</v>
      </c>
      <c r="AF12" s="2698">
        <f t="shared" si="1"/>
        <v>1.38E-2</v>
      </c>
      <c r="AG12" s="2698">
        <f>ROUND(AVERAGE(K12:K$20)/100,4)</f>
        <v>1.7899999999999999E-2</v>
      </c>
      <c r="AH12" s="2698">
        <f>ROUND(AVERAGE(L12:L$20)/100,4)</f>
        <v>1.21E-2</v>
      </c>
    </row>
    <row r="13" spans="1:34" ht="13.5" thickBot="1">
      <c r="A13" s="2679" t="s">
        <v>968</v>
      </c>
      <c r="B13" s="2685">
        <v>333</v>
      </c>
      <c r="C13" s="2685">
        <v>277</v>
      </c>
      <c r="D13" s="2685">
        <f t="shared" si="28"/>
        <v>277</v>
      </c>
      <c r="E13" s="2685">
        <v>459</v>
      </c>
      <c r="F13" s="2686">
        <v>249</v>
      </c>
      <c r="G13" s="3449">
        <v>2015</v>
      </c>
      <c r="H13" s="2699">
        <v>4</v>
      </c>
      <c r="I13" s="2699">
        <v>1.63</v>
      </c>
      <c r="J13" s="2699">
        <v>1.1100000000000001</v>
      </c>
      <c r="K13" s="2699">
        <v>1.77</v>
      </c>
      <c r="L13" s="2700">
        <v>1.89</v>
      </c>
      <c r="N13" s="2701">
        <f t="shared" si="30"/>
        <v>1.6299999999999999E-2</v>
      </c>
      <c r="O13" s="2702">
        <f t="shared" si="26"/>
        <v>1.11E-2</v>
      </c>
      <c r="P13" s="2702">
        <f t="shared" si="26"/>
        <v>1.77E-2</v>
      </c>
      <c r="Q13" s="2702">
        <f t="shared" si="26"/>
        <v>1.89E-2</v>
      </c>
      <c r="R13" s="2690"/>
      <c r="X13" s="2778">
        <f>ROUND(SUMPRODUCT(PRODUCT(1+N13:N$19)),4)</f>
        <v>1.0826</v>
      </c>
      <c r="Y13" s="2778">
        <f>ROUND(SUMPRODUCT(PRODUCT(1+O13:O$19)),4)</f>
        <v>1.0738000000000001</v>
      </c>
      <c r="Z13" s="2778">
        <f t="shared" si="0"/>
        <v>1.0738000000000001</v>
      </c>
      <c r="AA13" s="2778">
        <f>ROUND(SUMPRODUCT(PRODUCT(1+P13:P$19)),4)</f>
        <v>1.0855999999999999</v>
      </c>
      <c r="AB13" s="2778">
        <f>ROUND(SUMPRODUCT(PRODUCT(1+Q13:Q$19)),4)</f>
        <v>1.0837000000000001</v>
      </c>
      <c r="AD13" s="2698">
        <f>ROUND(AVERAGE(I13:I$20)/100,4)</f>
        <v>1.37E-2</v>
      </c>
      <c r="AE13" s="2698">
        <f>ROUND(AVERAGE(J13:J$20)/100,4)</f>
        <v>1.1900000000000001E-2</v>
      </c>
      <c r="AF13" s="2698">
        <f t="shared" si="1"/>
        <v>1.1900000000000001E-2</v>
      </c>
      <c r="AG13" s="2698">
        <f>ROUND(AVERAGE(K13:K$20)/100,4)</f>
        <v>1.4500000000000001E-2</v>
      </c>
      <c r="AH13" s="2698">
        <f>ROUND(AVERAGE(L13:L$20)/100,4)</f>
        <v>1.18E-2</v>
      </c>
    </row>
    <row r="14" spans="1:34">
      <c r="A14" s="2679" t="s">
        <v>967</v>
      </c>
      <c r="B14" s="2693">
        <f t="shared" ref="B14:C16" si="31">B13/(1+N13)</f>
        <v>327.65915576109415</v>
      </c>
      <c r="C14" s="2693">
        <f t="shared" si="31"/>
        <v>273.95905449510434</v>
      </c>
      <c r="D14" s="2693">
        <f t="shared" si="28"/>
        <v>273.95905449510434</v>
      </c>
      <c r="E14" s="2693">
        <f t="shared" ref="E14:F16" si="32">E13/(1+P13)</f>
        <v>451.01699911565294</v>
      </c>
      <c r="F14" s="2693">
        <f t="shared" si="32"/>
        <v>244.38119540681129</v>
      </c>
      <c r="G14" s="3450"/>
      <c r="H14" s="2704">
        <v>3</v>
      </c>
      <c r="I14" s="2704">
        <v>1.65</v>
      </c>
      <c r="J14" s="2704">
        <v>0.92</v>
      </c>
      <c r="K14" s="2704">
        <v>1.88</v>
      </c>
      <c r="L14" s="2705">
        <v>1.26</v>
      </c>
      <c r="N14" s="2688">
        <f t="shared" si="30"/>
        <v>1.6500000000000001E-2</v>
      </c>
      <c r="O14" s="2706">
        <f t="shared" si="26"/>
        <v>9.1999999999999998E-3</v>
      </c>
      <c r="P14" s="2706">
        <f t="shared" si="26"/>
        <v>1.8799999999999997E-2</v>
      </c>
      <c r="Q14" s="2706">
        <f t="shared" si="26"/>
        <v>1.26E-2</v>
      </c>
      <c r="R14" s="2690"/>
      <c r="S14" s="2688"/>
      <c r="T14" s="2689"/>
      <c r="U14" s="2689"/>
      <c r="V14" s="2689"/>
      <c r="X14" s="2778">
        <f>ROUND(SUMPRODUCT(PRODUCT(1+N14:N$19)),4)</f>
        <v>1.0651999999999999</v>
      </c>
      <c r="Y14" s="2778">
        <f>ROUND(SUMPRODUCT(PRODUCT(1+O14:O$19)),4)</f>
        <v>1.0621</v>
      </c>
      <c r="Z14" s="2778">
        <f t="shared" si="0"/>
        <v>1.0621</v>
      </c>
      <c r="AA14" s="2778">
        <f>ROUND(SUMPRODUCT(PRODUCT(1+P14:P$19)),4)</f>
        <v>1.0668</v>
      </c>
      <c r="AB14" s="2778">
        <f>ROUND(SUMPRODUCT(PRODUCT(1+Q14:Q$19)),4)</f>
        <v>1.0636000000000001</v>
      </c>
      <c r="AD14" s="2698">
        <f>ROUND(AVERAGE(I14:I$20)/100,4)</f>
        <v>1.3299999999999999E-2</v>
      </c>
      <c r="AE14" s="2698">
        <f>ROUND(AVERAGE(J14:J$20)/100,4)</f>
        <v>1.2E-2</v>
      </c>
      <c r="AF14" s="2698">
        <f t="shared" si="1"/>
        <v>1.2E-2</v>
      </c>
      <c r="AG14" s="2698">
        <f>ROUND(AVERAGE(K14:K$20)/100,4)</f>
        <v>1.4E-2</v>
      </c>
      <c r="AH14" s="2698">
        <f>ROUND(AVERAGE(L14:L$20)/100,4)</f>
        <v>1.0800000000000001E-2</v>
      </c>
    </row>
    <row r="15" spans="1:34">
      <c r="A15" s="2679" t="s">
        <v>966</v>
      </c>
      <c r="B15" s="2693">
        <f t="shared" si="31"/>
        <v>322.34053690220776</v>
      </c>
      <c r="C15" s="2693">
        <f t="shared" si="31"/>
        <v>271.46160770422546</v>
      </c>
      <c r="D15" s="2693">
        <f t="shared" si="28"/>
        <v>271.46160770422546</v>
      </c>
      <c r="E15" s="2693">
        <f t="shared" si="32"/>
        <v>442.69434542172456</v>
      </c>
      <c r="F15" s="2693">
        <f t="shared" si="32"/>
        <v>241.34030753190925</v>
      </c>
      <c r="G15" s="3450"/>
      <c r="H15" s="2684">
        <v>2</v>
      </c>
      <c r="I15" s="2684">
        <v>0.77</v>
      </c>
      <c r="J15" s="2684">
        <v>0.69</v>
      </c>
      <c r="K15" s="2684">
        <v>0.8</v>
      </c>
      <c r="L15" s="2695">
        <v>0.88</v>
      </c>
      <c r="N15" s="2688">
        <f t="shared" si="30"/>
        <v>7.7000000000000002E-3</v>
      </c>
      <c r="O15" s="2706">
        <f t="shared" si="26"/>
        <v>6.8999999999999999E-3</v>
      </c>
      <c r="P15" s="2706">
        <f t="shared" si="26"/>
        <v>8.0000000000000002E-3</v>
      </c>
      <c r="Q15" s="2706">
        <f t="shared" si="26"/>
        <v>8.8000000000000005E-3</v>
      </c>
      <c r="R15" s="2690"/>
      <c r="S15" s="2688"/>
      <c r="T15" s="2689"/>
      <c r="U15" s="2689"/>
      <c r="V15" s="2689"/>
      <c r="X15" s="2778">
        <f>ROUND(SUMPRODUCT(PRODUCT(1+N15:N$19)),4)</f>
        <v>1.048</v>
      </c>
      <c r="Y15" s="2778">
        <f>ROUND(SUMPRODUCT(PRODUCT(1+O15:O$19)),4)</f>
        <v>1.0524</v>
      </c>
      <c r="Z15" s="2778">
        <f t="shared" si="0"/>
        <v>1.0524</v>
      </c>
      <c r="AA15" s="2778">
        <f>ROUND(SUMPRODUCT(PRODUCT(1+P15:P$19)),4)</f>
        <v>1.0470999999999999</v>
      </c>
      <c r="AB15" s="2778">
        <f>ROUND(SUMPRODUCT(PRODUCT(1+Q15:Q$19)),4)</f>
        <v>1.0504</v>
      </c>
      <c r="AD15" s="2698">
        <f>ROUND(AVERAGE(I15:I$20)/100,4)</f>
        <v>1.2800000000000001E-2</v>
      </c>
      <c r="AE15" s="2698">
        <f>ROUND(AVERAGE(J15:J$20)/100,4)</f>
        <v>1.2500000000000001E-2</v>
      </c>
      <c r="AF15" s="2698">
        <f t="shared" si="1"/>
        <v>1.2500000000000001E-2</v>
      </c>
      <c r="AG15" s="2698">
        <f>ROUND(AVERAGE(K15:K$20)/100,4)</f>
        <v>1.32E-2</v>
      </c>
      <c r="AH15" s="2698">
        <f>ROUND(AVERAGE(L15:L$20)/100,4)</f>
        <v>1.0500000000000001E-2</v>
      </c>
    </row>
    <row r="16" spans="1:34">
      <c r="A16" s="2679" t="s">
        <v>965</v>
      </c>
      <c r="B16" s="2693">
        <f t="shared" si="31"/>
        <v>319.87748030386797</v>
      </c>
      <c r="C16" s="2693">
        <f t="shared" si="31"/>
        <v>269.60135833173649</v>
      </c>
      <c r="D16" s="2693">
        <f t="shared" si="28"/>
        <v>269.60135833173649</v>
      </c>
      <c r="E16" s="2693">
        <f t="shared" si="32"/>
        <v>439.18089823583784</v>
      </c>
      <c r="F16" s="2693">
        <f t="shared" si="32"/>
        <v>239.23503918706311</v>
      </c>
      <c r="G16" s="3451"/>
      <c r="H16" s="2683">
        <v>1</v>
      </c>
      <c r="I16" s="2683">
        <v>0.51</v>
      </c>
      <c r="J16" s="2683">
        <v>0.54</v>
      </c>
      <c r="K16" s="2683">
        <v>0.48</v>
      </c>
      <c r="L16" s="2694">
        <v>0.93</v>
      </c>
      <c r="N16" s="2696">
        <f t="shared" si="30"/>
        <v>5.1000000000000004E-3</v>
      </c>
      <c r="O16" s="2697">
        <f t="shared" si="26"/>
        <v>5.4000000000000003E-3</v>
      </c>
      <c r="P16" s="2697">
        <f t="shared" si="26"/>
        <v>4.7999999999999996E-3</v>
      </c>
      <c r="Q16" s="2697">
        <f t="shared" si="26"/>
        <v>9.300000000000001E-3</v>
      </c>
      <c r="R16" s="2690"/>
      <c r="S16" s="2696">
        <f>B16/B17-1</f>
        <v>5.9040261127922822E-3</v>
      </c>
      <c r="T16" s="2697">
        <f>C16/C17-1</f>
        <v>5.9752176557332781E-3</v>
      </c>
      <c r="U16" s="2697">
        <f>E16/E17-1</f>
        <v>4.9906138119859556E-3</v>
      </c>
      <c r="V16" s="2697">
        <f>F16/F17-1</f>
        <v>9.4305450930933787E-3</v>
      </c>
      <c r="X16" s="2778">
        <f>ROUND(SUMPRODUCT(PRODUCT(1+N16:N$19)),4)</f>
        <v>1.0399</v>
      </c>
      <c r="Y16" s="2778">
        <f>ROUND(SUMPRODUCT(PRODUCT(1+O16:O$19)),4)</f>
        <v>1.0451999999999999</v>
      </c>
      <c r="Z16" s="2778">
        <f t="shared" si="0"/>
        <v>1.0451999999999999</v>
      </c>
      <c r="AA16" s="2778">
        <f>ROUND(SUMPRODUCT(PRODUCT(1+P16:P$19)),4)</f>
        <v>1.0387999999999999</v>
      </c>
      <c r="AB16" s="2778">
        <f>ROUND(SUMPRODUCT(PRODUCT(1+Q16:Q$19)),4)</f>
        <v>1.0411999999999999</v>
      </c>
      <c r="AD16" s="2698">
        <f>ROUND(AVERAGE(I16:I$20)/100,4)</f>
        <v>1.38E-2</v>
      </c>
      <c r="AE16" s="2698">
        <f>ROUND(AVERAGE(J16:J$20)/100,4)</f>
        <v>1.3599999999999999E-2</v>
      </c>
      <c r="AF16" s="2698">
        <f t="shared" si="1"/>
        <v>1.3599999999999999E-2</v>
      </c>
      <c r="AG16" s="2698">
        <f>ROUND(AVERAGE(K16:K$20)/100,4)</f>
        <v>1.4200000000000001E-2</v>
      </c>
      <c r="AH16" s="2698">
        <f>ROUND(AVERAGE(L16:L$20)/100,4)</f>
        <v>1.0800000000000001E-2</v>
      </c>
    </row>
    <row r="17" spans="1:34" ht="13.5" thickBot="1">
      <c r="A17" s="2679" t="s">
        <v>964</v>
      </c>
      <c r="B17" s="2707">
        <v>318</v>
      </c>
      <c r="C17" s="2707">
        <v>268</v>
      </c>
      <c r="D17" s="2707">
        <f t="shared" si="28"/>
        <v>268</v>
      </c>
      <c r="E17" s="2707">
        <v>437</v>
      </c>
      <c r="F17" s="2708">
        <v>237</v>
      </c>
      <c r="G17" s="3449">
        <v>2014</v>
      </c>
      <c r="H17" s="2699">
        <v>4</v>
      </c>
      <c r="I17" s="2699">
        <v>0.21</v>
      </c>
      <c r="J17" s="2699">
        <v>0.41</v>
      </c>
      <c r="K17" s="2699">
        <v>0.12</v>
      </c>
      <c r="L17" s="2700">
        <v>0.89</v>
      </c>
      <c r="N17" s="2688">
        <f t="shared" si="30"/>
        <v>2.0999999999999999E-3</v>
      </c>
      <c r="O17" s="2689">
        <f t="shared" si="26"/>
        <v>4.0999999999999995E-3</v>
      </c>
      <c r="P17" s="2689">
        <f t="shared" si="26"/>
        <v>1.1999999999999999E-3</v>
      </c>
      <c r="Q17" s="2689">
        <f t="shared" si="26"/>
        <v>8.8999999999999999E-3</v>
      </c>
      <c r="R17" s="2690"/>
      <c r="S17" s="2691"/>
      <c r="T17" s="2692"/>
      <c r="U17" s="2692"/>
      <c r="V17" s="2692"/>
      <c r="X17" s="2778">
        <f>ROUND(SUMPRODUCT(PRODUCT(1+N17:N$19)),4)</f>
        <v>1.0347</v>
      </c>
      <c r="Y17" s="2778">
        <f>ROUND(SUMPRODUCT(PRODUCT(1+O17:O$19)),4)</f>
        <v>1.0395000000000001</v>
      </c>
      <c r="Z17" s="2778">
        <f t="shared" si="0"/>
        <v>1.0395000000000001</v>
      </c>
      <c r="AA17" s="2778">
        <f>ROUND(SUMPRODUCT(PRODUCT(1+P17:P$19)),4)</f>
        <v>1.0338000000000001</v>
      </c>
      <c r="AB17" s="2778">
        <f>ROUND(SUMPRODUCT(PRODUCT(1+Q17:Q$19)),4)</f>
        <v>1.0316000000000001</v>
      </c>
      <c r="AD17" s="2698">
        <f>ROUND(AVERAGE(I17:I$20)/100,4)</f>
        <v>1.6E-2</v>
      </c>
      <c r="AE17" s="2698">
        <f>ROUND(AVERAGE(J17:J$20)/100,4)</f>
        <v>1.5599999999999999E-2</v>
      </c>
      <c r="AF17" s="2698">
        <f t="shared" si="1"/>
        <v>1.5599999999999999E-2</v>
      </c>
      <c r="AG17" s="2698">
        <f>ROUND(AVERAGE(K17:K$20)/100,4)</f>
        <v>1.66E-2</v>
      </c>
      <c r="AH17" s="2698">
        <f>ROUND(AVERAGE(L17:L$20)/100,4)</f>
        <v>1.12E-2</v>
      </c>
    </row>
    <row r="18" spans="1:34">
      <c r="A18" s="2679" t="s">
        <v>963</v>
      </c>
      <c r="B18" s="2693">
        <f t="shared" ref="B18:C20" si="33">B17/(1+N17)</f>
        <v>317.33359944117353</v>
      </c>
      <c r="C18" s="2693">
        <f t="shared" si="33"/>
        <v>266.90568668459315</v>
      </c>
      <c r="D18" s="2693">
        <f t="shared" si="28"/>
        <v>266.90568668459315</v>
      </c>
      <c r="E18" s="2693">
        <f t="shared" ref="E18:F20" si="34">E17/(1+P17)</f>
        <v>436.47622852576905</v>
      </c>
      <c r="F18" s="2693">
        <f t="shared" si="34"/>
        <v>234.90930716622066</v>
      </c>
      <c r="G18" s="3450"/>
      <c r="H18" s="2709">
        <v>3</v>
      </c>
      <c r="I18" s="2709">
        <v>0.83</v>
      </c>
      <c r="J18" s="2709">
        <v>1.47</v>
      </c>
      <c r="K18" s="2709">
        <v>0.65</v>
      </c>
      <c r="L18" s="2710">
        <v>0.72</v>
      </c>
      <c r="N18" s="2688">
        <f t="shared" si="30"/>
        <v>8.3000000000000001E-3</v>
      </c>
      <c r="O18" s="2689">
        <f t="shared" si="26"/>
        <v>1.47E-2</v>
      </c>
      <c r="P18" s="2689">
        <f t="shared" si="26"/>
        <v>6.5000000000000006E-3</v>
      </c>
      <c r="Q18" s="2689">
        <f t="shared" si="26"/>
        <v>7.1999999999999998E-3</v>
      </c>
      <c r="R18" s="2690"/>
      <c r="S18" s="2688"/>
      <c r="T18" s="2689"/>
      <c r="U18" s="2689"/>
      <c r="V18" s="2689"/>
      <c r="X18" s="2778">
        <f>ROUND(SUMPRODUCT(PRODUCT(1+N18:N$19)),4)</f>
        <v>1.0325</v>
      </c>
      <c r="Y18" s="2778">
        <f>ROUND(SUMPRODUCT(PRODUCT(1+O18:O$19)),4)</f>
        <v>1.0353000000000001</v>
      </c>
      <c r="Z18" s="2778">
        <f t="shared" ref="Z18:Z19" si="35">Y18</f>
        <v>1.0353000000000001</v>
      </c>
      <c r="AA18" s="2778">
        <f>ROUND(SUMPRODUCT(PRODUCT(1+P18:P$19)),4)</f>
        <v>1.0326</v>
      </c>
      <c r="AB18" s="2778">
        <f>ROUND(SUMPRODUCT(PRODUCT(1+Q18:Q$19)),4)</f>
        <v>1.0225</v>
      </c>
      <c r="AD18" s="2698">
        <f>ROUND(AVERAGE(I18:I$20)/100,4)</f>
        <v>2.07E-2</v>
      </c>
      <c r="AE18" s="2698">
        <f>ROUND(AVERAGE(J18:J$20)/100,4)</f>
        <v>1.95E-2</v>
      </c>
      <c r="AF18" s="2698">
        <f t="shared" si="1"/>
        <v>1.95E-2</v>
      </c>
      <c r="AG18" s="2698">
        <f>ROUND(AVERAGE(K18:K$20)/100,4)</f>
        <v>2.1700000000000001E-2</v>
      </c>
      <c r="AH18" s="2698">
        <f>ROUND(AVERAGE(L18:L$20)/100,4)</f>
        <v>1.2E-2</v>
      </c>
    </row>
    <row r="19" spans="1:34" ht="13.5" thickBot="1">
      <c r="A19" s="2679" t="s">
        <v>962</v>
      </c>
      <c r="B19" s="2693">
        <f t="shared" si="33"/>
        <v>314.72141172386546</v>
      </c>
      <c r="C19" s="2693">
        <f t="shared" si="33"/>
        <v>263.03901319069001</v>
      </c>
      <c r="D19" s="2693">
        <f t="shared" si="28"/>
        <v>263.03901319069001</v>
      </c>
      <c r="E19" s="2693">
        <f t="shared" si="34"/>
        <v>433.65745506782821</v>
      </c>
      <c r="F19" s="2693">
        <f t="shared" si="34"/>
        <v>233.23005080045735</v>
      </c>
      <c r="G19" s="3450"/>
      <c r="H19" s="2699">
        <v>2</v>
      </c>
      <c r="I19" s="2699">
        <v>2.4</v>
      </c>
      <c r="J19" s="2699">
        <v>2.0299999999999998</v>
      </c>
      <c r="K19" s="2699">
        <v>2.59</v>
      </c>
      <c r="L19" s="2700">
        <v>1.52</v>
      </c>
      <c r="N19" s="2688">
        <f t="shared" si="30"/>
        <v>2.4E-2</v>
      </c>
      <c r="O19" s="2689">
        <f t="shared" si="26"/>
        <v>2.0299999999999999E-2</v>
      </c>
      <c r="P19" s="2689">
        <f t="shared" si="26"/>
        <v>2.5899999999999999E-2</v>
      </c>
      <c r="Q19" s="2689">
        <f t="shared" si="26"/>
        <v>1.52E-2</v>
      </c>
      <c r="R19" s="2690"/>
      <c r="S19" s="2688"/>
      <c r="T19" s="2689"/>
      <c r="U19" s="2689"/>
      <c r="V19" s="2689"/>
      <c r="X19" s="2778">
        <f>1+N19</f>
        <v>1.024</v>
      </c>
      <c r="Y19" s="2778">
        <f>1+O19</f>
        <v>1.0203</v>
      </c>
      <c r="Z19" s="2778">
        <f t="shared" si="35"/>
        <v>1.0203</v>
      </c>
      <c r="AA19" s="2778">
        <f>1+P19</f>
        <v>1.0259</v>
      </c>
      <c r="AB19" s="2778">
        <f>1+Q19</f>
        <v>1.0152000000000001</v>
      </c>
      <c r="AD19" s="2698">
        <f>ROUND(AVERAGE(I19:I$20)/100,4)</f>
        <v>2.69E-2</v>
      </c>
      <c r="AE19" s="2698">
        <f>ROUND(AVERAGE(J19:J$20)/100,4)</f>
        <v>2.1899999999999999E-2</v>
      </c>
      <c r="AF19" s="2698">
        <f t="shared" ref="AF19" si="36">AE19</f>
        <v>2.1899999999999999E-2</v>
      </c>
      <c r="AG19" s="2698">
        <f>ROUND(AVERAGE(K19:K$20)/100,4)</f>
        <v>2.9399999999999999E-2</v>
      </c>
      <c r="AH19" s="2698">
        <f>ROUND(AVERAGE(L19:L$20)/100,4)</f>
        <v>1.44E-2</v>
      </c>
    </row>
    <row r="20" spans="1:34" s="2715" customFormat="1" ht="13.5" thickBot="1">
      <c r="A20" s="2711" t="s">
        <v>961</v>
      </c>
      <c r="B20" s="2712">
        <f t="shared" si="33"/>
        <v>307.34512863658733</v>
      </c>
      <c r="C20" s="2712">
        <f t="shared" si="33"/>
        <v>257.80556031626975</v>
      </c>
      <c r="D20" s="2712">
        <f t="shared" si="28"/>
        <v>257.80556031626975</v>
      </c>
      <c r="E20" s="2712">
        <f t="shared" si="34"/>
        <v>422.70928459677179</v>
      </c>
      <c r="F20" s="2712">
        <f t="shared" si="34"/>
        <v>229.73803270336617</v>
      </c>
      <c r="G20" s="3451"/>
      <c r="H20" s="2713">
        <v>1</v>
      </c>
      <c r="I20" s="2713">
        <v>2.97</v>
      </c>
      <c r="J20" s="2713">
        <v>2.34</v>
      </c>
      <c r="K20" s="2713">
        <v>3.28</v>
      </c>
      <c r="L20" s="2714">
        <v>1.36</v>
      </c>
      <c r="N20" s="2716">
        <f t="shared" si="30"/>
        <v>2.9700000000000001E-2</v>
      </c>
      <c r="O20" s="2717">
        <f t="shared" si="26"/>
        <v>2.3399999999999997E-2</v>
      </c>
      <c r="P20" s="2717">
        <f t="shared" si="26"/>
        <v>3.2799999999999996E-2</v>
      </c>
      <c r="Q20" s="2717">
        <f t="shared" si="26"/>
        <v>1.3600000000000001E-2</v>
      </c>
      <c r="R20" s="2718"/>
      <c r="S20" s="2719">
        <f>B20/B21-1</f>
        <v>2.7910129219355539E-2</v>
      </c>
      <c r="T20" s="2720">
        <f>C20/C21-1</f>
        <v>2.3037937762975247E-2</v>
      </c>
      <c r="U20" s="2720">
        <f>E20/E21-1</f>
        <v>3.3519033243940788E-2</v>
      </c>
      <c r="V20" s="2720">
        <f>F20/F21-1</f>
        <v>1.2061818076502862E-2</v>
      </c>
      <c r="W20" s="2788" t="s">
        <v>2642</v>
      </c>
      <c r="X20" s="2790">
        <v>1</v>
      </c>
      <c r="Y20" s="2790">
        <v>1</v>
      </c>
      <c r="Z20" s="2790">
        <v>1</v>
      </c>
      <c r="AA20" s="2790">
        <v>1</v>
      </c>
      <c r="AB20" s="2790">
        <v>1</v>
      </c>
      <c r="AD20" s="3034">
        <f>I20/100</f>
        <v>2.9700000000000001E-2</v>
      </c>
      <c r="AE20" s="3034">
        <f>J20/100</f>
        <v>2.3399999999999997E-2</v>
      </c>
      <c r="AF20" s="3034">
        <f>AE20</f>
        <v>2.3399999999999997E-2</v>
      </c>
      <c r="AG20" s="3034">
        <f>K20/100</f>
        <v>3.2799999999999996E-2</v>
      </c>
      <c r="AH20" s="3034">
        <f>L20/100</f>
        <v>1.3600000000000001E-2</v>
      </c>
    </row>
    <row r="21" spans="1:34" ht="13.5" thickBot="1">
      <c r="A21" s="2679" t="s">
        <v>2584</v>
      </c>
      <c r="B21" s="2685">
        <v>299</v>
      </c>
      <c r="C21" s="2685">
        <v>252</v>
      </c>
      <c r="D21" s="2685">
        <f t="shared" si="28"/>
        <v>252</v>
      </c>
      <c r="E21" s="2685">
        <v>409</v>
      </c>
      <c r="F21" s="2686">
        <v>227</v>
      </c>
      <c r="G21" s="3456">
        <v>2013</v>
      </c>
      <c r="H21" s="2721">
        <v>4</v>
      </c>
      <c r="I21" s="2721">
        <v>1.83</v>
      </c>
      <c r="J21" s="2721">
        <v>1.68</v>
      </c>
      <c r="K21" s="2721">
        <v>1.97</v>
      </c>
      <c r="L21" s="2722">
        <v>0.87</v>
      </c>
      <c r="N21" s="2701">
        <f t="shared" si="30"/>
        <v>1.83E-2</v>
      </c>
      <c r="O21" s="2702">
        <f t="shared" si="26"/>
        <v>1.6799999999999999E-2</v>
      </c>
      <c r="P21" s="2702">
        <f t="shared" si="26"/>
        <v>1.9699999999999999E-2</v>
      </c>
      <c r="Q21" s="2702">
        <f t="shared" si="26"/>
        <v>8.6999999999999994E-3</v>
      </c>
      <c r="R21" s="2690"/>
      <c r="S21" s="2691"/>
      <c r="T21" s="2692"/>
      <c r="U21" s="2692"/>
      <c r="V21" s="2692"/>
      <c r="X21" s="2692"/>
      <c r="Y21" s="2692"/>
      <c r="Z21" s="2692"/>
    </row>
    <row r="22" spans="1:34">
      <c r="A22" s="2679" t="s">
        <v>2585</v>
      </c>
      <c r="B22" s="2693">
        <f t="shared" ref="B22:C24" si="37">B21/(1+N21)</f>
        <v>293.62663262299913</v>
      </c>
      <c r="C22" s="2693">
        <f t="shared" si="37"/>
        <v>247.83634933123525</v>
      </c>
      <c r="D22" s="2693">
        <f t="shared" si="28"/>
        <v>247.83634933123525</v>
      </c>
      <c r="E22" s="2693">
        <f t="shared" ref="E22:F24" si="38">E21/(1+P21)</f>
        <v>401.09836226341076</v>
      </c>
      <c r="F22" s="2693">
        <f t="shared" si="38"/>
        <v>225.04213343908003</v>
      </c>
      <c r="G22" s="3457"/>
      <c r="H22" s="2704">
        <v>3</v>
      </c>
      <c r="I22" s="2704">
        <v>1.86</v>
      </c>
      <c r="J22" s="2704">
        <v>1.72</v>
      </c>
      <c r="K22" s="2704">
        <v>1.98</v>
      </c>
      <c r="L22" s="2705">
        <v>0.88</v>
      </c>
      <c r="N22" s="2688">
        <f t="shared" si="30"/>
        <v>1.8600000000000002E-2</v>
      </c>
      <c r="O22" s="2706">
        <f t="shared" si="26"/>
        <v>1.72E-2</v>
      </c>
      <c r="P22" s="2706">
        <f t="shared" si="26"/>
        <v>1.9799999999999998E-2</v>
      </c>
      <c r="Q22" s="2706">
        <f t="shared" si="26"/>
        <v>8.8000000000000005E-3</v>
      </c>
      <c r="R22" s="2690"/>
      <c r="S22" s="2688"/>
      <c r="T22" s="2689"/>
      <c r="U22" s="2689"/>
      <c r="V22" s="2689"/>
    </row>
    <row r="23" spans="1:34">
      <c r="A23" s="2679" t="s">
        <v>2586</v>
      </c>
      <c r="B23" s="2693">
        <f t="shared" si="37"/>
        <v>288.2649053828776</v>
      </c>
      <c r="C23" s="2693">
        <f t="shared" si="37"/>
        <v>243.64564425013293</v>
      </c>
      <c r="D23" s="2693">
        <f t="shared" si="28"/>
        <v>243.64564425013293</v>
      </c>
      <c r="E23" s="2693">
        <f t="shared" si="38"/>
        <v>393.31080825986544</v>
      </c>
      <c r="F23" s="2693">
        <f t="shared" si="38"/>
        <v>223.07903790551154</v>
      </c>
      <c r="G23" s="3457"/>
      <c r="H23" s="2684">
        <v>2</v>
      </c>
      <c r="I23" s="2684">
        <v>2.04</v>
      </c>
      <c r="J23" s="2684">
        <v>2.33</v>
      </c>
      <c r="K23" s="2684">
        <v>2.0699999999999998</v>
      </c>
      <c r="L23" s="2695">
        <v>0.69</v>
      </c>
      <c r="N23" s="2688">
        <f t="shared" si="30"/>
        <v>2.0400000000000001E-2</v>
      </c>
      <c r="O23" s="2706">
        <f t="shared" si="26"/>
        <v>2.3300000000000001E-2</v>
      </c>
      <c r="P23" s="2706">
        <f t="shared" si="26"/>
        <v>2.07E-2</v>
      </c>
      <c r="Q23" s="2706">
        <f t="shared" si="26"/>
        <v>6.8999999999999999E-3</v>
      </c>
      <c r="R23" s="2690"/>
      <c r="S23" s="2688"/>
      <c r="T23" s="2689"/>
      <c r="U23" s="2689"/>
      <c r="V23" s="2689"/>
      <c r="X23" s="2791"/>
      <c r="Y23" s="2793"/>
    </row>
    <row r="24" spans="1:34">
      <c r="A24" s="2679" t="s">
        <v>2587</v>
      </c>
      <c r="B24" s="2693">
        <f t="shared" si="37"/>
        <v>282.50186729015837</v>
      </c>
      <c r="C24" s="2693">
        <f t="shared" si="37"/>
        <v>238.09796174155468</v>
      </c>
      <c r="D24" s="2693">
        <f t="shared" si="28"/>
        <v>238.09796174155468</v>
      </c>
      <c r="E24" s="2693">
        <f t="shared" si="38"/>
        <v>385.33438646014054</v>
      </c>
      <c r="F24" s="2693">
        <f t="shared" si="38"/>
        <v>221.55034055567739</v>
      </c>
      <c r="G24" s="3458"/>
      <c r="H24" s="2683">
        <v>1</v>
      </c>
      <c r="I24" s="2683">
        <v>1.67</v>
      </c>
      <c r="J24" s="2683">
        <v>1.31</v>
      </c>
      <c r="K24" s="2683">
        <v>1.85</v>
      </c>
      <c r="L24" s="2694">
        <v>0.96</v>
      </c>
      <c r="N24" s="2696">
        <f t="shared" si="30"/>
        <v>1.67E-2</v>
      </c>
      <c r="O24" s="2697">
        <f t="shared" si="26"/>
        <v>1.3100000000000001E-2</v>
      </c>
      <c r="P24" s="2697">
        <f t="shared" si="26"/>
        <v>1.8500000000000003E-2</v>
      </c>
      <c r="Q24" s="2697">
        <f t="shared" si="26"/>
        <v>9.5999999999999992E-3</v>
      </c>
      <c r="R24" s="2690"/>
      <c r="S24" s="2696">
        <f>B24/B25-1</f>
        <v>1.6193767230785472E-2</v>
      </c>
      <c r="T24" s="2697">
        <f>C24/C25-1</f>
        <v>1.7512657015190891E-2</v>
      </c>
      <c r="U24" s="2697">
        <f>E24/E25-1</f>
        <v>1.6713420739157048E-2</v>
      </c>
      <c r="V24" s="2697">
        <f>F24/F25-1</f>
        <v>7.0470025258062563E-3</v>
      </c>
      <c r="X24" s="2792"/>
      <c r="Y24" s="2698"/>
      <c r="Z24" s="2698"/>
    </row>
    <row r="25" spans="1:34" ht="13.5" thickBot="1">
      <c r="A25" s="2679" t="s">
        <v>2588</v>
      </c>
      <c r="B25" s="2723">
        <v>278</v>
      </c>
      <c r="C25" s="2723">
        <v>234</v>
      </c>
      <c r="D25" s="2723">
        <f t="shared" si="28"/>
        <v>234</v>
      </c>
      <c r="E25" s="2723">
        <v>379</v>
      </c>
      <c r="F25" s="2724">
        <v>220</v>
      </c>
      <c r="G25" s="3449">
        <v>2012</v>
      </c>
      <c r="H25" s="2699">
        <v>4</v>
      </c>
      <c r="I25" s="2699">
        <v>0.91</v>
      </c>
      <c r="J25" s="2699">
        <v>0.68</v>
      </c>
      <c r="K25" s="2699">
        <v>0.98</v>
      </c>
      <c r="L25" s="2700">
        <v>0.9</v>
      </c>
      <c r="N25" s="2688">
        <f t="shared" si="30"/>
        <v>9.1000000000000004E-3</v>
      </c>
      <c r="O25" s="2689">
        <f t="shared" si="30"/>
        <v>6.8000000000000005E-3</v>
      </c>
      <c r="P25" s="2689">
        <f t="shared" si="30"/>
        <v>9.7999999999999997E-3</v>
      </c>
      <c r="Q25" s="2689">
        <f t="shared" si="30"/>
        <v>9.0000000000000011E-3</v>
      </c>
      <c r="R25" s="2690"/>
      <c r="S25" s="2691"/>
      <c r="T25" s="2692"/>
      <c r="U25" s="2692"/>
      <c r="V25" s="2692"/>
      <c r="X25" s="2692"/>
      <c r="Y25" s="2692"/>
      <c r="Z25" s="2692"/>
    </row>
    <row r="26" spans="1:34">
      <c r="A26" s="2679" t="s">
        <v>2589</v>
      </c>
      <c r="B26" s="2693">
        <f>B25/(1+N25)</f>
        <v>275.49301357645425</v>
      </c>
      <c r="C26" s="2693">
        <f>C25/(1+O25)</f>
        <v>232.41954707985698</v>
      </c>
      <c r="D26" s="2693">
        <f t="shared" si="28"/>
        <v>232.41954707985698</v>
      </c>
      <c r="E26" s="2693">
        <f t="shared" ref="E26:F28" si="39">E25/(1+P25)</f>
        <v>375.32184591008121</v>
      </c>
      <c r="F26" s="2693">
        <f t="shared" si="39"/>
        <v>218.03766105054513</v>
      </c>
      <c r="G26" s="3450"/>
      <c r="H26" s="2704">
        <v>3</v>
      </c>
      <c r="I26" s="2704">
        <v>0.09</v>
      </c>
      <c r="J26" s="2704">
        <v>0.28999999999999998</v>
      </c>
      <c r="K26" s="2704">
        <v>-0.01</v>
      </c>
      <c r="L26" s="2705">
        <v>0.57999999999999996</v>
      </c>
      <c r="N26" s="2688">
        <f t="shared" si="30"/>
        <v>8.9999999999999998E-4</v>
      </c>
      <c r="O26" s="2689">
        <f t="shared" si="30"/>
        <v>2.8999999999999998E-3</v>
      </c>
      <c r="P26" s="2689">
        <f t="shared" si="30"/>
        <v>-1E-4</v>
      </c>
      <c r="Q26" s="2689">
        <f t="shared" si="30"/>
        <v>5.7999999999999996E-3</v>
      </c>
      <c r="R26" s="2690"/>
      <c r="S26" s="2688"/>
      <c r="T26" s="2689"/>
      <c r="U26" s="2689"/>
      <c r="V26" s="2689"/>
    </row>
    <row r="27" spans="1:34">
      <c r="A27" s="2679" t="s">
        <v>2590</v>
      </c>
      <c r="B27" s="2693">
        <f>B26/(1+N26)</f>
        <v>275.24529281292263</v>
      </c>
      <c r="C27" s="2693">
        <f>C26/(1+O26)</f>
        <v>231.74747938962707</v>
      </c>
      <c r="D27" s="2693">
        <f t="shared" si="28"/>
        <v>231.74747938962707</v>
      </c>
      <c r="E27" s="2693">
        <f t="shared" si="39"/>
        <v>375.35938184826603</v>
      </c>
      <c r="F27" s="2693">
        <f t="shared" si="39"/>
        <v>216.78033510692495</v>
      </c>
      <c r="G27" s="3450"/>
      <c r="H27" s="2684">
        <v>2</v>
      </c>
      <c r="I27" s="2684">
        <v>0.02</v>
      </c>
      <c r="J27" s="2684">
        <v>0.12</v>
      </c>
      <c r="K27" s="2684">
        <v>-0.08</v>
      </c>
      <c r="L27" s="2695">
        <v>1.24</v>
      </c>
      <c r="N27" s="2688">
        <f t="shared" si="30"/>
        <v>2.0000000000000001E-4</v>
      </c>
      <c r="O27" s="2689">
        <f t="shared" si="30"/>
        <v>1.1999999999999999E-3</v>
      </c>
      <c r="P27" s="2689">
        <f t="shared" si="30"/>
        <v>-8.0000000000000004E-4</v>
      </c>
      <c r="Q27" s="2689">
        <f t="shared" si="30"/>
        <v>1.24E-2</v>
      </c>
      <c r="R27" s="2690"/>
      <c r="S27" s="2688"/>
      <c r="T27" s="2689"/>
      <c r="U27" s="2689"/>
      <c r="V27" s="2689"/>
    </row>
    <row r="28" spans="1:34" ht="13.5" thickBot="1">
      <c r="A28" s="2679" t="s">
        <v>2591</v>
      </c>
      <c r="B28" s="2693">
        <f>B27/(1+N27)</f>
        <v>275.19025476197027</v>
      </c>
      <c r="C28" s="2725">
        <v>232</v>
      </c>
      <c r="D28" s="2725">
        <f t="shared" si="28"/>
        <v>232</v>
      </c>
      <c r="E28" s="2693">
        <f t="shared" si="39"/>
        <v>375.65990977608692</v>
      </c>
      <c r="F28" s="2693">
        <f t="shared" si="39"/>
        <v>214.12518283971252</v>
      </c>
      <c r="G28" s="3451"/>
      <c r="H28" s="2683">
        <v>1</v>
      </c>
      <c r="I28" s="2683">
        <v>0.02</v>
      </c>
      <c r="J28" s="2683">
        <v>0.13</v>
      </c>
      <c r="K28" s="2683">
        <v>-0.04</v>
      </c>
      <c r="L28" s="2694">
        <v>0.46</v>
      </c>
      <c r="N28" s="2688">
        <f t="shared" si="30"/>
        <v>2.0000000000000001E-4</v>
      </c>
      <c r="O28" s="2689">
        <f t="shared" si="30"/>
        <v>1.2999999999999999E-3</v>
      </c>
      <c r="P28" s="2689">
        <f t="shared" si="30"/>
        <v>-4.0000000000000002E-4</v>
      </c>
      <c r="Q28" s="2689">
        <f t="shared" si="30"/>
        <v>4.5999999999999999E-3</v>
      </c>
      <c r="R28" s="2690"/>
      <c r="S28" s="2696">
        <f>B28/B29-1</f>
        <v>6.9183549807361189E-4</v>
      </c>
      <c r="T28" s="2697">
        <f>C28/C29-1</f>
        <v>0</v>
      </c>
      <c r="U28" s="2697">
        <f>E28/E29-1</f>
        <v>-9.0449527636460303E-4</v>
      </c>
      <c r="V28" s="2697">
        <f>F28/F29-1</f>
        <v>5.2825485432512753E-3</v>
      </c>
      <c r="X28" s="2698"/>
      <c r="Y28" s="2698"/>
      <c r="Z28" s="2698"/>
    </row>
    <row r="29" spans="1:34" ht="13.5" thickBot="1">
      <c r="A29" s="2679" t="s">
        <v>2592</v>
      </c>
      <c r="B29" s="2685">
        <v>275</v>
      </c>
      <c r="C29" s="2685">
        <v>232</v>
      </c>
      <c r="D29" s="2685">
        <f t="shared" si="28"/>
        <v>232</v>
      </c>
      <c r="E29" s="2685">
        <v>376</v>
      </c>
      <c r="F29" s="2686">
        <v>213</v>
      </c>
      <c r="G29" s="3449">
        <v>2011</v>
      </c>
      <c r="H29" s="2699">
        <v>4</v>
      </c>
      <c r="I29" s="2699">
        <v>-0.2</v>
      </c>
      <c r="J29" s="2699">
        <v>0.04</v>
      </c>
      <c r="K29" s="2699">
        <v>-0.34</v>
      </c>
      <c r="L29" s="2700">
        <v>0.46</v>
      </c>
      <c r="N29" s="2701">
        <f t="shared" si="30"/>
        <v>-2E-3</v>
      </c>
      <c r="O29" s="2702">
        <f t="shared" si="30"/>
        <v>4.0000000000000002E-4</v>
      </c>
      <c r="P29" s="2702">
        <f t="shared" si="30"/>
        <v>-3.4000000000000002E-3</v>
      </c>
      <c r="Q29" s="2702">
        <f t="shared" si="30"/>
        <v>4.5999999999999999E-3</v>
      </c>
      <c r="R29" s="2690"/>
      <c r="S29" s="2691"/>
      <c r="T29" s="2692"/>
      <c r="U29" s="2692"/>
      <c r="V29" s="2692"/>
      <c r="X29" s="2692"/>
      <c r="Y29" s="2692"/>
      <c r="Z29" s="2692"/>
    </row>
    <row r="30" spans="1:34">
      <c r="A30" s="2679" t="s">
        <v>2593</v>
      </c>
      <c r="B30" s="2693">
        <f t="shared" ref="B30:C32" si="40">B29/(1+N29)</f>
        <v>275.55110220440883</v>
      </c>
      <c r="C30" s="2693">
        <f t="shared" si="40"/>
        <v>231.90723710515795</v>
      </c>
      <c r="D30" s="2693">
        <f t="shared" si="28"/>
        <v>231.90723710515795</v>
      </c>
      <c r="E30" s="2693">
        <f t="shared" ref="E30:F32" si="41">E29/(1+P29)</f>
        <v>377.28276138872161</v>
      </c>
      <c r="F30" s="2693">
        <f t="shared" si="41"/>
        <v>212.02468644236512</v>
      </c>
      <c r="G30" s="3450">
        <v>2011</v>
      </c>
      <c r="H30" s="2704">
        <v>3</v>
      </c>
      <c r="I30" s="2704">
        <v>0.13</v>
      </c>
      <c r="J30" s="2704">
        <v>0.75</v>
      </c>
      <c r="K30" s="2704">
        <v>-0.08</v>
      </c>
      <c r="L30" s="2705">
        <v>0.53</v>
      </c>
      <c r="N30" s="2688">
        <f t="shared" si="30"/>
        <v>1.2999999999999999E-3</v>
      </c>
      <c r="O30" s="2706">
        <f t="shared" si="30"/>
        <v>7.4999999999999997E-3</v>
      </c>
      <c r="P30" s="2706">
        <f t="shared" si="30"/>
        <v>-8.0000000000000004E-4</v>
      </c>
      <c r="Q30" s="2706">
        <f t="shared" si="30"/>
        <v>5.3E-3</v>
      </c>
      <c r="R30" s="2690"/>
      <c r="S30" s="2688"/>
      <c r="T30" s="2689"/>
      <c r="U30" s="2689"/>
      <c r="V30" s="2689"/>
    </row>
    <row r="31" spans="1:34">
      <c r="A31" s="2679" t="s">
        <v>2594</v>
      </c>
      <c r="B31" s="2693">
        <f t="shared" si="40"/>
        <v>275.19335084830601</v>
      </c>
      <c r="C31" s="2693">
        <f t="shared" si="40"/>
        <v>230.18088050139744</v>
      </c>
      <c r="D31" s="2693">
        <f t="shared" si="28"/>
        <v>230.18088050139744</v>
      </c>
      <c r="E31" s="2693">
        <f t="shared" si="41"/>
        <v>377.58482925212331</v>
      </c>
      <c r="F31" s="2693">
        <f t="shared" si="41"/>
        <v>210.90687997847917</v>
      </c>
      <c r="G31" s="3450">
        <v>2011</v>
      </c>
      <c r="H31" s="2684">
        <v>2</v>
      </c>
      <c r="I31" s="2684">
        <v>-0.4</v>
      </c>
      <c r="J31" s="2684">
        <v>0.17</v>
      </c>
      <c r="K31" s="2684">
        <v>-0.57999999999999996</v>
      </c>
      <c r="L31" s="2695">
        <v>-0.2</v>
      </c>
      <c r="N31" s="2688">
        <f t="shared" si="30"/>
        <v>-4.0000000000000001E-3</v>
      </c>
      <c r="O31" s="2706">
        <f t="shared" si="30"/>
        <v>1.7000000000000001E-3</v>
      </c>
      <c r="P31" s="2706">
        <f t="shared" si="30"/>
        <v>-5.7999999999999996E-3</v>
      </c>
      <c r="Q31" s="2706">
        <f t="shared" si="30"/>
        <v>-2E-3</v>
      </c>
      <c r="R31" s="2690"/>
      <c r="S31" s="2688"/>
      <c r="T31" s="2689"/>
      <c r="U31" s="2689"/>
      <c r="V31" s="2689"/>
    </row>
    <row r="32" spans="1:34" ht="13.5" thickBot="1">
      <c r="A32" s="2679" t="s">
        <v>2595</v>
      </c>
      <c r="B32" s="2693">
        <f t="shared" si="40"/>
        <v>276.29854502841971</v>
      </c>
      <c r="C32" s="2693">
        <f t="shared" si="40"/>
        <v>229.79023709833027</v>
      </c>
      <c r="D32" s="2693">
        <f t="shared" si="28"/>
        <v>229.79023709833027</v>
      </c>
      <c r="E32" s="2693">
        <f t="shared" si="41"/>
        <v>379.78759731655936</v>
      </c>
      <c r="F32" s="2693">
        <f t="shared" si="41"/>
        <v>211.32953905659235</v>
      </c>
      <c r="G32" s="3451">
        <v>2011</v>
      </c>
      <c r="H32" s="2683">
        <v>1</v>
      </c>
      <c r="I32" s="2683">
        <v>2.65</v>
      </c>
      <c r="J32" s="2683">
        <v>3.76</v>
      </c>
      <c r="K32" s="2683">
        <v>1.89</v>
      </c>
      <c r="L32" s="2694">
        <v>7.95</v>
      </c>
      <c r="N32" s="2696">
        <f t="shared" si="30"/>
        <v>2.6499999999999999E-2</v>
      </c>
      <c r="O32" s="2697">
        <f t="shared" si="30"/>
        <v>3.7599999999999995E-2</v>
      </c>
      <c r="P32" s="2697">
        <f t="shared" si="30"/>
        <v>1.89E-2</v>
      </c>
      <c r="Q32" s="2697">
        <f t="shared" si="30"/>
        <v>7.9500000000000001E-2</v>
      </c>
      <c r="R32" s="2690"/>
      <c r="S32" s="2696">
        <f>B32/B33-1</f>
        <v>2.713213765211786E-2</v>
      </c>
      <c r="T32" s="2697">
        <f>C32/C33-1</f>
        <v>3.9774828499231862E-2</v>
      </c>
      <c r="U32" s="2697">
        <f>E32/E33-1</f>
        <v>1.8197311840641772E-2</v>
      </c>
      <c r="V32" s="2697">
        <f>F32/F33-1</f>
        <v>7.8211933962205826E-2</v>
      </c>
      <c r="X32" s="2698"/>
      <c r="Y32" s="2698"/>
      <c r="Z32" s="2698"/>
    </row>
    <row r="33" spans="1:26" ht="13.5" thickBot="1">
      <c r="A33" s="2679" t="s">
        <v>2596</v>
      </c>
      <c r="B33" s="2685">
        <v>269</v>
      </c>
      <c r="C33" s="2685">
        <v>221</v>
      </c>
      <c r="D33" s="2685">
        <f t="shared" si="28"/>
        <v>221</v>
      </c>
      <c r="E33" s="2685">
        <v>373</v>
      </c>
      <c r="F33" s="2686">
        <v>196</v>
      </c>
      <c r="G33" s="3449">
        <v>2010</v>
      </c>
      <c r="H33" s="2699">
        <v>4</v>
      </c>
      <c r="I33" s="2699">
        <v>5.72</v>
      </c>
      <c r="J33" s="2699">
        <v>6.57</v>
      </c>
      <c r="K33" s="2699">
        <v>5.72</v>
      </c>
      <c r="L33" s="2700">
        <v>2.72</v>
      </c>
      <c r="N33" s="2688">
        <f t="shared" si="30"/>
        <v>5.7200000000000001E-2</v>
      </c>
      <c r="O33" s="2689">
        <f t="shared" si="30"/>
        <v>6.5700000000000008E-2</v>
      </c>
      <c r="P33" s="2689">
        <f t="shared" si="30"/>
        <v>5.7200000000000001E-2</v>
      </c>
      <c r="Q33" s="2689">
        <f t="shared" si="30"/>
        <v>2.7200000000000002E-2</v>
      </c>
      <c r="R33" s="2690"/>
      <c r="S33" s="2691"/>
      <c r="T33" s="2692"/>
      <c r="U33" s="2692"/>
      <c r="V33" s="2692"/>
      <c r="X33" s="2692"/>
      <c r="Y33" s="2692"/>
      <c r="Z33" s="2692"/>
    </row>
    <row r="34" spans="1:26">
      <c r="A34" s="2679" t="s">
        <v>2597</v>
      </c>
      <c r="B34" s="2693">
        <f t="shared" ref="B34:C36" si="42">B33/(1+N33)</f>
        <v>254.44570563753314</v>
      </c>
      <c r="C34" s="2693">
        <f t="shared" si="42"/>
        <v>207.37543398705074</v>
      </c>
      <c r="D34" s="2693">
        <f t="shared" si="28"/>
        <v>207.37543398705074</v>
      </c>
      <c r="E34" s="2693">
        <f t="shared" ref="E34:F36" si="43">E33/(1+P33)</f>
        <v>352.81876655315932</v>
      </c>
      <c r="F34" s="2693">
        <f t="shared" si="43"/>
        <v>190.809968847352</v>
      </c>
      <c r="G34" s="3450">
        <v>2010</v>
      </c>
      <c r="H34" s="2704">
        <v>3</v>
      </c>
      <c r="I34" s="2704">
        <v>4.7300000000000004</v>
      </c>
      <c r="J34" s="2704">
        <v>3.9</v>
      </c>
      <c r="K34" s="2704">
        <v>5.03</v>
      </c>
      <c r="L34" s="2705">
        <v>4.21</v>
      </c>
      <c r="N34" s="2688">
        <f t="shared" si="30"/>
        <v>4.7300000000000002E-2</v>
      </c>
      <c r="O34" s="2689">
        <f t="shared" si="30"/>
        <v>3.9E-2</v>
      </c>
      <c r="P34" s="2689">
        <f t="shared" si="30"/>
        <v>5.0300000000000004E-2</v>
      </c>
      <c r="Q34" s="2689">
        <f t="shared" si="30"/>
        <v>4.2099999999999999E-2</v>
      </c>
      <c r="R34" s="2690"/>
      <c r="S34" s="2688"/>
      <c r="T34" s="2689"/>
      <c r="U34" s="2689"/>
      <c r="V34" s="2689"/>
    </row>
    <row r="35" spans="1:26">
      <c r="A35" s="2679" t="s">
        <v>2598</v>
      </c>
      <c r="B35" s="2693">
        <f t="shared" si="42"/>
        <v>242.95398227588385</v>
      </c>
      <c r="C35" s="2693">
        <f t="shared" si="42"/>
        <v>199.59137053614126</v>
      </c>
      <c r="D35" s="2693">
        <f t="shared" si="28"/>
        <v>199.59137053614126</v>
      </c>
      <c r="E35" s="2693">
        <f t="shared" si="43"/>
        <v>335.92189522342125</v>
      </c>
      <c r="F35" s="2693">
        <f t="shared" si="43"/>
        <v>183.10139991109489</v>
      </c>
      <c r="G35" s="3450">
        <v>2010</v>
      </c>
      <c r="H35" s="2684">
        <v>2</v>
      </c>
      <c r="I35" s="2684">
        <v>4.6900000000000004</v>
      </c>
      <c r="J35" s="2684">
        <v>3.55</v>
      </c>
      <c r="K35" s="2684">
        <v>5.07</v>
      </c>
      <c r="L35" s="2695">
        <v>4.2300000000000004</v>
      </c>
      <c r="N35" s="2688">
        <f t="shared" si="30"/>
        <v>4.6900000000000004E-2</v>
      </c>
      <c r="O35" s="2689">
        <f t="shared" si="30"/>
        <v>3.5499999999999997E-2</v>
      </c>
      <c r="P35" s="2689">
        <f t="shared" si="30"/>
        <v>5.0700000000000002E-2</v>
      </c>
      <c r="Q35" s="2689">
        <f t="shared" si="30"/>
        <v>4.2300000000000004E-2</v>
      </c>
      <c r="R35" s="2690"/>
      <c r="S35" s="2688"/>
      <c r="T35" s="2689"/>
      <c r="U35" s="2689"/>
      <c r="V35" s="2689"/>
    </row>
    <row r="36" spans="1:26" ht="13.5" thickBot="1">
      <c r="A36" s="2679" t="s">
        <v>2599</v>
      </c>
      <c r="B36" s="2693">
        <f t="shared" si="42"/>
        <v>232.06990378821649</v>
      </c>
      <c r="C36" s="2693">
        <f t="shared" si="42"/>
        <v>192.74878854286936</v>
      </c>
      <c r="D36" s="2693">
        <f t="shared" si="28"/>
        <v>192.74878854286936</v>
      </c>
      <c r="E36" s="2693">
        <f t="shared" si="43"/>
        <v>319.71247284992984</v>
      </c>
      <c r="F36" s="2693">
        <f t="shared" si="43"/>
        <v>175.67053622862409</v>
      </c>
      <c r="G36" s="3451">
        <v>2010</v>
      </c>
      <c r="H36" s="2683">
        <v>1</v>
      </c>
      <c r="I36" s="2683">
        <v>5.4</v>
      </c>
      <c r="J36" s="2683">
        <v>3.2</v>
      </c>
      <c r="K36" s="2683">
        <v>6.16</v>
      </c>
      <c r="L36" s="2694">
        <v>4.51</v>
      </c>
      <c r="N36" s="2688">
        <f t="shared" si="30"/>
        <v>5.4000000000000006E-2</v>
      </c>
      <c r="O36" s="2689">
        <f t="shared" si="30"/>
        <v>3.2000000000000001E-2</v>
      </c>
      <c r="P36" s="2689">
        <f t="shared" si="30"/>
        <v>6.1600000000000002E-2</v>
      </c>
      <c r="Q36" s="2689">
        <f t="shared" si="30"/>
        <v>4.5100000000000001E-2</v>
      </c>
      <c r="R36" s="2690"/>
      <c r="S36" s="2696">
        <f>B36/B37-1</f>
        <v>5.4863199037347599E-2</v>
      </c>
      <c r="T36" s="2697">
        <f>C36/C37-1</f>
        <v>3.0742184721226584E-2</v>
      </c>
      <c r="U36" s="2697">
        <f>E36/E37-1</f>
        <v>6.2167683886810154E-2</v>
      </c>
      <c r="V36" s="2697">
        <f>F36/F37-1</f>
        <v>4.5657953741810031E-2</v>
      </c>
      <c r="X36" s="2698"/>
      <c r="Y36" s="2698"/>
      <c r="Z36" s="2698"/>
    </row>
    <row r="37" spans="1:26" ht="13.5" thickBot="1">
      <c r="A37" s="2679" t="s">
        <v>2600</v>
      </c>
      <c r="B37" s="2685">
        <v>220</v>
      </c>
      <c r="C37" s="2685">
        <v>187</v>
      </c>
      <c r="D37" s="2685">
        <f t="shared" si="28"/>
        <v>187</v>
      </c>
      <c r="E37" s="2685">
        <v>301</v>
      </c>
      <c r="F37" s="2686">
        <v>168</v>
      </c>
      <c r="G37" s="3449">
        <v>2009</v>
      </c>
      <c r="H37" s="2699">
        <v>4</v>
      </c>
      <c r="I37" s="2699">
        <v>2.2999999999999998</v>
      </c>
      <c r="J37" s="2699">
        <v>1.04</v>
      </c>
      <c r="K37" s="2699">
        <v>2.84</v>
      </c>
      <c r="L37" s="2700">
        <v>0.67</v>
      </c>
      <c r="N37" s="2701">
        <f t="shared" si="30"/>
        <v>2.3E-2</v>
      </c>
      <c r="O37" s="2702">
        <f t="shared" si="30"/>
        <v>1.04E-2</v>
      </c>
      <c r="P37" s="2702">
        <f t="shared" si="30"/>
        <v>2.8399999999999998E-2</v>
      </c>
      <c r="Q37" s="2702">
        <f t="shared" si="30"/>
        <v>6.7000000000000002E-3</v>
      </c>
      <c r="R37" s="2690"/>
      <c r="S37" s="2691"/>
      <c r="T37" s="2692"/>
      <c r="U37" s="2692"/>
      <c r="V37" s="2692"/>
      <c r="X37" s="2692"/>
      <c r="Y37" s="2692"/>
      <c r="Z37" s="2692"/>
    </row>
    <row r="38" spans="1:26">
      <c r="A38" s="2679" t="s">
        <v>2601</v>
      </c>
      <c r="B38" s="2693">
        <f t="shared" ref="B38:C40" si="44">B37/(1+N37)</f>
        <v>215.05376344086022</v>
      </c>
      <c r="C38" s="2693">
        <f t="shared" si="44"/>
        <v>185.0752177355503</v>
      </c>
      <c r="D38" s="2693">
        <f t="shared" si="28"/>
        <v>185.0752177355503</v>
      </c>
      <c r="E38" s="2693">
        <f t="shared" ref="E38:F40" si="45">E37/(1+P37)</f>
        <v>292.68767016725008</v>
      </c>
      <c r="F38" s="2693">
        <f t="shared" si="45"/>
        <v>166.88189132810174</v>
      </c>
      <c r="G38" s="3450">
        <v>2009</v>
      </c>
      <c r="H38" s="2704">
        <v>3</v>
      </c>
      <c r="I38" s="2704">
        <v>2.1</v>
      </c>
      <c r="J38" s="2704">
        <v>1.86</v>
      </c>
      <c r="K38" s="2704">
        <v>2.29</v>
      </c>
      <c r="L38" s="2705">
        <v>0.85</v>
      </c>
      <c r="N38" s="2688">
        <f t="shared" si="30"/>
        <v>2.1000000000000001E-2</v>
      </c>
      <c r="O38" s="2706">
        <f t="shared" si="30"/>
        <v>1.8600000000000002E-2</v>
      </c>
      <c r="P38" s="2706">
        <f t="shared" si="30"/>
        <v>2.29E-2</v>
      </c>
      <c r="Q38" s="2706">
        <f t="shared" si="30"/>
        <v>8.5000000000000006E-3</v>
      </c>
      <c r="R38" s="2690"/>
      <c r="S38" s="2688"/>
      <c r="T38" s="2689"/>
      <c r="U38" s="2689"/>
      <c r="V38" s="2689"/>
    </row>
    <row r="39" spans="1:26">
      <c r="A39" s="2679" t="s">
        <v>2602</v>
      </c>
      <c r="B39" s="2693">
        <f t="shared" si="44"/>
        <v>210.630522469011</v>
      </c>
      <c r="C39" s="2693">
        <f t="shared" si="44"/>
        <v>181.69567812247232</v>
      </c>
      <c r="D39" s="2693">
        <f t="shared" si="28"/>
        <v>181.69567812247232</v>
      </c>
      <c r="E39" s="2693">
        <f t="shared" si="45"/>
        <v>286.13517466736738</v>
      </c>
      <c r="F39" s="2693">
        <f t="shared" si="45"/>
        <v>165.47535084591149</v>
      </c>
      <c r="G39" s="3450">
        <v>2009</v>
      </c>
      <c r="H39" s="2684">
        <v>2</v>
      </c>
      <c r="I39" s="2684">
        <v>0.86</v>
      </c>
      <c r="J39" s="2684">
        <v>-1.1299999999999999</v>
      </c>
      <c r="K39" s="2684">
        <v>1.79</v>
      </c>
      <c r="L39" s="2695">
        <v>-2.0699999999999998</v>
      </c>
      <c r="N39" s="2688">
        <f t="shared" si="30"/>
        <v>8.6E-3</v>
      </c>
      <c r="O39" s="2706">
        <f t="shared" si="30"/>
        <v>-1.1299999999999999E-2</v>
      </c>
      <c r="P39" s="2706">
        <f t="shared" si="30"/>
        <v>1.7899999999999999E-2</v>
      </c>
      <c r="Q39" s="2706">
        <f t="shared" si="30"/>
        <v>-2.07E-2</v>
      </c>
      <c r="R39" s="2690"/>
      <c r="S39" s="2688"/>
      <c r="T39" s="2689"/>
      <c r="U39" s="2689"/>
      <c r="V39" s="2689"/>
    </row>
    <row r="40" spans="1:26">
      <c r="A40" s="2679" t="s">
        <v>2603</v>
      </c>
      <c r="B40" s="2693">
        <f t="shared" si="44"/>
        <v>208.83454537875372</v>
      </c>
      <c r="C40" s="2693">
        <f t="shared" si="44"/>
        <v>183.77230517090351</v>
      </c>
      <c r="D40" s="2693">
        <f t="shared" si="28"/>
        <v>183.77230517090351</v>
      </c>
      <c r="E40" s="2693">
        <f t="shared" si="45"/>
        <v>281.10342338870947</v>
      </c>
      <c r="F40" s="2693">
        <f t="shared" si="45"/>
        <v>168.97309388942256</v>
      </c>
      <c r="G40" s="3451">
        <v>2009</v>
      </c>
      <c r="H40" s="2683">
        <v>1</v>
      </c>
      <c r="I40" s="2683">
        <v>-2.64</v>
      </c>
      <c r="J40" s="2683">
        <v>-2.5299999999999998</v>
      </c>
      <c r="K40" s="2683">
        <v>-3.02</v>
      </c>
      <c r="L40" s="2694">
        <v>1.52</v>
      </c>
      <c r="N40" s="2696">
        <f t="shared" si="30"/>
        <v>-2.64E-2</v>
      </c>
      <c r="O40" s="2697">
        <f t="shared" si="30"/>
        <v>-2.53E-2</v>
      </c>
      <c r="P40" s="2697">
        <f t="shared" si="30"/>
        <v>-3.0200000000000001E-2</v>
      </c>
      <c r="Q40" s="2697">
        <f t="shared" si="30"/>
        <v>1.52E-2</v>
      </c>
      <c r="R40" s="2690"/>
      <c r="S40" s="2696">
        <f>B40/B41-1</f>
        <v>-2.4137638417038754E-2</v>
      </c>
      <c r="T40" s="2697">
        <f>C40/C41-1</f>
        <v>-2.248773845264096E-2</v>
      </c>
      <c r="U40" s="2697">
        <f>E40/E41-1</f>
        <v>-2.7323794502735366E-2</v>
      </c>
      <c r="V40" s="2697">
        <f>F40/F41-1</f>
        <v>1.7910204153148035E-2</v>
      </c>
      <c r="X40" s="2698"/>
      <c r="Y40" s="2698"/>
      <c r="Z40" s="2698"/>
    </row>
    <row r="41" spans="1:26" ht="13.5" thickBot="1">
      <c r="A41" s="2679" t="s">
        <v>2604</v>
      </c>
      <c r="B41" s="2723">
        <v>214</v>
      </c>
      <c r="C41" s="2723">
        <v>188</v>
      </c>
      <c r="D41" s="2723">
        <f t="shared" si="28"/>
        <v>188</v>
      </c>
      <c r="E41" s="2723">
        <v>289</v>
      </c>
      <c r="F41" s="2724">
        <v>166</v>
      </c>
      <c r="G41" s="3449">
        <v>2008</v>
      </c>
      <c r="H41" s="2699">
        <v>4</v>
      </c>
      <c r="I41" s="2699">
        <v>1.73</v>
      </c>
      <c r="J41" s="2699">
        <v>0.03</v>
      </c>
      <c r="K41" s="2699">
        <v>2.59</v>
      </c>
      <c r="L41" s="2700">
        <v>-1.66</v>
      </c>
      <c r="N41" s="2688">
        <f t="shared" si="30"/>
        <v>1.7299999999999999E-2</v>
      </c>
      <c r="O41" s="2689">
        <f t="shared" si="30"/>
        <v>2.9999999999999997E-4</v>
      </c>
      <c r="P41" s="2689">
        <f t="shared" si="30"/>
        <v>2.5899999999999999E-2</v>
      </c>
      <c r="Q41" s="2689">
        <f t="shared" si="30"/>
        <v>-1.66E-2</v>
      </c>
      <c r="R41" s="2690"/>
      <c r="S41" s="2691"/>
      <c r="T41" s="2692"/>
      <c r="U41" s="2692"/>
      <c r="V41" s="2692"/>
      <c r="X41" s="2692"/>
      <c r="Y41" s="2692"/>
      <c r="Z41" s="2692"/>
    </row>
    <row r="42" spans="1:26">
      <c r="A42" s="2679" t="s">
        <v>2605</v>
      </c>
      <c r="B42" s="2693">
        <f t="shared" ref="B42:C44" si="46">B41/(1+N41)</f>
        <v>210.36075887152265</v>
      </c>
      <c r="C42" s="2693">
        <f t="shared" si="46"/>
        <v>187.94361691492554</v>
      </c>
      <c r="D42" s="2693">
        <f t="shared" si="28"/>
        <v>187.94361691492554</v>
      </c>
      <c r="E42" s="2693">
        <f t="shared" ref="E42:F44" si="47">E41/(1+P41)</f>
        <v>281.70386977288234</v>
      </c>
      <c r="F42" s="2693">
        <f t="shared" si="47"/>
        <v>168.80211511083994</v>
      </c>
      <c r="G42" s="3450">
        <v>2008</v>
      </c>
      <c r="H42" s="2704">
        <v>3</v>
      </c>
      <c r="I42" s="2704">
        <v>1.96</v>
      </c>
      <c r="J42" s="2704">
        <v>2.36</v>
      </c>
      <c r="K42" s="2704">
        <v>1.82</v>
      </c>
      <c r="L42" s="2705">
        <v>2.2200000000000002</v>
      </c>
      <c r="N42" s="2688">
        <f t="shared" si="30"/>
        <v>1.9599999999999999E-2</v>
      </c>
      <c r="O42" s="2689">
        <f t="shared" si="30"/>
        <v>2.3599999999999999E-2</v>
      </c>
      <c r="P42" s="2689">
        <f t="shared" si="30"/>
        <v>1.8200000000000001E-2</v>
      </c>
      <c r="Q42" s="2689">
        <f t="shared" si="30"/>
        <v>2.2200000000000001E-2</v>
      </c>
      <c r="R42" s="2690"/>
      <c r="S42" s="2688"/>
      <c r="T42" s="2689"/>
      <c r="U42" s="2689"/>
      <c r="V42" s="2689"/>
    </row>
    <row r="43" spans="1:26">
      <c r="A43" s="2679" t="s">
        <v>2606</v>
      </c>
      <c r="B43" s="2693">
        <f t="shared" si="46"/>
        <v>206.31694671589116</v>
      </c>
      <c r="C43" s="2693">
        <f t="shared" si="46"/>
        <v>183.61041121036101</v>
      </c>
      <c r="D43" s="2693">
        <f t="shared" si="28"/>
        <v>183.61041121036101</v>
      </c>
      <c r="E43" s="2693">
        <f t="shared" si="47"/>
        <v>276.66850301795557</v>
      </c>
      <c r="F43" s="2693">
        <f t="shared" si="47"/>
        <v>165.1360938278614</v>
      </c>
      <c r="G43" s="3450">
        <v>2008</v>
      </c>
      <c r="H43" s="2684">
        <v>2</v>
      </c>
      <c r="I43" s="2684">
        <v>4.93</v>
      </c>
      <c r="J43" s="2684">
        <v>7.38</v>
      </c>
      <c r="K43" s="2684">
        <v>3.98</v>
      </c>
      <c r="L43" s="2695">
        <v>6.86</v>
      </c>
      <c r="N43" s="2688">
        <f t="shared" si="30"/>
        <v>4.9299999999999997E-2</v>
      </c>
      <c r="O43" s="2689">
        <f t="shared" si="30"/>
        <v>7.3800000000000004E-2</v>
      </c>
      <c r="P43" s="2689">
        <f t="shared" si="30"/>
        <v>3.9800000000000002E-2</v>
      </c>
      <c r="Q43" s="2689">
        <f t="shared" si="30"/>
        <v>6.8600000000000008E-2</v>
      </c>
      <c r="R43" s="2690"/>
      <c r="S43" s="2688"/>
      <c r="T43" s="2689"/>
      <c r="U43" s="2689"/>
      <c r="V43" s="2689"/>
    </row>
    <row r="44" spans="1:26" s="2729" customFormat="1" ht="13.5" thickBot="1">
      <c r="A44" s="2679" t="s">
        <v>2607</v>
      </c>
      <c r="B44" s="2726">
        <f t="shared" si="46"/>
        <v>196.62341248059772</v>
      </c>
      <c r="C44" s="2726">
        <f t="shared" si="46"/>
        <v>170.99125648199012</v>
      </c>
      <c r="D44" s="2726">
        <f t="shared" si="28"/>
        <v>170.99125648199012</v>
      </c>
      <c r="E44" s="2726">
        <f t="shared" si="47"/>
        <v>266.07857570490052</v>
      </c>
      <c r="F44" s="2726">
        <f t="shared" si="47"/>
        <v>154.53499328828505</v>
      </c>
      <c r="G44" s="3451">
        <v>2008</v>
      </c>
      <c r="H44" s="2727">
        <v>1</v>
      </c>
      <c r="I44" s="2727">
        <v>4.1399999999999997</v>
      </c>
      <c r="J44" s="2727">
        <v>3.45</v>
      </c>
      <c r="K44" s="2727">
        <v>4.95</v>
      </c>
      <c r="L44" s="2728">
        <v>4.82</v>
      </c>
      <c r="N44" s="2730">
        <f t="shared" si="30"/>
        <v>4.1399999999999999E-2</v>
      </c>
      <c r="O44" s="2731">
        <f t="shared" si="30"/>
        <v>3.4500000000000003E-2</v>
      </c>
      <c r="P44" s="2731">
        <f t="shared" si="30"/>
        <v>4.9500000000000002E-2</v>
      </c>
      <c r="Q44" s="2731">
        <f t="shared" si="30"/>
        <v>4.82E-2</v>
      </c>
      <c r="R44" s="2732"/>
      <c r="S44" s="2730">
        <f>B44/B45-1</f>
        <v>4.5869215322328349E-2</v>
      </c>
      <c r="T44" s="2731">
        <f>C44/C45-1</f>
        <v>3.6310645345394743E-2</v>
      </c>
      <c r="U44" s="2731">
        <f>E44/E45-1</f>
        <v>4.7553447657088688E-2</v>
      </c>
      <c r="V44" s="2731">
        <f>F44/F45-1</f>
        <v>4.4155360055980086E-2</v>
      </c>
      <c r="X44" s="2733"/>
      <c r="Y44" s="2733"/>
      <c r="Z44" s="2733"/>
    </row>
    <row r="45" spans="1:26" ht="13.5" thickBot="1">
      <c r="A45" s="2679" t="s">
        <v>2608</v>
      </c>
      <c r="B45" s="2685">
        <v>188</v>
      </c>
      <c r="C45" s="2685">
        <v>165</v>
      </c>
      <c r="D45" s="2685">
        <f t="shared" si="28"/>
        <v>165</v>
      </c>
      <c r="E45" s="2685">
        <v>254</v>
      </c>
      <c r="F45" s="2686">
        <v>148</v>
      </c>
      <c r="G45" s="3449">
        <v>2007</v>
      </c>
      <c r="H45" s="2734">
        <v>4</v>
      </c>
      <c r="I45" s="2734">
        <v>5.51</v>
      </c>
      <c r="J45" s="2734">
        <v>4.8899999999999997</v>
      </c>
      <c r="K45" s="2734">
        <v>6.43</v>
      </c>
      <c r="L45" s="2735">
        <v>5.36</v>
      </c>
      <c r="N45" s="2736">
        <f t="shared" ref="N45:O48" si="48">B45/B46-1</f>
        <v>4.1339718365245526E-2</v>
      </c>
      <c r="O45" s="2737">
        <f t="shared" si="48"/>
        <v>4.0324492593776018E-2</v>
      </c>
      <c r="P45" s="2737">
        <f t="shared" ref="P45:Q48" si="49">E45/E46-1</f>
        <v>6.1625555347990968E-2</v>
      </c>
      <c r="Q45" s="2737">
        <f t="shared" si="49"/>
        <v>4.6757569250590603E-2</v>
      </c>
      <c r="R45" s="2690"/>
      <c r="S45" s="2691"/>
      <c r="T45" s="2692"/>
      <c r="U45" s="2692"/>
      <c r="V45" s="2692"/>
      <c r="X45" s="2692"/>
      <c r="Y45" s="2692"/>
      <c r="Z45" s="2692"/>
    </row>
    <row r="46" spans="1:26">
      <c r="A46" s="2679" t="s">
        <v>2609</v>
      </c>
      <c r="B46" s="2693">
        <f t="shared" ref="B46:C48" si="50">B47+(B$45-B$49)*I46/SUM(I$45:I$48)</f>
        <v>180.5366651097618</v>
      </c>
      <c r="C46" s="2693">
        <f t="shared" si="50"/>
        <v>158.60435967302453</v>
      </c>
      <c r="D46" s="2693">
        <f t="shared" si="28"/>
        <v>158.60435967302453</v>
      </c>
      <c r="E46" s="2693">
        <f t="shared" ref="E46:F48" si="51">E47+(E$45-E$49)*K46/SUM(K$45:K$48)</f>
        <v>239.25573260785075</v>
      </c>
      <c r="F46" s="2693">
        <f t="shared" si="51"/>
        <v>141.38899430740037</v>
      </c>
      <c r="G46" s="3450">
        <v>2007</v>
      </c>
      <c r="H46" s="2704">
        <v>3</v>
      </c>
      <c r="I46" s="2704">
        <v>8.65</v>
      </c>
      <c r="J46" s="2704">
        <v>8.06</v>
      </c>
      <c r="K46" s="2704">
        <v>9.94</v>
      </c>
      <c r="L46" s="2705">
        <v>5.8</v>
      </c>
      <c r="N46" s="2736">
        <f t="shared" si="48"/>
        <v>6.940217571740015E-2</v>
      </c>
      <c r="O46" s="2737">
        <f t="shared" si="48"/>
        <v>7.1197482471153428E-2</v>
      </c>
      <c r="P46" s="2737">
        <f t="shared" si="49"/>
        <v>0.10529679922579582</v>
      </c>
      <c r="Q46" s="2737">
        <f t="shared" si="49"/>
        <v>5.3292245059512133E-2</v>
      </c>
      <c r="R46" s="2690"/>
      <c r="S46" s="2688"/>
      <c r="T46" s="2689"/>
      <c r="U46" s="2689"/>
      <c r="V46" s="2689"/>
      <c r="X46" s="2738"/>
      <c r="Y46" s="2738"/>
      <c r="Z46" s="2738"/>
    </row>
    <row r="47" spans="1:26">
      <c r="A47" s="2679" t="s">
        <v>2610</v>
      </c>
      <c r="B47" s="2693">
        <f t="shared" si="50"/>
        <v>168.82017748715555</v>
      </c>
      <c r="C47" s="2693">
        <f t="shared" si="50"/>
        <v>148.06267029972753</v>
      </c>
      <c r="D47" s="2693">
        <f t="shared" si="28"/>
        <v>148.06267029972753</v>
      </c>
      <c r="E47" s="2693">
        <f t="shared" si="51"/>
        <v>216.46288379323747</v>
      </c>
      <c r="F47" s="2693">
        <f t="shared" si="51"/>
        <v>134.23529411764704</v>
      </c>
      <c r="G47" s="3450">
        <v>2007</v>
      </c>
      <c r="H47" s="2684">
        <v>2</v>
      </c>
      <c r="I47" s="2684">
        <v>3.67</v>
      </c>
      <c r="J47" s="2684">
        <v>2.3199999999999998</v>
      </c>
      <c r="K47" s="2684">
        <v>5.0199999999999996</v>
      </c>
      <c r="L47" s="2695">
        <v>6.71</v>
      </c>
      <c r="N47" s="2736">
        <f t="shared" si="48"/>
        <v>3.0339138143848032E-2</v>
      </c>
      <c r="O47" s="2737">
        <f t="shared" si="48"/>
        <v>2.0922341588790472E-2</v>
      </c>
      <c r="P47" s="2737">
        <f t="shared" si="49"/>
        <v>5.6164796592717003E-2</v>
      </c>
      <c r="Q47" s="2737">
        <f t="shared" si="49"/>
        <v>6.5704536723887319E-2</v>
      </c>
      <c r="R47" s="2690"/>
      <c r="S47" s="2688"/>
      <c r="T47" s="2689"/>
      <c r="U47" s="2689"/>
      <c r="V47" s="2689"/>
      <c r="X47" s="2738"/>
      <c r="Y47" s="2738"/>
      <c r="Z47" s="2738"/>
    </row>
    <row r="48" spans="1:26">
      <c r="A48" s="2679" t="s">
        <v>2611</v>
      </c>
      <c r="B48" s="2693">
        <f t="shared" si="50"/>
        <v>163.84913591779542</v>
      </c>
      <c r="C48" s="2693">
        <f t="shared" si="50"/>
        <v>145.0283378746594</v>
      </c>
      <c r="D48" s="2693">
        <f t="shared" si="28"/>
        <v>145.0283378746594</v>
      </c>
      <c r="E48" s="2693">
        <f t="shared" si="51"/>
        <v>204.95180722891567</v>
      </c>
      <c r="F48" s="2693">
        <f t="shared" si="51"/>
        <v>125.95920303605313</v>
      </c>
      <c r="G48" s="3451">
        <v>2007</v>
      </c>
      <c r="H48" s="2683">
        <v>1</v>
      </c>
      <c r="I48" s="2683">
        <v>3.58</v>
      </c>
      <c r="J48" s="2683">
        <v>3.08</v>
      </c>
      <c r="K48" s="2683">
        <v>4.34</v>
      </c>
      <c r="L48" s="2694">
        <v>3.21</v>
      </c>
      <c r="N48" s="2739">
        <f t="shared" si="48"/>
        <v>3.0497710174814063E-2</v>
      </c>
      <c r="O48" s="2740">
        <f t="shared" si="48"/>
        <v>2.8569772160704998E-2</v>
      </c>
      <c r="P48" s="2740">
        <f t="shared" si="49"/>
        <v>5.1034908866234296E-2</v>
      </c>
      <c r="Q48" s="2740">
        <f t="shared" si="49"/>
        <v>3.245248390207478E-2</v>
      </c>
      <c r="R48" s="2690"/>
      <c r="S48" s="2696">
        <f>B48/B49-1</f>
        <v>3.0497710174814063E-2</v>
      </c>
      <c r="T48" s="2697">
        <f>C48/C49-1</f>
        <v>2.8569772160704998E-2</v>
      </c>
      <c r="U48" s="2697">
        <f>E48/E49-1</f>
        <v>5.1034908866234296E-2</v>
      </c>
      <c r="V48" s="2697">
        <f>F48/F49-1</f>
        <v>3.245248390207478E-2</v>
      </c>
      <c r="X48" s="2738"/>
      <c r="Y48" s="2738"/>
      <c r="Z48" s="2738"/>
    </row>
    <row r="49" spans="1:26" ht="13.5" thickBot="1">
      <c r="A49" s="2679" t="s">
        <v>2612</v>
      </c>
      <c r="B49" s="2707">
        <v>159</v>
      </c>
      <c r="C49" s="2707">
        <v>141</v>
      </c>
      <c r="D49" s="2707">
        <f t="shared" si="28"/>
        <v>141</v>
      </c>
      <c r="E49" s="2707">
        <v>195</v>
      </c>
      <c r="F49" s="2708">
        <v>122</v>
      </c>
      <c r="G49" s="3449">
        <v>2006</v>
      </c>
      <c r="H49" s="2699">
        <v>4</v>
      </c>
      <c r="I49" s="2699">
        <v>3.79</v>
      </c>
      <c r="J49" s="2699">
        <v>2.21</v>
      </c>
      <c r="K49" s="2699">
        <v>5.65</v>
      </c>
      <c r="L49" s="2700">
        <v>5.41</v>
      </c>
      <c r="N49" s="2736">
        <f t="shared" ref="N49:O52" si="52">I49/SUM(I$49:I$52)*(B$49/B$53-1)</f>
        <v>7.245466462748526E-2</v>
      </c>
      <c r="O49" s="2737">
        <f t="shared" si="52"/>
        <v>2.3237230038062766E-2</v>
      </c>
      <c r="P49" s="2737">
        <f t="shared" ref="P49:Q52" si="53">K49/SUM(K$49:K$52)*(E$49/E$53-1)</f>
        <v>0.16146893866323722</v>
      </c>
      <c r="Q49" s="2737">
        <f t="shared" si="53"/>
        <v>5.0755230321793784E-2</v>
      </c>
      <c r="R49" s="2690"/>
      <c r="S49" s="2691"/>
      <c r="T49" s="2692"/>
      <c r="U49" s="2692"/>
      <c r="V49" s="2692"/>
      <c r="X49" s="2738"/>
      <c r="Y49" s="2738"/>
      <c r="Z49" s="2738"/>
    </row>
    <row r="50" spans="1:26">
      <c r="A50" s="2679" t="s">
        <v>2613</v>
      </c>
      <c r="B50" s="2693">
        <f t="shared" ref="B50:C52" si="54">B51+(B$49-B$53)*I50/SUM(I$49:I$52)</f>
        <v>149.00125628140702</v>
      </c>
      <c r="C50" s="2693">
        <f t="shared" si="54"/>
        <v>137.95592286501378</v>
      </c>
      <c r="D50" s="2693">
        <f t="shared" si="28"/>
        <v>137.95592286501378</v>
      </c>
      <c r="E50" s="2693">
        <f t="shared" ref="E50:F52" si="55">E51+(E$49-E$53)*K50/SUM(K$49:K$52)</f>
        <v>169.97231450719823</v>
      </c>
      <c r="F50" s="2693">
        <f t="shared" si="55"/>
        <v>116.21390374331551</v>
      </c>
      <c r="G50" s="3450">
        <v>2006</v>
      </c>
      <c r="H50" s="2704">
        <v>3</v>
      </c>
      <c r="I50" s="2704">
        <v>0.92</v>
      </c>
      <c r="J50" s="2704">
        <v>1.08</v>
      </c>
      <c r="K50" s="2704">
        <v>0.73</v>
      </c>
      <c r="L50" s="2705">
        <v>1.08</v>
      </c>
      <c r="N50" s="2736">
        <f t="shared" si="52"/>
        <v>1.7587939698492462E-2</v>
      </c>
      <c r="O50" s="2737">
        <f t="shared" si="52"/>
        <v>1.1355750425840628E-2</v>
      </c>
      <c r="P50" s="2737">
        <f t="shared" si="53"/>
        <v>2.0862358446754544E-2</v>
      </c>
      <c r="Q50" s="2737">
        <f t="shared" si="53"/>
        <v>1.0132282578103011E-2</v>
      </c>
      <c r="R50" s="2690"/>
      <c r="S50" s="2688"/>
      <c r="T50" s="2689"/>
      <c r="U50" s="2689"/>
      <c r="V50" s="2689"/>
      <c r="X50" s="2738"/>
      <c r="Y50" s="2738"/>
      <c r="Z50" s="2738"/>
    </row>
    <row r="51" spans="1:26">
      <c r="A51" s="2679" t="s">
        <v>2614</v>
      </c>
      <c r="B51" s="2693">
        <f t="shared" si="54"/>
        <v>146.57412060301507</v>
      </c>
      <c r="C51" s="2693">
        <f t="shared" si="54"/>
        <v>136.46831955922866</v>
      </c>
      <c r="D51" s="2693">
        <f t="shared" si="28"/>
        <v>136.46831955922866</v>
      </c>
      <c r="E51" s="2693">
        <f t="shared" si="55"/>
        <v>166.73864894795128</v>
      </c>
      <c r="F51" s="2693">
        <f t="shared" si="55"/>
        <v>115.05882352941177</v>
      </c>
      <c r="G51" s="3450">
        <v>2006</v>
      </c>
      <c r="H51" s="2684">
        <v>2</v>
      </c>
      <c r="I51" s="2684">
        <v>0.96</v>
      </c>
      <c r="J51" s="2684">
        <v>0.25</v>
      </c>
      <c r="K51" s="2684">
        <v>1.9</v>
      </c>
      <c r="L51" s="2695">
        <v>0.95</v>
      </c>
      <c r="N51" s="2736">
        <f t="shared" si="52"/>
        <v>1.8352632728861701E-2</v>
      </c>
      <c r="O51" s="2737">
        <f t="shared" si="52"/>
        <v>2.6286459319075526E-3</v>
      </c>
      <c r="P51" s="2737">
        <f t="shared" si="53"/>
        <v>5.4299289107991269E-2</v>
      </c>
      <c r="Q51" s="2737">
        <f t="shared" si="53"/>
        <v>8.9126559714794995E-3</v>
      </c>
      <c r="R51" s="2690"/>
      <c r="S51" s="2688"/>
      <c r="T51" s="2689"/>
      <c r="U51" s="2689"/>
      <c r="V51" s="2689"/>
      <c r="X51" s="2738"/>
      <c r="Y51" s="2738"/>
      <c r="Z51" s="2738"/>
    </row>
    <row r="52" spans="1:26">
      <c r="A52" s="2679" t="s">
        <v>2615</v>
      </c>
      <c r="B52" s="2693">
        <f t="shared" si="54"/>
        <v>144.04145728643215</v>
      </c>
      <c r="C52" s="2693">
        <f t="shared" si="54"/>
        <v>136.12396694214877</v>
      </c>
      <c r="D52" s="2693">
        <f t="shared" si="28"/>
        <v>136.12396694214877</v>
      </c>
      <c r="E52" s="2693">
        <f t="shared" si="55"/>
        <v>158.32225913621264</v>
      </c>
      <c r="F52" s="2693">
        <f t="shared" si="55"/>
        <v>114.04278074866311</v>
      </c>
      <c r="G52" s="3451">
        <v>2006</v>
      </c>
      <c r="H52" s="2683">
        <v>1</v>
      </c>
      <c r="I52" s="2683">
        <v>2.29</v>
      </c>
      <c r="J52" s="2683">
        <v>3.72</v>
      </c>
      <c r="K52" s="2683">
        <v>0.75</v>
      </c>
      <c r="L52" s="2694">
        <v>0.04</v>
      </c>
      <c r="N52" s="2739">
        <f t="shared" si="52"/>
        <v>4.3778675988638847E-2</v>
      </c>
      <c r="O52" s="2740">
        <f t="shared" si="52"/>
        <v>3.9114251466784385E-2</v>
      </c>
      <c r="P52" s="2740">
        <f t="shared" si="53"/>
        <v>2.1433929911049188E-2</v>
      </c>
      <c r="Q52" s="2740">
        <f t="shared" si="53"/>
        <v>3.7526972511492629E-4</v>
      </c>
      <c r="R52" s="2690"/>
      <c r="S52" s="2696">
        <f>B52/B53-1</f>
        <v>4.3778675988638716E-2</v>
      </c>
      <c r="T52" s="2697">
        <f>C52/C53-1</f>
        <v>3.91142514667846E-2</v>
      </c>
      <c r="U52" s="2697">
        <f>E52/E53-1</f>
        <v>2.143392991104931E-2</v>
      </c>
      <c r="V52" s="2697">
        <f>F52/F53-1</f>
        <v>3.7526972511492396E-4</v>
      </c>
      <c r="X52" s="2738"/>
      <c r="Y52" s="2738"/>
      <c r="Z52" s="2738"/>
    </row>
    <row r="53" spans="1:26" ht="13.5" thickBot="1">
      <c r="A53" s="2679" t="s">
        <v>2616</v>
      </c>
      <c r="B53" s="2707">
        <v>138</v>
      </c>
      <c r="C53" s="2707">
        <v>131</v>
      </c>
      <c r="D53" s="2707">
        <f t="shared" si="28"/>
        <v>131</v>
      </c>
      <c r="E53" s="2707">
        <v>155</v>
      </c>
      <c r="F53" s="2708">
        <v>114</v>
      </c>
      <c r="G53" s="3449">
        <v>2005</v>
      </c>
      <c r="H53" s="2699">
        <v>4</v>
      </c>
      <c r="I53" s="2699">
        <v>3.29</v>
      </c>
      <c r="J53" s="2699">
        <v>1.44</v>
      </c>
      <c r="K53" s="2699">
        <v>0.66</v>
      </c>
      <c r="L53" s="2700">
        <v>7.78</v>
      </c>
      <c r="N53" s="2736">
        <f t="shared" ref="N53:O56" si="56">I53/SUM(I$53:I$56)*(B$53/B$57-1)</f>
        <v>9.9404603216919935E-2</v>
      </c>
      <c r="O53" s="2737">
        <f t="shared" si="56"/>
        <v>4.7636550760861554E-2</v>
      </c>
      <c r="P53" s="2737">
        <f t="shared" ref="P53:Q56" si="57">K53/SUM(K$53:K$56)*(E$53/E$57-1)</f>
        <v>8.3756345177664976E-2</v>
      </c>
      <c r="Q53" s="2737">
        <f t="shared" si="57"/>
        <v>5.2148766661559584E-2</v>
      </c>
      <c r="R53" s="2690"/>
      <c r="S53" s="2691"/>
      <c r="T53" s="2692"/>
      <c r="U53" s="2692"/>
      <c r="V53" s="2692"/>
      <c r="X53" s="2738"/>
      <c r="Y53" s="2738"/>
      <c r="Z53" s="2738"/>
    </row>
    <row r="54" spans="1:26">
      <c r="A54" s="2679" t="s">
        <v>2617</v>
      </c>
      <c r="B54" s="2693">
        <f t="shared" ref="B54:C56" si="58">B55+(B$53-B$57)*I54/SUM(I$53:I$56)</f>
        <v>125.9720430107527</v>
      </c>
      <c r="C54" s="2693">
        <f t="shared" si="58"/>
        <v>125.1883408071749</v>
      </c>
      <c r="D54" s="2693">
        <f t="shared" si="28"/>
        <v>125.1883408071749</v>
      </c>
      <c r="E54" s="2693">
        <f t="shared" ref="E54:F56" si="59">E55+(E$53-E$57)*K54/SUM(K$53:K$56)</f>
        <v>144.61421319796952</v>
      </c>
      <c r="F54" s="2693">
        <f t="shared" si="59"/>
        <v>108.42008196721311</v>
      </c>
      <c r="G54" s="3450">
        <v>2005</v>
      </c>
      <c r="H54" s="2704">
        <v>3</v>
      </c>
      <c r="I54" s="2704">
        <v>0.46</v>
      </c>
      <c r="J54" s="2704">
        <v>0.32</v>
      </c>
      <c r="K54" s="2704">
        <v>0.42</v>
      </c>
      <c r="L54" s="2705">
        <v>0.64</v>
      </c>
      <c r="N54" s="2736">
        <f t="shared" si="56"/>
        <v>1.3898515951301874E-2</v>
      </c>
      <c r="O54" s="2737">
        <f t="shared" si="56"/>
        <v>1.0585900169080346E-2</v>
      </c>
      <c r="P54" s="2737">
        <f t="shared" si="57"/>
        <v>5.3299492385786795E-2</v>
      </c>
      <c r="Q54" s="2737">
        <f t="shared" si="57"/>
        <v>4.2898728359123568E-3</v>
      </c>
      <c r="R54" s="2690"/>
      <c r="S54" s="2688"/>
      <c r="T54" s="2689"/>
      <c r="U54" s="2689"/>
      <c r="V54" s="2689"/>
      <c r="X54" s="2738"/>
      <c r="Y54" s="2738"/>
      <c r="Z54" s="2738"/>
    </row>
    <row r="55" spans="1:26">
      <c r="A55" s="2679" t="s">
        <v>2618</v>
      </c>
      <c r="B55" s="2693">
        <f t="shared" si="58"/>
        <v>124.29032258064517</v>
      </c>
      <c r="C55" s="2693">
        <f t="shared" si="58"/>
        <v>123.8968609865471</v>
      </c>
      <c r="D55" s="2693">
        <f t="shared" si="28"/>
        <v>123.8968609865471</v>
      </c>
      <c r="E55" s="2693">
        <f t="shared" si="59"/>
        <v>138.00507614213197</v>
      </c>
      <c r="F55" s="2693">
        <f t="shared" si="59"/>
        <v>107.96106557377048</v>
      </c>
      <c r="G55" s="3450">
        <v>2005</v>
      </c>
      <c r="H55" s="2684">
        <v>2</v>
      </c>
      <c r="I55" s="2684">
        <v>0.47</v>
      </c>
      <c r="J55" s="2684">
        <v>0.1</v>
      </c>
      <c r="K55" s="2684">
        <v>0.52</v>
      </c>
      <c r="L55" s="2695">
        <v>0.79</v>
      </c>
      <c r="N55" s="2736">
        <f t="shared" si="56"/>
        <v>1.420065760241713E-2</v>
      </c>
      <c r="O55" s="2737">
        <f t="shared" si="56"/>
        <v>3.3080938028376083E-3</v>
      </c>
      <c r="P55" s="2737">
        <f t="shared" si="57"/>
        <v>6.598984771573603E-2</v>
      </c>
      <c r="Q55" s="2737">
        <f t="shared" si="57"/>
        <v>5.2953117818293153E-3</v>
      </c>
      <c r="R55" s="2690"/>
      <c r="S55" s="2688"/>
      <c r="T55" s="2689"/>
      <c r="U55" s="2689"/>
      <c r="V55" s="2689"/>
      <c r="X55" s="2738"/>
      <c r="Y55" s="2738"/>
      <c r="Z55" s="2738"/>
    </row>
    <row r="56" spans="1:26">
      <c r="A56" s="2679" t="s">
        <v>2619</v>
      </c>
      <c r="B56" s="2693">
        <f t="shared" si="58"/>
        <v>122.57204301075269</v>
      </c>
      <c r="C56" s="2693">
        <f t="shared" si="58"/>
        <v>123.4932735426009</v>
      </c>
      <c r="D56" s="2693">
        <f t="shared" si="28"/>
        <v>123.4932735426009</v>
      </c>
      <c r="E56" s="2693">
        <f t="shared" si="59"/>
        <v>129.82233502538071</v>
      </c>
      <c r="F56" s="2693">
        <f t="shared" si="59"/>
        <v>107.39446721311475</v>
      </c>
      <c r="G56" s="3451">
        <v>2005</v>
      </c>
      <c r="H56" s="2683">
        <v>1</v>
      </c>
      <c r="I56" s="2683">
        <v>0.43</v>
      </c>
      <c r="J56" s="2683">
        <v>0.37</v>
      </c>
      <c r="K56" s="2683">
        <v>0.37</v>
      </c>
      <c r="L56" s="2694">
        <v>0.55000000000000004</v>
      </c>
      <c r="N56" s="2739">
        <f t="shared" si="56"/>
        <v>1.2992090997956099E-2</v>
      </c>
      <c r="O56" s="2740">
        <f t="shared" si="56"/>
        <v>1.2239947070499151E-2</v>
      </c>
      <c r="P56" s="2740">
        <f t="shared" si="57"/>
        <v>4.6954314720812178E-2</v>
      </c>
      <c r="Q56" s="2740">
        <f t="shared" si="57"/>
        <v>3.6866094683621815E-3</v>
      </c>
      <c r="R56" s="2690"/>
      <c r="S56" s="2696">
        <f>B56/B57-1</f>
        <v>1.2992090997956174E-2</v>
      </c>
      <c r="T56" s="2697">
        <f>C56/C57-1</f>
        <v>1.2239947070499246E-2</v>
      </c>
      <c r="U56" s="2697">
        <f>E56/E57-1</f>
        <v>4.695431472081224E-2</v>
      </c>
      <c r="V56" s="2697">
        <f>F56/F57-1</f>
        <v>3.6866094683620787E-3</v>
      </c>
      <c r="X56" s="2738"/>
      <c r="Y56" s="2738"/>
      <c r="Z56" s="2738"/>
    </row>
    <row r="57" spans="1:26" ht="13.5" thickBot="1">
      <c r="A57" s="2679" t="s">
        <v>2620</v>
      </c>
      <c r="B57" s="2723">
        <v>121</v>
      </c>
      <c r="C57" s="2723">
        <v>122</v>
      </c>
      <c r="D57" s="2723">
        <f t="shared" si="28"/>
        <v>122</v>
      </c>
      <c r="E57" s="2723">
        <v>124</v>
      </c>
      <c r="F57" s="2724">
        <v>107</v>
      </c>
      <c r="G57" s="3449">
        <v>2004</v>
      </c>
      <c r="H57" s="2699">
        <v>4</v>
      </c>
      <c r="I57" s="2699">
        <v>0.33</v>
      </c>
      <c r="J57" s="2699">
        <v>0.5</v>
      </c>
      <c r="K57" s="2699">
        <v>0.5</v>
      </c>
      <c r="L57" s="2700">
        <v>0</v>
      </c>
      <c r="N57" s="2736">
        <f t="shared" ref="N57:O60" si="60">I57/SUM(I$57:I$60)*(B$57/B$61-1)</f>
        <v>1.3391770148526898E-2</v>
      </c>
      <c r="O57" s="2737">
        <f t="shared" si="60"/>
        <v>1.063264221158958E-2</v>
      </c>
      <c r="P57" s="2737">
        <f t="shared" ref="P57:Q60" si="61">K57/SUM(K$57:K$60)*(E$57/E$61-1)</f>
        <v>2.2244466688911134E-2</v>
      </c>
      <c r="Q57" s="2737">
        <f t="shared" si="61"/>
        <v>0</v>
      </c>
      <c r="R57" s="2690"/>
      <c r="S57" s="2691"/>
      <c r="T57" s="2692"/>
      <c r="U57" s="2692"/>
      <c r="V57" s="2692"/>
      <c r="X57" s="2738"/>
      <c r="Y57" s="2738"/>
      <c r="Z57" s="2738"/>
    </row>
    <row r="58" spans="1:26">
      <c r="A58" s="2679" t="s">
        <v>2621</v>
      </c>
      <c r="B58" s="2693">
        <f t="shared" ref="B58:C60" si="62">B59+(B$57-B$61)*I58/SUM(I$57:I$60)</f>
        <v>119.51351351351352</v>
      </c>
      <c r="C58" s="2693">
        <f t="shared" si="62"/>
        <v>120.7878787878788</v>
      </c>
      <c r="D58" s="2693">
        <f t="shared" si="28"/>
        <v>120.7878787878788</v>
      </c>
      <c r="E58" s="2693">
        <f t="shared" ref="E58:F60" si="63">E59+(E$57-E$61)*K58/SUM(K$57:K$60)</f>
        <v>121.5975975975976</v>
      </c>
      <c r="F58" s="2693">
        <f t="shared" si="63"/>
        <v>107</v>
      </c>
      <c r="G58" s="3450">
        <v>2004</v>
      </c>
      <c r="H58" s="2704">
        <v>3</v>
      </c>
      <c r="I58" s="2704">
        <v>0.56000000000000005</v>
      </c>
      <c r="J58" s="2704">
        <v>0.8</v>
      </c>
      <c r="K58" s="2704">
        <v>0.83</v>
      </c>
      <c r="L58" s="2705">
        <v>0.06</v>
      </c>
      <c r="N58" s="2736">
        <f t="shared" si="60"/>
        <v>2.2725428130833527E-2</v>
      </c>
      <c r="O58" s="2737">
        <f t="shared" si="60"/>
        <v>1.7012227538543329E-2</v>
      </c>
      <c r="P58" s="2737">
        <f t="shared" si="61"/>
        <v>3.6925814703592477E-2</v>
      </c>
      <c r="Q58" s="2737">
        <f t="shared" si="61"/>
        <v>2.8846153846153744E-2</v>
      </c>
      <c r="R58" s="2690"/>
      <c r="S58" s="2688"/>
      <c r="T58" s="2689"/>
      <c r="U58" s="2689"/>
      <c r="V58" s="2689"/>
      <c r="X58" s="2738"/>
      <c r="Y58" s="2738"/>
      <c r="Z58" s="2738"/>
    </row>
    <row r="59" spans="1:26">
      <c r="A59" s="2679" t="s">
        <v>2622</v>
      </c>
      <c r="B59" s="2693">
        <f t="shared" si="62"/>
        <v>116.99099099099099</v>
      </c>
      <c r="C59" s="2693">
        <f t="shared" si="62"/>
        <v>118.84848484848486</v>
      </c>
      <c r="D59" s="2693">
        <f t="shared" si="28"/>
        <v>118.84848484848486</v>
      </c>
      <c r="E59" s="2693">
        <f t="shared" si="63"/>
        <v>117.60960960960961</v>
      </c>
      <c r="F59" s="2693">
        <f t="shared" si="63"/>
        <v>104</v>
      </c>
      <c r="G59" s="3450">
        <v>2004</v>
      </c>
      <c r="H59" s="2684">
        <v>2</v>
      </c>
      <c r="I59" s="2684">
        <v>1</v>
      </c>
      <c r="J59" s="2684">
        <v>1.5</v>
      </c>
      <c r="K59" s="2684">
        <v>1.5</v>
      </c>
      <c r="L59" s="2695">
        <v>0</v>
      </c>
      <c r="N59" s="2736">
        <f t="shared" si="60"/>
        <v>4.0581121662202721E-2</v>
      </c>
      <c r="O59" s="2737">
        <f t="shared" si="60"/>
        <v>3.1897926634768738E-2</v>
      </c>
      <c r="P59" s="2737">
        <f t="shared" si="61"/>
        <v>6.6733400066733395E-2</v>
      </c>
      <c r="Q59" s="2737">
        <f t="shared" si="61"/>
        <v>0</v>
      </c>
      <c r="R59" s="2690"/>
      <c r="S59" s="2688"/>
      <c r="T59" s="2689"/>
      <c r="U59" s="2689"/>
      <c r="V59" s="2689"/>
      <c r="X59" s="2738"/>
      <c r="Y59" s="2738"/>
      <c r="Z59" s="2738"/>
    </row>
    <row r="60" spans="1:26" s="2729" customFormat="1" ht="13.5" thickBot="1">
      <c r="A60" s="2679" t="s">
        <v>2623</v>
      </c>
      <c r="B60" s="2726">
        <f t="shared" si="62"/>
        <v>112.48648648648648</v>
      </c>
      <c r="C60" s="2726">
        <f t="shared" si="62"/>
        <v>115.21212121212122</v>
      </c>
      <c r="D60" s="2726">
        <f t="shared" si="28"/>
        <v>115.21212121212122</v>
      </c>
      <c r="E60" s="2726">
        <f t="shared" si="63"/>
        <v>110.4024024024024</v>
      </c>
      <c r="F60" s="2726">
        <f t="shared" si="63"/>
        <v>104</v>
      </c>
      <c r="G60" s="3451">
        <v>2004</v>
      </c>
      <c r="H60" s="2727">
        <v>1</v>
      </c>
      <c r="I60" s="2727">
        <v>0.33</v>
      </c>
      <c r="J60" s="2727">
        <v>0.5</v>
      </c>
      <c r="K60" s="2727">
        <v>0.5</v>
      </c>
      <c r="L60" s="2728">
        <v>0</v>
      </c>
      <c r="N60" s="2741">
        <f t="shared" si="60"/>
        <v>1.3391770148526898E-2</v>
      </c>
      <c r="O60" s="2742">
        <f t="shared" si="60"/>
        <v>1.063264221158958E-2</v>
      </c>
      <c r="P60" s="2742">
        <f t="shared" si="61"/>
        <v>2.2244466688911134E-2</v>
      </c>
      <c r="Q60" s="2742">
        <f t="shared" si="61"/>
        <v>0</v>
      </c>
      <c r="R60" s="2732"/>
      <c r="S60" s="2730">
        <f>B60/B61-1</f>
        <v>1.3391770148526883E-2</v>
      </c>
      <c r="T60" s="2731">
        <f>C60/C61-1</f>
        <v>1.063264221158966E-2</v>
      </c>
      <c r="U60" s="2731">
        <f>E60/E61-1</f>
        <v>2.2244466688911224E-2</v>
      </c>
      <c r="V60" s="2731">
        <f>F60/F61-1</f>
        <v>0</v>
      </c>
      <c r="X60" s="2743"/>
      <c r="Y60" s="2743"/>
      <c r="Z60" s="2743"/>
    </row>
    <row r="61" spans="1:26" ht="13.5" thickBot="1">
      <c r="A61" s="2679" t="s">
        <v>2624</v>
      </c>
      <c r="B61" s="2744">
        <v>111</v>
      </c>
      <c r="C61" s="2744">
        <v>114</v>
      </c>
      <c r="D61" s="2744">
        <f t="shared" si="28"/>
        <v>114</v>
      </c>
      <c r="E61" s="2744">
        <v>108</v>
      </c>
      <c r="F61" s="2745">
        <v>104</v>
      </c>
      <c r="G61" s="3449">
        <v>2003</v>
      </c>
      <c r="H61" s="2734">
        <v>4</v>
      </c>
      <c r="I61" s="2746"/>
      <c r="J61" s="2746"/>
      <c r="K61" s="2746"/>
      <c r="L61" s="2746"/>
      <c r="N61" s="2747"/>
      <c r="O61" s="2746"/>
      <c r="P61" s="2746"/>
      <c r="Q61" s="2746"/>
      <c r="S61" s="2747"/>
      <c r="T61" s="2746"/>
      <c r="U61" s="2746"/>
      <c r="V61" s="2746"/>
      <c r="X61" s="2738"/>
      <c r="Y61" s="2738"/>
      <c r="Z61" s="2738"/>
    </row>
    <row r="62" spans="1:26">
      <c r="A62" s="2679" t="s">
        <v>2625</v>
      </c>
      <c r="B62" s="2748">
        <f t="shared" ref="B62:C64" si="64">B63+(B$61-B$65)/4</f>
        <v>109.75</v>
      </c>
      <c r="C62" s="2748">
        <f t="shared" si="64"/>
        <v>112.25</v>
      </c>
      <c r="D62" s="2748">
        <f t="shared" si="28"/>
        <v>112.25</v>
      </c>
      <c r="E62" s="2748">
        <f t="shared" ref="E62:F64" si="65">E63+(E$61-E$65)/4</f>
        <v>107.25</v>
      </c>
      <c r="F62" s="2748">
        <f t="shared" si="65"/>
        <v>103.5</v>
      </c>
      <c r="G62" s="3450">
        <v>2003</v>
      </c>
      <c r="H62" s="2704">
        <v>3</v>
      </c>
      <c r="I62" s="2746"/>
      <c r="J62" s="2746"/>
      <c r="K62" s="2746"/>
      <c r="L62" s="2746"/>
      <c r="X62" s="2738"/>
      <c r="Y62" s="2738"/>
      <c r="Z62" s="2738"/>
    </row>
    <row r="63" spans="1:26">
      <c r="A63" s="2679" t="s">
        <v>2626</v>
      </c>
      <c r="B63" s="2748">
        <f t="shared" si="64"/>
        <v>108.5</v>
      </c>
      <c r="C63" s="2748">
        <f t="shared" si="64"/>
        <v>110.5</v>
      </c>
      <c r="D63" s="2748">
        <f t="shared" si="28"/>
        <v>110.5</v>
      </c>
      <c r="E63" s="2748">
        <f t="shared" si="65"/>
        <v>106.5</v>
      </c>
      <c r="F63" s="2748">
        <f t="shared" si="65"/>
        <v>103</v>
      </c>
      <c r="G63" s="3450">
        <v>2003</v>
      </c>
      <c r="H63" s="2684">
        <v>2</v>
      </c>
      <c r="I63" s="2746"/>
      <c r="J63" s="2746"/>
      <c r="K63" s="2746"/>
      <c r="L63" s="2746"/>
      <c r="X63" s="2738"/>
      <c r="Y63" s="2738"/>
      <c r="Z63" s="2738"/>
    </row>
    <row r="64" spans="1:26" ht="13.5" thickBot="1">
      <c r="A64" s="2679" t="s">
        <v>2627</v>
      </c>
      <c r="B64" s="2748">
        <f t="shared" si="64"/>
        <v>107.25</v>
      </c>
      <c r="C64" s="2748">
        <f t="shared" si="64"/>
        <v>108.75</v>
      </c>
      <c r="D64" s="2748">
        <f t="shared" si="28"/>
        <v>108.75</v>
      </c>
      <c r="E64" s="2748">
        <f t="shared" si="65"/>
        <v>105.75</v>
      </c>
      <c r="F64" s="2748">
        <f t="shared" si="65"/>
        <v>102.5</v>
      </c>
      <c r="G64" s="3451">
        <v>2003</v>
      </c>
      <c r="H64" s="2749">
        <v>1</v>
      </c>
      <c r="I64" s="2746"/>
      <c r="J64" s="2746"/>
      <c r="K64" s="2746"/>
      <c r="L64" s="2746"/>
      <c r="S64" s="2688"/>
      <c r="T64" s="2689"/>
      <c r="U64" s="2689"/>
      <c r="X64" s="2738"/>
      <c r="Y64" s="2738"/>
      <c r="Z64" s="2738"/>
    </row>
    <row r="65" spans="1:26" ht="13.5" thickBot="1">
      <c r="A65" s="2679" t="s">
        <v>2628</v>
      </c>
      <c r="B65" s="2750">
        <v>106</v>
      </c>
      <c r="C65" s="2750">
        <v>107</v>
      </c>
      <c r="D65" s="2750">
        <f t="shared" si="28"/>
        <v>107</v>
      </c>
      <c r="E65" s="2750">
        <v>105</v>
      </c>
      <c r="F65" s="2751">
        <v>102</v>
      </c>
      <c r="G65" s="3449">
        <v>2002</v>
      </c>
      <c r="H65" s="2699">
        <v>4</v>
      </c>
      <c r="I65" s="2746"/>
      <c r="J65" s="2746"/>
      <c r="K65" s="2746"/>
      <c r="L65" s="2746"/>
      <c r="N65" s="2747"/>
      <c r="O65" s="2746"/>
      <c r="P65" s="2746"/>
      <c r="Q65" s="2746"/>
      <c r="S65" s="2747"/>
      <c r="T65" s="2746"/>
      <c r="U65" s="2746"/>
      <c r="V65" s="2746"/>
      <c r="X65" s="2738"/>
      <c r="Y65" s="2738"/>
      <c r="Z65" s="2738"/>
    </row>
    <row r="66" spans="1:26">
      <c r="A66" s="2679" t="s">
        <v>2629</v>
      </c>
      <c r="B66" s="2748">
        <f t="shared" ref="B66:C68" si="66">B67+(B$65-B$69)/4</f>
        <v>105</v>
      </c>
      <c r="C66" s="2748">
        <f t="shared" si="66"/>
        <v>106</v>
      </c>
      <c r="D66" s="2748">
        <f t="shared" si="28"/>
        <v>106</v>
      </c>
      <c r="E66" s="2748">
        <f t="shared" ref="E66:F68" si="67">E67+(E$65-E$69)/4</f>
        <v>104.5</v>
      </c>
      <c r="F66" s="2748">
        <f t="shared" si="67"/>
        <v>101.5</v>
      </c>
      <c r="G66" s="3450">
        <v>2002</v>
      </c>
      <c r="H66" s="2704">
        <v>3</v>
      </c>
      <c r="I66" s="2746"/>
      <c r="J66" s="2746"/>
      <c r="K66" s="2746"/>
      <c r="L66" s="2746"/>
      <c r="X66" s="2738"/>
      <c r="Y66" s="2738"/>
      <c r="Z66" s="2738"/>
    </row>
    <row r="67" spans="1:26">
      <c r="A67" s="2679" t="s">
        <v>2630</v>
      </c>
      <c r="B67" s="2748">
        <f t="shared" si="66"/>
        <v>104</v>
      </c>
      <c r="C67" s="2748">
        <f t="shared" si="66"/>
        <v>105</v>
      </c>
      <c r="D67" s="2748">
        <f t="shared" si="28"/>
        <v>105</v>
      </c>
      <c r="E67" s="2748">
        <f t="shared" si="67"/>
        <v>104</v>
      </c>
      <c r="F67" s="2748">
        <f t="shared" si="67"/>
        <v>101</v>
      </c>
      <c r="G67" s="3450">
        <v>2002</v>
      </c>
      <c r="H67" s="2684">
        <v>2</v>
      </c>
      <c r="I67" s="2746"/>
      <c r="J67" s="2746"/>
      <c r="K67" s="2746"/>
      <c r="L67" s="2746"/>
      <c r="X67" s="2738"/>
      <c r="Y67" s="2738"/>
      <c r="Z67" s="2738"/>
    </row>
    <row r="68" spans="1:26" s="2715" customFormat="1" ht="13.5" thickBot="1">
      <c r="A68" s="2711" t="s">
        <v>2631</v>
      </c>
      <c r="B68" s="2752">
        <f t="shared" si="66"/>
        <v>103</v>
      </c>
      <c r="C68" s="2752">
        <f t="shared" si="66"/>
        <v>104</v>
      </c>
      <c r="D68" s="2752">
        <f t="shared" si="28"/>
        <v>104</v>
      </c>
      <c r="E68" s="2752">
        <f t="shared" si="67"/>
        <v>103.5</v>
      </c>
      <c r="F68" s="2752">
        <f t="shared" si="67"/>
        <v>100.5</v>
      </c>
      <c r="G68" s="3451">
        <v>2002</v>
      </c>
      <c r="H68" s="2753">
        <v>1</v>
      </c>
      <c r="I68" s="2754"/>
      <c r="J68" s="2754"/>
      <c r="K68" s="2754"/>
      <c r="L68" s="2754"/>
      <c r="N68" s="2755"/>
      <c r="S68" s="2755"/>
      <c r="X68" s="2756"/>
      <c r="Y68" s="2756"/>
      <c r="Z68" s="2756"/>
    </row>
    <row r="69" spans="1:26" ht="13.5" thickBot="1">
      <c r="B69" s="2757">
        <v>102</v>
      </c>
      <c r="C69" s="2758">
        <v>103</v>
      </c>
      <c r="D69" s="2758">
        <f t="shared" si="28"/>
        <v>103</v>
      </c>
      <c r="E69" s="2758">
        <v>103</v>
      </c>
      <c r="F69" s="2759">
        <v>100</v>
      </c>
      <c r="I69" s="2746"/>
      <c r="J69" s="2746"/>
      <c r="K69" s="2746"/>
      <c r="L69" s="2746"/>
      <c r="N69" s="2747"/>
      <c r="O69" s="2746"/>
      <c r="P69" s="2746"/>
      <c r="Q69" s="2746"/>
      <c r="S69" s="2747"/>
      <c r="T69" s="2746"/>
      <c r="U69" s="2746"/>
      <c r="V69" s="2746"/>
      <c r="X69" s="2692"/>
      <c r="Y69" s="2692"/>
      <c r="Z69" s="2692"/>
    </row>
    <row r="71" spans="1:26" s="2761" customFormat="1">
      <c r="A71" s="2760" t="s">
        <v>2632</v>
      </c>
      <c r="G71" s="2762"/>
      <c r="N71" s="2762"/>
      <c r="S71" s="2762"/>
    </row>
    <row r="72" spans="1:26" s="2761" customFormat="1">
      <c r="A72" s="2761" t="s">
        <v>2633</v>
      </c>
      <c r="G72" s="2762"/>
      <c r="N72" s="2762"/>
      <c r="S72" s="2762"/>
    </row>
    <row r="73" spans="1:26" s="2761" customFormat="1">
      <c r="A73" s="2761" t="s">
        <v>2634</v>
      </c>
      <c r="G73" s="2762"/>
      <c r="I73" s="2763"/>
      <c r="J73" s="2763"/>
      <c r="K73" s="2763"/>
      <c r="L73" s="2763"/>
      <c r="N73" s="2764"/>
      <c r="O73" s="2763"/>
      <c r="P73" s="2763"/>
      <c r="Q73" s="2763"/>
      <c r="S73" s="2764"/>
      <c r="T73" s="2763"/>
      <c r="U73" s="2763"/>
      <c r="V73" s="2763"/>
    </row>
    <row r="74" spans="1:26" s="2761" customFormat="1">
      <c r="A74" s="2761" t="s">
        <v>2635</v>
      </c>
      <c r="G74" s="2762"/>
      <c r="N74" s="2762"/>
      <c r="S74" s="2762"/>
    </row>
    <row r="81" spans="7:22" ht="13.5" thickBot="1"/>
    <row r="82" spans="7:22">
      <c r="G82" s="2687"/>
      <c r="S82" s="2765" t="s">
        <v>2636</v>
      </c>
      <c r="T82" s="2766" t="s">
        <v>2637</v>
      </c>
      <c r="U82" s="2766" t="s">
        <v>2638</v>
      </c>
      <c r="V82" s="2766" t="s">
        <v>2639</v>
      </c>
    </row>
    <row r="83" spans="7:22">
      <c r="G83" s="2687"/>
      <c r="N83" s="2691"/>
      <c r="O83" s="2692"/>
      <c r="P83" s="2692"/>
      <c r="Q83" s="2692"/>
      <c r="S83" s="2767">
        <v>2006</v>
      </c>
      <c r="T83" s="2768">
        <v>15.1</v>
      </c>
      <c r="U83" s="2768">
        <v>7.43</v>
      </c>
      <c r="V83" s="2768">
        <v>26.26</v>
      </c>
    </row>
    <row r="84" spans="7:22">
      <c r="G84" s="2687"/>
      <c r="N84" s="2691"/>
      <c r="O84" s="2692"/>
      <c r="P84" s="2692"/>
      <c r="Q84" s="2692"/>
      <c r="S84" s="2770">
        <v>2005</v>
      </c>
      <c r="T84" s="2769">
        <v>13.9</v>
      </c>
      <c r="U84" s="2769">
        <v>7.49</v>
      </c>
      <c r="V84" s="2769">
        <v>24.92</v>
      </c>
    </row>
    <row r="85" spans="7:22">
      <c r="G85" s="2687"/>
      <c r="N85" s="2691"/>
      <c r="O85" s="2692"/>
      <c r="P85" s="2692"/>
      <c r="Q85" s="2692"/>
      <c r="S85" s="2767">
        <v>2004</v>
      </c>
      <c r="T85" s="2768">
        <v>9.48</v>
      </c>
      <c r="U85" s="2768">
        <v>7.2</v>
      </c>
      <c r="V85" s="2768">
        <v>14.68</v>
      </c>
    </row>
    <row r="86" spans="7:22">
      <c r="G86" s="2687"/>
      <c r="N86" s="2691"/>
      <c r="O86" s="2692"/>
      <c r="P86" s="2692"/>
      <c r="Q86" s="2692"/>
      <c r="S86" s="2770">
        <v>2003</v>
      </c>
      <c r="T86" s="2769">
        <v>4.5</v>
      </c>
      <c r="U86" s="2769">
        <v>6.12</v>
      </c>
      <c r="V86" s="2769">
        <v>2.34</v>
      </c>
    </row>
    <row r="87" spans="7:22" ht="13.5" thickBot="1">
      <c r="G87" s="2687"/>
      <c r="N87" s="2691"/>
      <c r="O87" s="2692"/>
      <c r="P87" s="2692"/>
      <c r="Q87" s="2692"/>
      <c r="S87" s="2771">
        <v>2002</v>
      </c>
      <c r="T87" s="2772">
        <v>3.59</v>
      </c>
      <c r="U87" s="2772">
        <v>4.54</v>
      </c>
      <c r="V87" s="2772">
        <v>2.5499999999999998</v>
      </c>
    </row>
    <row r="88" spans="7:22">
      <c r="G88" s="2687"/>
      <c r="N88" s="2691"/>
      <c r="O88" s="2692"/>
      <c r="P88" s="2692"/>
      <c r="Q88" s="2692"/>
    </row>
    <row r="89" spans="7:22">
      <c r="G89" s="2687"/>
      <c r="N89" s="2691"/>
      <c r="O89" s="2692"/>
      <c r="P89" s="2692"/>
      <c r="Q89" s="2692"/>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c r="S98" s="2687"/>
    </row>
    <row r="99" spans="7:19">
      <c r="G99" s="2687"/>
      <c r="N99" s="2691"/>
      <c r="O99" s="2692"/>
      <c r="P99" s="2692"/>
      <c r="Q99" s="2692"/>
      <c r="S99" s="2687"/>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中信信托有限责任公司：</v>
      </c>
    </row>
    <row r="4" spans="1:4" ht="56.25">
      <c r="A4" s="1790" t="str">
        <f>"受贵公司委托，我公司对"&amp;项目基本情况!K2&amp;项目基本情况!B9&amp;"进行了预评估。"</f>
        <v>受贵公司委托，我公司对四川省成都市郫都区郫筒镇晨光村三、五社、双喜村一社1宗住宅、商业用途出让国有建设用地使用权市场价格进行了预评估。</v>
      </c>
    </row>
    <row r="5" spans="1:4" ht="18.75">
      <c r="A5" s="1793" t="s">
        <v>1906</v>
      </c>
    </row>
    <row r="6" spans="1:4" ht="13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成都人居置业有限公司使用的、位于四川省成都市郫都区郫筒镇晨光村三、五社、双喜村一社1宗住宅、商业用途出让国有建设用地使用权。根据《国有建设用地使用权出让合同》及补充协议[电子监管号：5101242017B11266]，估价对象（分摊）出让国有建设用地使用权面积为81852.68平方米。根据《国有建设用地使用权出让合同》及补充协议[电子监管号：5101242017B11266]、《抵押物清单》，估价对象规划建筑面积为204632.7平方米。</v>
      </c>
    </row>
    <row r="7" spans="1:4" ht="56.25">
      <c r="A7" s="1794" t="s">
        <v>2748</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2026</v>
      </c>
    </row>
    <row r="11" spans="1:4" ht="18.75">
      <c r="A11" s="1779" t="str">
        <f>TEXT(项目基本情况!D3,"yyyy年m月d日;;")&amp;IF(项目基本情况!B3=项目基本情况!D3,"（评估专业人员勘察现场之日）","")</f>
        <v>2017年11月29日（评估专业人员勘察现场之日）</v>
      </c>
    </row>
    <row r="12" spans="1:4" ht="18.75">
      <c r="A12" s="1796" t="s">
        <v>2025</v>
      </c>
    </row>
    <row r="13" spans="1:4" ht="18.75">
      <c r="A13" s="1790" t="s">
        <v>2941</v>
      </c>
    </row>
    <row r="14" spans="1:4" ht="37.5">
      <c r="A14" s="1790" t="str">
        <f>"根据"&amp;项目基本情况!F12&amp;"，本次评估估价对象证载（地类）用途为"&amp;项目基本情况!B12&amp;"。"</f>
        <v>根据《国有建设用地使用权出让合同》及补充协议[电子监管号：5101242017B11266]，本次评估估价对象证载（地类）用途为住宅、商业。</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2073</v>
      </c>
    </row>
    <row r="20" spans="1:1" ht="93.7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补充协议[电子监管号：5101242017B11266]，估价对象（分摊）出让国有建设用地使用权面积为81852.68平方米。根据《国有建设用地使用权出让合同》及补充协议[电子监管号：5101242017B11266]、《抵押物清单》，估价对象规划建筑面积为204632.7平方米。</v>
      </c>
    </row>
    <row r="21" spans="1:1" ht="18.75">
      <c r="A21" s="1790" t="s">
        <v>2074</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及补充协议[电子监管号：5101242017B11266]证载土地终止日期为住宅2087年11月13日、商业2057年11月13日。截至估价期日，出让国有建设用地使用权剩余土地使用年限为住宅70年，商业39.98年。</v>
      </c>
    </row>
    <row r="23" spans="1:1" ht="18.75">
      <c r="A23" s="1790" t="str">
        <f>IF(项目基本情况!B16="出让","本次评估设定估价对象剩余土地使用年限为"&amp;项目基本情况!D20&amp;"。","")</f>
        <v>本次评估设定估价对象剩余土地使用年限为住宅70年，商业39.98年。</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2017年11月29日，在规划利用条件下、设定土地开发程度为红线外“七通”、宗地内场地平整，设定用途为住宅、商业，剩余土地使用年限为住宅70年，商业39.98年的出让国有建设用地使用权价格。</v>
      </c>
    </row>
    <row r="26" spans="1:1" ht="18.75">
      <c r="A26" s="1790" t="str">
        <f>IF(项目基本情况!B9="市场价格","——",IF(项目基本情况!E8="抵押价格",定义!C54,IF(项目基本情况!E8="已注销",定义!C55,定义!C56)))</f>
        <v>——</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0" t="str">
        <f>IF(项目基本情况!B9="市场价格","——",IF(项目基本情况!E9="——","",定义!C57))</f>
        <v>——</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A18" zoomScale="80" zoomScaleNormal="80" workbookViewId="0">
      <selection activeCell="E60" sqref="E60"/>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2646" t="s">
        <v>720</v>
      </c>
      <c r="C1" s="2647" t="s">
        <v>721</v>
      </c>
      <c r="D1" s="2648" t="s">
        <v>923</v>
      </c>
      <c r="E1" s="2649"/>
      <c r="F1" s="2832" t="s">
        <v>3071</v>
      </c>
      <c r="G1" s="1600" t="s">
        <v>722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45">
        <f>ROUND(B3*D3/10000,0)</f>
        <v>150151</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520</v>
      </c>
      <c r="B3" s="851">
        <f>C49</f>
        <v>9172</v>
      </c>
      <c r="C3" s="852" t="s">
        <v>723</v>
      </c>
      <c r="D3" s="851">
        <f>SUMIF('数据-汇总表'!$C19:$C33,D1,'数据-汇总表'!$E19:$E33)</f>
        <v>163706.16</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522</v>
      </c>
      <c r="B4" s="513"/>
      <c r="C4" s="3373" t="s">
        <v>523</v>
      </c>
      <c r="D4" s="3374"/>
      <c r="E4" s="3410" t="s">
        <v>524</v>
      </c>
      <c r="F4" s="3411"/>
      <c r="G4" s="3373" t="s">
        <v>525</v>
      </c>
      <c r="H4" s="3374"/>
      <c r="I4" s="3373" t="s">
        <v>526</v>
      </c>
      <c r="J4" s="3374"/>
      <c r="K4" s="853" t="s">
        <v>527</v>
      </c>
      <c r="L4" s="2132"/>
      <c r="M4" s="2133"/>
      <c r="N4" s="2133"/>
      <c r="O4" s="2133"/>
      <c r="P4" s="3375" t="s">
        <v>528</v>
      </c>
      <c r="Q4" s="3376"/>
      <c r="R4" s="3381" t="s">
        <v>524</v>
      </c>
      <c r="S4" s="3382"/>
      <c r="T4" s="3381" t="s">
        <v>525</v>
      </c>
      <c r="U4" s="3382"/>
      <c r="V4" s="3368" t="s">
        <v>526</v>
      </c>
      <c r="W4" s="3368"/>
      <c r="X4" s="1566"/>
      <c r="Y4" s="3381" t="s">
        <v>528</v>
      </c>
      <c r="Z4" s="3382"/>
      <c r="AA4" s="3370" t="s">
        <v>524</v>
      </c>
      <c r="AB4" s="3370" t="s">
        <v>525</v>
      </c>
      <c r="AC4" s="3370" t="s">
        <v>526</v>
      </c>
    </row>
    <row r="5" spans="1:29" ht="15">
      <c r="A5" s="515"/>
      <c r="B5" s="516"/>
      <c r="C5" s="3391" t="s">
        <v>2927</v>
      </c>
      <c r="D5" s="3390"/>
      <c r="E5" s="3463" t="s">
        <v>3074</v>
      </c>
      <c r="F5" s="3413"/>
      <c r="G5" s="3389" t="s">
        <v>3105</v>
      </c>
      <c r="H5" s="3390"/>
      <c r="I5" s="3389" t="s">
        <v>3111</v>
      </c>
      <c r="J5" s="3390"/>
      <c r="K5" s="854"/>
      <c r="L5" s="2132"/>
      <c r="M5" s="2133"/>
      <c r="N5" s="2133"/>
      <c r="O5" s="2133"/>
      <c r="P5" s="3377"/>
      <c r="Q5" s="3378"/>
      <c r="R5" s="3383"/>
      <c r="S5" s="3384"/>
      <c r="T5" s="3383"/>
      <c r="U5" s="3384"/>
      <c r="V5" s="3368"/>
      <c r="W5" s="3368"/>
      <c r="X5" s="1566"/>
      <c r="Y5" s="3383"/>
      <c r="Z5" s="3384"/>
      <c r="AA5" s="3371"/>
      <c r="AB5" s="3371"/>
      <c r="AC5" s="3371"/>
    </row>
    <row r="6" spans="1:29" ht="15.75" thickBot="1">
      <c r="A6" s="517"/>
      <c r="B6" s="518"/>
      <c r="C6" s="3407" t="s">
        <v>2931</v>
      </c>
      <c r="D6" s="3388"/>
      <c r="E6" s="3462" t="s">
        <v>3104</v>
      </c>
      <c r="F6" s="3409"/>
      <c r="G6" s="3387" t="s">
        <v>3106</v>
      </c>
      <c r="H6" s="3388"/>
      <c r="I6" s="3387" t="s">
        <v>3112</v>
      </c>
      <c r="J6" s="3388"/>
      <c r="K6" s="854" t="s">
        <v>529</v>
      </c>
      <c r="L6" s="2132"/>
      <c r="M6" s="2133"/>
      <c r="N6" s="2133"/>
      <c r="O6" s="2133"/>
      <c r="P6" s="3379"/>
      <c r="Q6" s="3380"/>
      <c r="R6" s="3383"/>
      <c r="S6" s="3384"/>
      <c r="T6" s="3385"/>
      <c r="U6" s="3386"/>
      <c r="V6" s="3368"/>
      <c r="W6" s="3368"/>
      <c r="X6" s="1566"/>
      <c r="Y6" s="3385"/>
      <c r="Z6" s="3386"/>
      <c r="AA6" s="3372"/>
      <c r="AB6" s="3372"/>
      <c r="AC6" s="3372"/>
    </row>
    <row r="7" spans="1:29" s="1219" customFormat="1" ht="15.75" thickBot="1">
      <c r="A7" s="2937"/>
      <c r="B7" s="2944" t="s">
        <v>530</v>
      </c>
      <c r="C7" s="519">
        <f>'数据-取费表'!B2</f>
        <v>43068</v>
      </c>
      <c r="D7" s="520">
        <v>100</v>
      </c>
      <c r="E7" s="521">
        <v>43040</v>
      </c>
      <c r="F7" s="522">
        <f>SUMIF(58:58,YEAR(E7)&amp;"-"&amp;MONTH(E7),59:59)</f>
        <v>100</v>
      </c>
      <c r="G7" s="523">
        <f>E7</f>
        <v>43040</v>
      </c>
      <c r="H7" s="520">
        <f>SUMIF(58:58,YEAR(G7)&amp;"-"&amp;MONTH(G7),59:59)</f>
        <v>100</v>
      </c>
      <c r="I7" s="523">
        <f>E7</f>
        <v>43040</v>
      </c>
      <c r="J7" s="520">
        <f>SUMIF(58:58,YEAR(I7)&amp;"-"&amp;MONTH(I7),59:59)</f>
        <v>100</v>
      </c>
      <c r="K7" s="855"/>
      <c r="L7" s="2134"/>
      <c r="M7" s="2135"/>
      <c r="N7" s="2135"/>
      <c r="O7" s="2135"/>
      <c r="P7" s="3400" t="s">
        <v>531</v>
      </c>
      <c r="Q7" s="3402"/>
      <c r="R7" s="1567" t="s">
        <v>13</v>
      </c>
      <c r="S7" s="1568">
        <f t="shared" ref="S7:S15" si="0">F7</f>
        <v>100</v>
      </c>
      <c r="T7" s="1567" t="s">
        <v>13</v>
      </c>
      <c r="U7" s="1568">
        <f t="shared" ref="U7:U15" si="1">H7</f>
        <v>100</v>
      </c>
      <c r="V7" s="1567" t="s">
        <v>13</v>
      </c>
      <c r="W7" s="1568">
        <f t="shared" ref="W7:W15" si="2">J7</f>
        <v>100</v>
      </c>
      <c r="X7" s="1569"/>
      <c r="Y7" s="3400" t="s">
        <v>531</v>
      </c>
      <c r="Z7" s="3401"/>
      <c r="AA7" s="1570">
        <f>D7/F7</f>
        <v>1</v>
      </c>
      <c r="AB7" s="1570">
        <f>D7/H7</f>
        <v>1</v>
      </c>
      <c r="AC7" s="1570">
        <f>D7/J7</f>
        <v>1</v>
      </c>
    </row>
    <row r="8" spans="1:29" s="1219" customFormat="1" ht="15.75" thickBot="1">
      <c r="A8" s="2938"/>
      <c r="B8" s="2945" t="s">
        <v>532</v>
      </c>
      <c r="C8" s="525" t="s">
        <v>577</v>
      </c>
      <c r="D8" s="520">
        <v>100</v>
      </c>
      <c r="E8" s="856" t="s">
        <v>3024</v>
      </c>
      <c r="F8" s="522">
        <f>SUMIF(61:61,E8,62:62)-SUMIF(61:61,C8,62:62)+100</f>
        <v>100</v>
      </c>
      <c r="G8" s="525" t="s">
        <v>3024</v>
      </c>
      <c r="H8" s="520">
        <f>SUMIF(61:61,G8,62:62)-SUMIF(61:61,C8,62:62)+100</f>
        <v>100</v>
      </c>
      <c r="I8" s="856" t="s">
        <v>3024</v>
      </c>
      <c r="J8" s="520">
        <f>SUMIF(61:61,I8,62:62)-SUMIF(61:61,C8,62:62)+100</f>
        <v>100</v>
      </c>
      <c r="K8" s="855"/>
      <c r="L8" s="2134"/>
      <c r="M8" s="2135"/>
      <c r="N8" s="2135"/>
      <c r="O8" s="2135"/>
      <c r="P8" s="3400" t="s">
        <v>534</v>
      </c>
      <c r="Q8" s="3401"/>
      <c r="R8" s="1567" t="s">
        <v>13</v>
      </c>
      <c r="S8" s="1568">
        <f t="shared" si="0"/>
        <v>100</v>
      </c>
      <c r="T8" s="1567" t="s">
        <v>13</v>
      </c>
      <c r="U8" s="1568">
        <f t="shared" si="1"/>
        <v>100</v>
      </c>
      <c r="V8" s="1567" t="s">
        <v>13</v>
      </c>
      <c r="W8" s="1568">
        <f t="shared" si="2"/>
        <v>100</v>
      </c>
      <c r="X8" s="1569"/>
      <c r="Y8" s="3400" t="s">
        <v>534</v>
      </c>
      <c r="Z8" s="3401"/>
      <c r="AA8" s="1570">
        <f t="shared" ref="AA8:AA46" si="3">D8/F8</f>
        <v>1</v>
      </c>
      <c r="AB8" s="1570">
        <f t="shared" ref="AB8:AB46" si="4">D8/H8</f>
        <v>1</v>
      </c>
      <c r="AC8" s="1570">
        <f t="shared" ref="AC8:AC46" si="5">D8/J8</f>
        <v>1</v>
      </c>
    </row>
    <row r="9" spans="1:29" s="1219" customFormat="1" ht="15">
      <c r="A9" s="2939"/>
      <c r="B9" s="2946" t="s">
        <v>2757</v>
      </c>
      <c r="C9" s="3189" t="s">
        <v>3072</v>
      </c>
      <c r="D9" s="254">
        <v>100</v>
      </c>
      <c r="E9" s="858" t="s">
        <v>923</v>
      </c>
      <c r="F9" s="859">
        <f>SUMIF(63:63,E9,64:64)-SUMIF(63:63,C9,64:64)+100</f>
        <v>100</v>
      </c>
      <c r="G9" s="860" t="s">
        <v>923</v>
      </c>
      <c r="H9" s="254">
        <f>SUMIF(63:63,G9,64:64)-SUMIF(63:63,C9,64:64)+100</f>
        <v>100</v>
      </c>
      <c r="I9" s="860" t="s">
        <v>923</v>
      </c>
      <c r="J9" s="254">
        <f>SUMIF(63:63,I9,64:64)-SUMIF(63:63,C9,64:64)+100</f>
        <v>100</v>
      </c>
      <c r="K9" s="855"/>
      <c r="L9" s="2134"/>
      <c r="M9" s="2135"/>
      <c r="N9" s="2135"/>
      <c r="O9" s="2136"/>
      <c r="P9" s="3367" t="s">
        <v>536</v>
      </c>
      <c r="Q9" s="1150" t="str">
        <f t="shared" ref="Q9:Q15" si="6">B9</f>
        <v>用途</v>
      </c>
      <c r="R9" s="1567" t="s">
        <v>8</v>
      </c>
      <c r="S9" s="1568">
        <f t="shared" si="0"/>
        <v>100</v>
      </c>
      <c r="T9" s="1567" t="s">
        <v>8</v>
      </c>
      <c r="U9" s="1568">
        <f t="shared" si="1"/>
        <v>100</v>
      </c>
      <c r="V9" s="1567" t="s">
        <v>8</v>
      </c>
      <c r="W9" s="1568">
        <f t="shared" si="2"/>
        <v>100</v>
      </c>
      <c r="X9" s="1569"/>
      <c r="Y9" s="3313" t="s">
        <v>537</v>
      </c>
      <c r="Z9" s="1149" t="str">
        <f t="shared" ref="Z9:Z15" si="7">Q9</f>
        <v>用途</v>
      </c>
      <c r="AA9" s="1570">
        <f t="shared" si="3"/>
        <v>1</v>
      </c>
      <c r="AB9" s="1570">
        <f t="shared" si="4"/>
        <v>1</v>
      </c>
      <c r="AC9" s="1570">
        <f t="shared" si="5"/>
        <v>1</v>
      </c>
    </row>
    <row r="10" spans="1:29" s="1337" customFormat="1" ht="27">
      <c r="A10" s="2940"/>
      <c r="B10" s="2945" t="s">
        <v>2758</v>
      </c>
      <c r="C10" s="861" t="s">
        <v>3073</v>
      </c>
      <c r="D10" s="255">
        <v>100</v>
      </c>
      <c r="E10" s="862" t="s">
        <v>3073</v>
      </c>
      <c r="F10" s="863">
        <f>SUMIF(65:65,E10,66:66)-SUMIF(65:65,C10,66:66)+100</f>
        <v>100</v>
      </c>
      <c r="G10" s="861" t="s">
        <v>3073</v>
      </c>
      <c r="H10" s="255">
        <f>SUMIF(65:65,G10,66:66)-SUMIF(65:65,C10,66:66)+100</f>
        <v>100</v>
      </c>
      <c r="I10" s="861" t="s">
        <v>3073</v>
      </c>
      <c r="J10" s="255">
        <f>SUMIF(65:65,I10,66:66)-SUMIF(65:65,C10,66:66)+100</f>
        <v>100</v>
      </c>
      <c r="K10" s="864"/>
      <c r="L10" s="2137"/>
      <c r="M10" s="2177"/>
      <c r="N10" s="2177"/>
      <c r="O10" s="2138"/>
      <c r="P10" s="3367"/>
      <c r="Q10" s="1150" t="str">
        <f t="shared" si="6"/>
        <v>土地使用年限（年）</v>
      </c>
      <c r="R10" s="1567" t="s">
        <v>8</v>
      </c>
      <c r="S10" s="1568">
        <f t="shared" si="0"/>
        <v>100</v>
      </c>
      <c r="T10" s="1567" t="s">
        <v>8</v>
      </c>
      <c r="U10" s="1568">
        <f t="shared" si="1"/>
        <v>100</v>
      </c>
      <c r="V10" s="1567" t="s">
        <v>8</v>
      </c>
      <c r="W10" s="1568">
        <f t="shared" si="2"/>
        <v>100</v>
      </c>
      <c r="X10" s="1569"/>
      <c r="Y10" s="3313"/>
      <c r="Z10" s="1149" t="str">
        <f t="shared" si="7"/>
        <v>土地使用年限（年）</v>
      </c>
      <c r="AA10" s="1570">
        <f t="shared" si="3"/>
        <v>1</v>
      </c>
      <c r="AB10" s="1570">
        <f t="shared" si="4"/>
        <v>1</v>
      </c>
      <c r="AC10" s="1570">
        <f t="shared" si="5"/>
        <v>1</v>
      </c>
    </row>
    <row r="11" spans="1:29" ht="15.75" thickBot="1">
      <c r="A11" s="2941"/>
      <c r="B11" s="2945" t="s">
        <v>2759</v>
      </c>
      <c r="C11" s="533">
        <v>2.5</v>
      </c>
      <c r="D11" s="255">
        <v>100</v>
      </c>
      <c r="E11" s="534">
        <v>4</v>
      </c>
      <c r="F11" s="863">
        <f>LOOKUP(E11,68:68,69:69)-LOOKUP(C11,68:68,69:69)+100</f>
        <v>99</v>
      </c>
      <c r="G11" s="533">
        <v>3.9</v>
      </c>
      <c r="H11" s="255">
        <f>LOOKUP(G11,68:68,69:69)-LOOKUP(C11,68:68,69:69)+100</f>
        <v>100</v>
      </c>
      <c r="I11" s="533">
        <v>4</v>
      </c>
      <c r="J11" s="255">
        <f>LOOKUP(I11,68:68,69:69)-LOOKUP(C11,68:68,69:69)+100</f>
        <v>99</v>
      </c>
      <c r="K11" s="864">
        <v>1</v>
      </c>
      <c r="L11" s="2139"/>
      <c r="M11" s="2133"/>
      <c r="N11" s="2133"/>
      <c r="O11" s="2140"/>
      <c r="P11" s="3367"/>
      <c r="Q11" s="1150" t="str">
        <f t="shared" si="6"/>
        <v>容积率</v>
      </c>
      <c r="R11" s="1567" t="s">
        <v>11</v>
      </c>
      <c r="S11" s="1568">
        <f t="shared" si="0"/>
        <v>99</v>
      </c>
      <c r="T11" s="1567" t="s">
        <v>11</v>
      </c>
      <c r="U11" s="1568">
        <f t="shared" si="1"/>
        <v>100</v>
      </c>
      <c r="V11" s="1567" t="s">
        <v>11</v>
      </c>
      <c r="W11" s="1568">
        <f t="shared" si="2"/>
        <v>99</v>
      </c>
      <c r="X11" s="1569"/>
      <c r="Y11" s="3313"/>
      <c r="Z11" s="1149" t="str">
        <f t="shared" si="7"/>
        <v>容积率</v>
      </c>
      <c r="AA11" s="1570">
        <f t="shared" si="3"/>
        <v>1.0101010101010102</v>
      </c>
      <c r="AB11" s="1570">
        <f t="shared" si="4"/>
        <v>1</v>
      </c>
      <c r="AC11" s="1570">
        <f t="shared" si="5"/>
        <v>1.0101010101010102</v>
      </c>
    </row>
    <row r="12" spans="1:29" s="1219" customFormat="1" ht="15" hidden="1">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67"/>
      <c r="Q12" s="1150">
        <f t="shared" si="6"/>
        <v>111</v>
      </c>
      <c r="R12" s="1567" t="s">
        <v>11</v>
      </c>
      <c r="S12" s="1568">
        <f t="shared" si="0"/>
        <v>100</v>
      </c>
      <c r="T12" s="1567" t="s">
        <v>11</v>
      </c>
      <c r="U12" s="1568">
        <f t="shared" si="1"/>
        <v>100</v>
      </c>
      <c r="V12" s="1567" t="s">
        <v>11</v>
      </c>
      <c r="W12" s="1568">
        <f t="shared" si="2"/>
        <v>100</v>
      </c>
      <c r="X12" s="1569"/>
      <c r="Y12" s="3313"/>
      <c r="Z12" s="1149">
        <f t="shared" si="7"/>
        <v>111</v>
      </c>
      <c r="AA12" s="1570">
        <f>D12/F12</f>
        <v>1</v>
      </c>
      <c r="AB12" s="1570">
        <f>D12/H12</f>
        <v>1</v>
      </c>
      <c r="AC12" s="1570">
        <f>D12/J12</f>
        <v>1</v>
      </c>
    </row>
    <row r="13" spans="1:29" ht="15" hidden="1">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67"/>
      <c r="Q13" s="1150">
        <f t="shared" si="6"/>
        <v>111</v>
      </c>
      <c r="R13" s="1567" t="s">
        <v>11</v>
      </c>
      <c r="S13" s="1568">
        <f t="shared" si="0"/>
        <v>100</v>
      </c>
      <c r="T13" s="1567" t="s">
        <v>11</v>
      </c>
      <c r="U13" s="1568">
        <f t="shared" si="1"/>
        <v>100</v>
      </c>
      <c r="V13" s="1567" t="s">
        <v>11</v>
      </c>
      <c r="W13" s="1568">
        <f t="shared" si="2"/>
        <v>100</v>
      </c>
      <c r="X13" s="1569"/>
      <c r="Y13" s="3313"/>
      <c r="Z13" s="1149">
        <f t="shared" si="7"/>
        <v>111</v>
      </c>
      <c r="AA13" s="1570">
        <f t="shared" si="3"/>
        <v>1</v>
      </c>
      <c r="AB13" s="1570">
        <f t="shared" si="4"/>
        <v>1</v>
      </c>
      <c r="AC13" s="1570">
        <f t="shared" si="5"/>
        <v>1</v>
      </c>
    </row>
    <row r="14" spans="1:29" ht="15.75" hidden="1"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67"/>
      <c r="Q14" s="1150">
        <f t="shared" si="6"/>
        <v>111</v>
      </c>
      <c r="R14" s="1567" t="s">
        <v>11</v>
      </c>
      <c r="S14" s="1568">
        <f t="shared" si="0"/>
        <v>100</v>
      </c>
      <c r="T14" s="1567" t="s">
        <v>11</v>
      </c>
      <c r="U14" s="1568">
        <f t="shared" si="1"/>
        <v>100</v>
      </c>
      <c r="V14" s="1567" t="s">
        <v>11</v>
      </c>
      <c r="W14" s="1568">
        <f t="shared" si="2"/>
        <v>100</v>
      </c>
      <c r="X14" s="1569"/>
      <c r="Y14" s="3313"/>
      <c r="Z14" s="1149">
        <f t="shared" si="7"/>
        <v>111</v>
      </c>
      <c r="AA14" s="1570">
        <f t="shared" si="3"/>
        <v>1</v>
      </c>
      <c r="AB14" s="1570">
        <f t="shared" si="4"/>
        <v>1</v>
      </c>
      <c r="AC14" s="1570">
        <f t="shared" si="5"/>
        <v>1</v>
      </c>
    </row>
    <row r="15" spans="1:29" ht="99.75">
      <c r="A15" s="2935"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103</v>
      </c>
      <c r="K15" s="868">
        <v>3</v>
      </c>
      <c r="L15" s="2141"/>
      <c r="M15" s="2133"/>
      <c r="N15" s="2133"/>
      <c r="O15" s="2140"/>
      <c r="P15" s="3403" t="s">
        <v>541</v>
      </c>
      <c r="Q15" s="1571" t="str">
        <f t="shared" si="6"/>
        <v>居住社区成熟度</v>
      </c>
      <c r="R15" s="1572" t="s">
        <v>11</v>
      </c>
      <c r="S15" s="1573">
        <f t="shared" si="0"/>
        <v>100</v>
      </c>
      <c r="T15" s="1572" t="s">
        <v>11</v>
      </c>
      <c r="U15" s="1573">
        <f t="shared" si="1"/>
        <v>100</v>
      </c>
      <c r="V15" s="1572" t="s">
        <v>11</v>
      </c>
      <c r="W15" s="1573">
        <f t="shared" si="2"/>
        <v>103</v>
      </c>
      <c r="X15" s="1566"/>
      <c r="Y15" s="3403" t="s">
        <v>541</v>
      </c>
      <c r="Z15" s="1574" t="str">
        <f t="shared" si="7"/>
        <v>居住社区成熟度</v>
      </c>
      <c r="AA15" s="1575">
        <f t="shared" si="3"/>
        <v>1</v>
      </c>
      <c r="AB15" s="1575">
        <f t="shared" si="4"/>
        <v>1</v>
      </c>
      <c r="AC15" s="1575">
        <f t="shared" si="5"/>
        <v>0.970873786407767</v>
      </c>
    </row>
    <row r="16" spans="1:29" ht="15">
      <c r="A16" s="532"/>
      <c r="B16" s="869"/>
      <c r="C16" s="576" t="s">
        <v>3041</v>
      </c>
      <c r="D16" s="555"/>
      <c r="E16" s="556" t="s">
        <v>3041</v>
      </c>
      <c r="F16" s="557"/>
      <c r="G16" s="558" t="s">
        <v>3041</v>
      </c>
      <c r="H16" s="559"/>
      <c r="I16" s="556" t="s">
        <v>3039</v>
      </c>
      <c r="J16" s="555"/>
      <c r="K16" s="870"/>
      <c r="L16" s="2141"/>
      <c r="M16" s="2133"/>
      <c r="N16" s="2133"/>
      <c r="O16" s="2140"/>
      <c r="P16" s="3404"/>
      <c r="Q16" s="1571"/>
      <c r="R16" s="1572"/>
      <c r="S16" s="1573"/>
      <c r="T16" s="1572"/>
      <c r="U16" s="1573"/>
      <c r="V16" s="1572"/>
      <c r="W16" s="1573"/>
      <c r="X16" s="1566"/>
      <c r="Y16" s="3404"/>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1"/>
      <c r="M17" s="2133"/>
      <c r="N17" s="2133"/>
      <c r="O17" s="2140"/>
      <c r="P17" s="3404"/>
      <c r="Q17" s="1571" t="str">
        <f>B17</f>
        <v>交通便捷度</v>
      </c>
      <c r="R17" s="1572" t="s">
        <v>11</v>
      </c>
      <c r="S17" s="1573">
        <f>F17</f>
        <v>100</v>
      </c>
      <c r="T17" s="1572" t="s">
        <v>11</v>
      </c>
      <c r="U17" s="1573">
        <f>H17</f>
        <v>100</v>
      </c>
      <c r="V17" s="1572" t="s">
        <v>11</v>
      </c>
      <c r="W17" s="1573">
        <f>J17</f>
        <v>100</v>
      </c>
      <c r="X17" s="1566"/>
      <c r="Y17" s="3404"/>
      <c r="Z17" s="1574" t="str">
        <f>Q17</f>
        <v>交通便捷度</v>
      </c>
      <c r="AA17" s="1575">
        <f t="shared" si="3"/>
        <v>1</v>
      </c>
      <c r="AB17" s="1575">
        <f t="shared" si="4"/>
        <v>1</v>
      </c>
      <c r="AC17" s="1575">
        <f t="shared" si="5"/>
        <v>1</v>
      </c>
    </row>
    <row r="18" spans="1:29" ht="15">
      <c r="A18" s="532"/>
      <c r="B18" s="595"/>
      <c r="C18" s="873" t="s">
        <v>3041</v>
      </c>
      <c r="D18" s="559"/>
      <c r="E18" s="568" t="s">
        <v>3041</v>
      </c>
      <c r="F18" s="563"/>
      <c r="G18" s="569" t="s">
        <v>3041</v>
      </c>
      <c r="H18" s="555"/>
      <c r="I18" s="568" t="s">
        <v>3041</v>
      </c>
      <c r="J18" s="555"/>
      <c r="K18" s="870"/>
      <c r="L18" s="2141"/>
      <c r="M18" s="2133"/>
      <c r="N18" s="2133"/>
      <c r="O18" s="2140"/>
      <c r="P18" s="3404"/>
      <c r="Q18" s="1571"/>
      <c r="R18" s="1572"/>
      <c r="S18" s="1573"/>
      <c r="T18" s="1572"/>
      <c r="U18" s="1573"/>
      <c r="V18" s="1572"/>
      <c r="W18" s="1573"/>
      <c r="X18" s="1566"/>
      <c r="Y18" s="3404"/>
      <c r="Z18" s="1574"/>
      <c r="AA18" s="1575">
        <v>1</v>
      </c>
      <c r="AB18" s="1575">
        <v>1</v>
      </c>
      <c r="AC18" s="1575">
        <v>1</v>
      </c>
    </row>
    <row r="19" spans="1:29" ht="42.75">
      <c r="A19" s="532"/>
      <c r="B19" s="2623" t="s">
        <v>2546</v>
      </c>
      <c r="C19" s="872" t="str">
        <f>估价对象房地状况!C7</f>
        <v>估价对象所在区域公共配套设施齐备情况</v>
      </c>
      <c r="D19" s="565">
        <v>100</v>
      </c>
      <c r="E19" s="570"/>
      <c r="F19" s="571">
        <f>SUMIF(80:80,E20,81:81)-SUMIF(80:80,C20,81:81)+100</f>
        <v>103</v>
      </c>
      <c r="G19" s="572"/>
      <c r="H19" s="559">
        <f>SUMIF(80:80,G20,81:81)-SUMIF(80:80,C20,81:81)+100</f>
        <v>103</v>
      </c>
      <c r="I19" s="570"/>
      <c r="J19" s="559">
        <f>SUMIF(80:80,I20,81:81)-SUMIF(80:80,C20,81:81)+100</f>
        <v>103</v>
      </c>
      <c r="K19" s="868">
        <v>3</v>
      </c>
      <c r="L19" s="2141"/>
      <c r="M19" s="2133"/>
      <c r="N19" s="2133"/>
      <c r="O19" s="2140"/>
      <c r="P19" s="3404"/>
      <c r="Q19" s="1571" t="str">
        <f>B19</f>
        <v>公共配套设施</v>
      </c>
      <c r="R19" s="1572" t="s">
        <v>11</v>
      </c>
      <c r="S19" s="1573">
        <f>F19</f>
        <v>103</v>
      </c>
      <c r="T19" s="1572" t="s">
        <v>11</v>
      </c>
      <c r="U19" s="1573">
        <f>H19</f>
        <v>103</v>
      </c>
      <c r="V19" s="1572" t="s">
        <v>11</v>
      </c>
      <c r="W19" s="1573">
        <f>J19</f>
        <v>103</v>
      </c>
      <c r="X19" s="1566"/>
      <c r="Y19" s="3404"/>
      <c r="Z19" s="1574" t="str">
        <f>Q19</f>
        <v>公共配套设施</v>
      </c>
      <c r="AA19" s="1575">
        <f t="shared" si="3"/>
        <v>0.970873786407767</v>
      </c>
      <c r="AB19" s="1575">
        <f t="shared" si="4"/>
        <v>0.970873786407767</v>
      </c>
      <c r="AC19" s="1575">
        <f t="shared" si="5"/>
        <v>0.970873786407767</v>
      </c>
    </row>
    <row r="20" spans="1:29" ht="15">
      <c r="A20" s="532"/>
      <c r="B20" s="595"/>
      <c r="C20" s="576" t="s">
        <v>3043</v>
      </c>
      <c r="D20" s="555"/>
      <c r="E20" s="556" t="s">
        <v>3041</v>
      </c>
      <c r="F20" s="557"/>
      <c r="G20" s="558" t="s">
        <v>3041</v>
      </c>
      <c r="H20" s="555"/>
      <c r="I20" s="556" t="s">
        <v>3041</v>
      </c>
      <c r="J20" s="555"/>
      <c r="K20" s="870"/>
      <c r="L20" s="2141"/>
      <c r="M20" s="2133"/>
      <c r="N20" s="2133"/>
      <c r="O20" s="2140"/>
      <c r="P20" s="3404"/>
      <c r="Q20" s="1571"/>
      <c r="R20" s="1572"/>
      <c r="S20" s="1573"/>
      <c r="T20" s="1572"/>
      <c r="U20" s="1573"/>
      <c r="V20" s="1572"/>
      <c r="W20" s="1573"/>
      <c r="X20" s="1566"/>
      <c r="Y20" s="3404"/>
      <c r="Z20" s="1574"/>
      <c r="AA20" s="1575">
        <v>1</v>
      </c>
      <c r="AB20" s="1575">
        <v>1</v>
      </c>
      <c r="AC20" s="1575">
        <v>1</v>
      </c>
    </row>
    <row r="21" spans="1:29" ht="28.5">
      <c r="A21" s="532"/>
      <c r="B21" s="2616"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1"/>
      <c r="M21" s="2133"/>
      <c r="N21" s="2133"/>
      <c r="O21" s="2140"/>
      <c r="P21" s="3404"/>
      <c r="Q21" s="2602" t="str">
        <f>B21</f>
        <v>基础设施水平</v>
      </c>
      <c r="R21" s="1572" t="s">
        <v>11</v>
      </c>
      <c r="S21" s="1573">
        <f>F21</f>
        <v>100</v>
      </c>
      <c r="T21" s="1572" t="s">
        <v>11</v>
      </c>
      <c r="U21" s="1573">
        <f>H21</f>
        <v>100</v>
      </c>
      <c r="V21" s="1572" t="s">
        <v>11</v>
      </c>
      <c r="W21" s="1573">
        <f>J21</f>
        <v>100</v>
      </c>
      <c r="X21" s="2604"/>
      <c r="Y21" s="3404"/>
      <c r="Z21" s="2603" t="str">
        <f>Q21</f>
        <v>基础设施水平</v>
      </c>
      <c r="AA21" s="1575">
        <f t="shared" ref="AA21" si="8">D21/F21</f>
        <v>1</v>
      </c>
      <c r="AB21" s="1575">
        <f t="shared" ref="AB21" si="9">D21/H21</f>
        <v>1</v>
      </c>
      <c r="AC21" s="1575">
        <f t="shared" ref="AC21" si="10">D21/J21</f>
        <v>1</v>
      </c>
    </row>
    <row r="22" spans="1:29" ht="15">
      <c r="A22" s="532"/>
      <c r="B22" s="921"/>
      <c r="C22" s="873" t="s">
        <v>3048</v>
      </c>
      <c r="D22" s="555"/>
      <c r="E22" s="576" t="s">
        <v>3048</v>
      </c>
      <c r="F22" s="557"/>
      <c r="G22" s="576" t="s">
        <v>3048</v>
      </c>
      <c r="H22" s="555"/>
      <c r="I22" s="576" t="s">
        <v>3048</v>
      </c>
      <c r="J22" s="555"/>
      <c r="K22" s="2622"/>
      <c r="L22" s="2141"/>
      <c r="M22" s="2133"/>
      <c r="N22" s="2133"/>
      <c r="O22" s="2140"/>
      <c r="P22" s="3404"/>
      <c r="Q22" s="2602"/>
      <c r="R22" s="1572"/>
      <c r="S22" s="1573"/>
      <c r="T22" s="1572"/>
      <c r="U22" s="1573"/>
      <c r="V22" s="1572"/>
      <c r="W22" s="1573"/>
      <c r="X22" s="2604"/>
      <c r="Y22" s="3404"/>
      <c r="Z22" s="2603"/>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1"/>
      <c r="M23" s="2133"/>
      <c r="N23" s="2133"/>
      <c r="O23" s="2140"/>
      <c r="P23" s="3404"/>
      <c r="Q23" s="1571" t="str">
        <f>B23</f>
        <v>自然及人文环境</v>
      </c>
      <c r="R23" s="1572" t="s">
        <v>11</v>
      </c>
      <c r="S23" s="1573">
        <f>F23</f>
        <v>100</v>
      </c>
      <c r="T23" s="1572" t="s">
        <v>11</v>
      </c>
      <c r="U23" s="1573">
        <f>H23</f>
        <v>100</v>
      </c>
      <c r="V23" s="1572" t="s">
        <v>11</v>
      </c>
      <c r="W23" s="1573">
        <f>J23</f>
        <v>100</v>
      </c>
      <c r="X23" s="1566"/>
      <c r="Y23" s="3404"/>
      <c r="Z23" s="1574" t="str">
        <f>Q23</f>
        <v>自然及人文环境</v>
      </c>
      <c r="AA23" s="1575">
        <f t="shared" si="3"/>
        <v>1</v>
      </c>
      <c r="AB23" s="1575">
        <f t="shared" si="4"/>
        <v>1</v>
      </c>
      <c r="AC23" s="1575">
        <f t="shared" si="5"/>
        <v>1</v>
      </c>
    </row>
    <row r="24" spans="1:29" ht="15.75" thickBot="1">
      <c r="A24" s="532"/>
      <c r="B24" s="595"/>
      <c r="C24" s="576" t="s">
        <v>3041</v>
      </c>
      <c r="D24" s="555"/>
      <c r="E24" s="556" t="s">
        <v>3041</v>
      </c>
      <c r="F24" s="557"/>
      <c r="G24" s="558" t="s">
        <v>3041</v>
      </c>
      <c r="H24" s="555"/>
      <c r="I24" s="556" t="s">
        <v>3041</v>
      </c>
      <c r="J24" s="555"/>
      <c r="K24" s="870"/>
      <c r="L24" s="2141"/>
      <c r="M24" s="2133"/>
      <c r="N24" s="2133"/>
      <c r="O24" s="2140"/>
      <c r="P24" s="3404"/>
      <c r="Q24" s="1571"/>
      <c r="R24" s="1572"/>
      <c r="S24" s="1573"/>
      <c r="T24" s="1572"/>
      <c r="U24" s="1573"/>
      <c r="V24" s="1572"/>
      <c r="W24" s="1573"/>
      <c r="X24" s="1566"/>
      <c r="Y24" s="3404"/>
      <c r="Z24" s="1574"/>
      <c r="AA24" s="1575">
        <v>1</v>
      </c>
      <c r="AB24" s="1575">
        <v>1</v>
      </c>
      <c r="AC24" s="1575">
        <v>1</v>
      </c>
    </row>
    <row r="25" spans="1:29" ht="15" hidden="1">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04"/>
      <c r="Q25" s="1571" t="str">
        <f t="shared" ref="Q25:Q46" si="11">B25</f>
        <v>楼层-1</v>
      </c>
      <c r="R25" s="1572" t="s">
        <v>11</v>
      </c>
      <c r="S25" s="1573">
        <f>F25</f>
        <v>100</v>
      </c>
      <c r="T25" s="1572" t="s">
        <v>11</v>
      </c>
      <c r="U25" s="1573">
        <f>H25</f>
        <v>100</v>
      </c>
      <c r="V25" s="1572" t="s">
        <v>11</v>
      </c>
      <c r="W25" s="1573">
        <f>J25</f>
        <v>100</v>
      </c>
      <c r="X25" s="1566"/>
      <c r="Y25" s="3404"/>
      <c r="Z25" s="1574" t="str">
        <f>Q25</f>
        <v>楼层-1</v>
      </c>
      <c r="AA25" s="1575">
        <f t="shared" si="3"/>
        <v>1</v>
      </c>
      <c r="AB25" s="1575">
        <f t="shared" si="4"/>
        <v>1</v>
      </c>
      <c r="AC25" s="1575">
        <f t="shared" si="5"/>
        <v>1</v>
      </c>
    </row>
    <row r="26" spans="1:29" ht="15.75" hidden="1" thickBot="1">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04"/>
      <c r="Q26" s="1571" t="str">
        <f t="shared" si="11"/>
        <v>朝向</v>
      </c>
      <c r="R26" s="1572" t="s">
        <v>11</v>
      </c>
      <c r="S26" s="1573">
        <f>F26</f>
        <v>100</v>
      </c>
      <c r="T26" s="1572" t="s">
        <v>11</v>
      </c>
      <c r="U26" s="1573">
        <f>H26</f>
        <v>100</v>
      </c>
      <c r="V26" s="1572" t="s">
        <v>11</v>
      </c>
      <c r="W26" s="1573">
        <f>J26</f>
        <v>100</v>
      </c>
      <c r="X26" s="1566"/>
      <c r="Y26" s="3404"/>
      <c r="Z26" s="1574" t="str">
        <f>Q26</f>
        <v>朝向</v>
      </c>
      <c r="AA26" s="1575">
        <f t="shared" si="3"/>
        <v>1</v>
      </c>
      <c r="AB26" s="1575">
        <f t="shared" si="4"/>
        <v>1</v>
      </c>
      <c r="AC26" s="1575">
        <f t="shared" si="5"/>
        <v>1</v>
      </c>
    </row>
    <row r="27" spans="1:29" s="1219" customFormat="1" ht="15" hidden="1">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04"/>
      <c r="Q27" s="1150" t="str">
        <f t="shared" si="11"/>
        <v>道路级别</v>
      </c>
      <c r="R27" s="1567" t="s">
        <v>11</v>
      </c>
      <c r="S27" s="1568">
        <f>F27</f>
        <v>100</v>
      </c>
      <c r="T27" s="1567" t="s">
        <v>11</v>
      </c>
      <c r="U27" s="1568">
        <f>H27</f>
        <v>100</v>
      </c>
      <c r="V27" s="1567" t="s">
        <v>11</v>
      </c>
      <c r="W27" s="1568">
        <f>J27</f>
        <v>100</v>
      </c>
      <c r="X27" s="1569"/>
      <c r="Y27" s="3404"/>
      <c r="Z27" s="1149" t="str">
        <f>Q27</f>
        <v>道路级别</v>
      </c>
      <c r="AA27" s="1575">
        <f>D27/F27</f>
        <v>1</v>
      </c>
      <c r="AB27" s="1575">
        <f>D27/H27</f>
        <v>1</v>
      </c>
      <c r="AC27" s="1575">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04"/>
      <c r="Q28" s="1571">
        <f t="shared" si="11"/>
        <v>111</v>
      </c>
      <c r="R28" s="1572" t="s">
        <v>11</v>
      </c>
      <c r="S28" s="1573">
        <f t="shared" ref="S28:S46" si="12">F28</f>
        <v>100</v>
      </c>
      <c r="T28" s="1572" t="s">
        <v>11</v>
      </c>
      <c r="U28" s="1573">
        <f t="shared" ref="U28:U46" si="13">H28</f>
        <v>100</v>
      </c>
      <c r="V28" s="1572" t="s">
        <v>11</v>
      </c>
      <c r="W28" s="1573">
        <f t="shared" ref="W28:W46" si="14">J28</f>
        <v>100</v>
      </c>
      <c r="X28" s="1566"/>
      <c r="Y28" s="3404"/>
      <c r="Z28" s="1574">
        <f t="shared" ref="Z28:Z46" si="15">Q28</f>
        <v>111</v>
      </c>
      <c r="AA28" s="1575">
        <f t="shared" si="3"/>
        <v>1</v>
      </c>
      <c r="AB28" s="1575">
        <f t="shared" si="4"/>
        <v>1</v>
      </c>
      <c r="AC28" s="1575">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04"/>
      <c r="Q29" s="1571">
        <f t="shared" si="11"/>
        <v>111</v>
      </c>
      <c r="R29" s="1572" t="s">
        <v>11</v>
      </c>
      <c r="S29" s="1573">
        <f t="shared" si="12"/>
        <v>100</v>
      </c>
      <c r="T29" s="1572" t="s">
        <v>11</v>
      </c>
      <c r="U29" s="1573">
        <f t="shared" si="13"/>
        <v>100</v>
      </c>
      <c r="V29" s="1572" t="s">
        <v>11</v>
      </c>
      <c r="W29" s="1573">
        <f t="shared" si="14"/>
        <v>100</v>
      </c>
      <c r="X29" s="1566"/>
      <c r="Y29" s="3404"/>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04"/>
      <c r="Q30" s="1571">
        <f t="shared" si="11"/>
        <v>111</v>
      </c>
      <c r="R30" s="1572" t="s">
        <v>11</v>
      </c>
      <c r="S30" s="1573">
        <f t="shared" si="12"/>
        <v>100</v>
      </c>
      <c r="T30" s="1572" t="s">
        <v>11</v>
      </c>
      <c r="U30" s="1573">
        <f t="shared" si="13"/>
        <v>100</v>
      </c>
      <c r="V30" s="1572" t="s">
        <v>11</v>
      </c>
      <c r="W30" s="1573">
        <f t="shared" si="14"/>
        <v>100</v>
      </c>
      <c r="X30" s="1566"/>
      <c r="Y30" s="3404"/>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04"/>
      <c r="Q31" s="1571">
        <f t="shared" si="11"/>
        <v>111</v>
      </c>
      <c r="R31" s="1572" t="s">
        <v>11</v>
      </c>
      <c r="S31" s="1573">
        <f t="shared" si="12"/>
        <v>100</v>
      </c>
      <c r="T31" s="1572" t="s">
        <v>11</v>
      </c>
      <c r="U31" s="1573">
        <f t="shared" si="13"/>
        <v>100</v>
      </c>
      <c r="V31" s="1572" t="s">
        <v>11</v>
      </c>
      <c r="W31" s="1573">
        <f t="shared" si="14"/>
        <v>100</v>
      </c>
      <c r="X31" s="1566"/>
      <c r="Y31" s="3404"/>
      <c r="Z31" s="1574">
        <f t="shared" si="15"/>
        <v>111</v>
      </c>
      <c r="AA31" s="1575">
        <f t="shared" si="3"/>
        <v>1</v>
      </c>
      <c r="AB31" s="1575">
        <f t="shared" si="4"/>
        <v>1</v>
      </c>
      <c r="AC31" s="1575">
        <f t="shared" si="5"/>
        <v>1</v>
      </c>
    </row>
    <row r="32" spans="1:29" ht="15">
      <c r="A32" s="2932" t="s">
        <v>2756</v>
      </c>
      <c r="B32" s="172" t="s">
        <v>726</v>
      </c>
      <c r="C32" s="878" t="s">
        <v>3004</v>
      </c>
      <c r="D32" s="597">
        <v>100</v>
      </c>
      <c r="E32" s="879" t="s">
        <v>3004</v>
      </c>
      <c r="F32" s="575">
        <f>SUMIF(100:100,E32,101:101)-SUMIF(100:100,C32,101:101)+100</f>
        <v>100</v>
      </c>
      <c r="G32" s="878" t="s">
        <v>3004</v>
      </c>
      <c r="H32" s="597">
        <f>SUMIF(100:100,G32,101:101)-SUMIF(100:100,C32,101:101)+100</f>
        <v>100</v>
      </c>
      <c r="I32" s="879" t="s">
        <v>3004</v>
      </c>
      <c r="J32" s="540">
        <f>SUMIF(100:100,I32,101:101)-SUMIF(100:100,C32,101:101)+100</f>
        <v>100</v>
      </c>
      <c r="K32" s="864"/>
      <c r="L32" s="2141"/>
      <c r="M32" s="2133"/>
      <c r="N32" s="2133"/>
      <c r="O32" s="2140"/>
      <c r="P32" s="3405" t="s">
        <v>551</v>
      </c>
      <c r="Q32" s="1571" t="str">
        <f t="shared" si="11"/>
        <v>建筑类型</v>
      </c>
      <c r="R32" s="1572" t="s">
        <v>11</v>
      </c>
      <c r="S32" s="1573">
        <f t="shared" si="12"/>
        <v>100</v>
      </c>
      <c r="T32" s="1572" t="s">
        <v>11</v>
      </c>
      <c r="U32" s="1573">
        <f t="shared" si="13"/>
        <v>100</v>
      </c>
      <c r="V32" s="1572" t="s">
        <v>11</v>
      </c>
      <c r="W32" s="1573">
        <f t="shared" si="14"/>
        <v>100</v>
      </c>
      <c r="X32" s="1566"/>
      <c r="Y32" s="3406" t="s">
        <v>551</v>
      </c>
      <c r="Z32" s="1574" t="str">
        <f t="shared" si="15"/>
        <v>建筑类型</v>
      </c>
      <c r="AA32" s="1575">
        <f t="shared" si="3"/>
        <v>1</v>
      </c>
      <c r="AB32" s="1575">
        <f t="shared" si="4"/>
        <v>1</v>
      </c>
      <c r="AC32" s="1575">
        <f t="shared" si="5"/>
        <v>1</v>
      </c>
    </row>
    <row r="33" spans="1:29" s="1338" customFormat="1" ht="15">
      <c r="A33" s="603"/>
      <c r="B33" s="527" t="s">
        <v>727</v>
      </c>
      <c r="C33" s="880">
        <f>'数据-基础表'!B3</f>
        <v>204632.7</v>
      </c>
      <c r="D33" s="255">
        <v>100</v>
      </c>
      <c r="E33" s="534">
        <v>1600000</v>
      </c>
      <c r="F33" s="863">
        <f>LOOKUP(E33,103:103,104:104)-LOOKUP(C33,103:103,104:104)+100</f>
        <v>103</v>
      </c>
      <c r="G33" s="533">
        <v>900000</v>
      </c>
      <c r="H33" s="255">
        <f>LOOKUP(G33,103:103,104:104)-LOOKUP(C33,103:103,104:104)+100</f>
        <v>103</v>
      </c>
      <c r="I33" s="534">
        <v>400000</v>
      </c>
      <c r="J33" s="255">
        <f>LOOKUP(I33,103:103,104:104)-LOOKUP(C33,103:103,104:104)+100</f>
        <v>102</v>
      </c>
      <c r="K33" s="865"/>
      <c r="L33" s="2139"/>
      <c r="M33" s="2170"/>
      <c r="N33" s="2170"/>
      <c r="O33" s="2142"/>
      <c r="P33" s="3406"/>
      <c r="Q33" s="1604" t="str">
        <f t="shared" si="11"/>
        <v>项目建筑规模</v>
      </c>
      <c r="R33" s="1576" t="s">
        <v>11</v>
      </c>
      <c r="S33" s="1577">
        <f t="shared" si="12"/>
        <v>103</v>
      </c>
      <c r="T33" s="1576" t="s">
        <v>11</v>
      </c>
      <c r="U33" s="1577">
        <f t="shared" si="13"/>
        <v>103</v>
      </c>
      <c r="V33" s="1576" t="s">
        <v>11</v>
      </c>
      <c r="W33" s="1577">
        <f t="shared" si="14"/>
        <v>102</v>
      </c>
      <c r="X33" s="1578"/>
      <c r="Y33" s="3406"/>
      <c r="Z33" s="1579" t="str">
        <f t="shared" si="15"/>
        <v>项目建筑规模</v>
      </c>
      <c r="AA33" s="1575">
        <f t="shared" si="3"/>
        <v>0.970873786407767</v>
      </c>
      <c r="AB33" s="1575">
        <f t="shared" si="4"/>
        <v>0.970873786407767</v>
      </c>
      <c r="AC33" s="1575">
        <f t="shared" si="5"/>
        <v>0.98039215686274506</v>
      </c>
    </row>
    <row r="34" spans="1:29" ht="15">
      <c r="A34" s="594"/>
      <c r="B34" s="527" t="s">
        <v>728</v>
      </c>
      <c r="C34" s="881" t="s">
        <v>3078</v>
      </c>
      <c r="D34" s="540">
        <v>100</v>
      </c>
      <c r="E34" s="882" t="s">
        <v>3078</v>
      </c>
      <c r="F34" s="575">
        <f>SUMIF(105:105,E34,106:106)-SUMIF(105:105,C34,106:106)+100</f>
        <v>100</v>
      </c>
      <c r="G34" s="881" t="s">
        <v>3078</v>
      </c>
      <c r="H34" s="540">
        <f>SUMIF(105:105,G34,106:106)-SUMIF(105:105,C34,106:106)+100</f>
        <v>100</v>
      </c>
      <c r="I34" s="882" t="s">
        <v>3078</v>
      </c>
      <c r="J34" s="540">
        <f>SUMIF(105:105,I34,106:106)-SUMIF(105:105,C34,106:106)+100</f>
        <v>100</v>
      </c>
      <c r="K34" s="864"/>
      <c r="L34" s="2141"/>
      <c r="M34" s="2133"/>
      <c r="N34" s="2133"/>
      <c r="O34" s="2140"/>
      <c r="P34" s="3406"/>
      <c r="Q34" s="1571" t="str">
        <f t="shared" si="11"/>
        <v>建筑结构</v>
      </c>
      <c r="R34" s="1572" t="s">
        <v>11</v>
      </c>
      <c r="S34" s="1573">
        <f t="shared" si="12"/>
        <v>100</v>
      </c>
      <c r="T34" s="1572" t="s">
        <v>11</v>
      </c>
      <c r="U34" s="1573">
        <f t="shared" si="13"/>
        <v>100</v>
      </c>
      <c r="V34" s="1572" t="s">
        <v>11</v>
      </c>
      <c r="W34" s="1573">
        <f t="shared" si="14"/>
        <v>100</v>
      </c>
      <c r="X34" s="1566"/>
      <c r="Y34" s="3406"/>
      <c r="Z34" s="1574" t="str">
        <f t="shared" si="15"/>
        <v>建筑结构</v>
      </c>
      <c r="AA34" s="1575">
        <f t="shared" si="3"/>
        <v>1</v>
      </c>
      <c r="AB34" s="1575">
        <f t="shared" si="4"/>
        <v>1</v>
      </c>
      <c r="AC34" s="1575">
        <f t="shared" si="5"/>
        <v>1</v>
      </c>
    </row>
    <row r="35" spans="1:29" ht="15">
      <c r="A35" s="594"/>
      <c r="B35" s="527" t="s">
        <v>729</v>
      </c>
      <c r="C35" s="599" t="s">
        <v>3083</v>
      </c>
      <c r="D35" s="540">
        <v>100</v>
      </c>
      <c r="E35" s="874" t="s">
        <v>3083</v>
      </c>
      <c r="F35" s="575">
        <f>SUMIF(107:107,E35,108:108)-SUMIF(107:107,C35,108:108)+100</f>
        <v>100</v>
      </c>
      <c r="G35" s="599" t="s">
        <v>3083</v>
      </c>
      <c r="H35" s="540">
        <f>SUMIF(107:107,G35,108:108)-SUMIF(107:107,C35,108:108)+100</f>
        <v>100</v>
      </c>
      <c r="I35" s="874" t="s">
        <v>3083</v>
      </c>
      <c r="J35" s="540">
        <f>SUMIF(107:107,I35,108:108)-SUMIF(107:107,C35,108:108)+100</f>
        <v>100</v>
      </c>
      <c r="K35" s="864"/>
      <c r="L35" s="2141"/>
      <c r="M35" s="2133"/>
      <c r="N35" s="2133"/>
      <c r="O35" s="2140"/>
      <c r="P35" s="3406"/>
      <c r="Q35" s="1571" t="str">
        <f t="shared" si="11"/>
        <v>建筑品质</v>
      </c>
      <c r="R35" s="1572" t="s">
        <v>11</v>
      </c>
      <c r="S35" s="1573">
        <f t="shared" si="12"/>
        <v>100</v>
      </c>
      <c r="T35" s="1572" t="s">
        <v>11</v>
      </c>
      <c r="U35" s="1573">
        <f t="shared" si="13"/>
        <v>100</v>
      </c>
      <c r="V35" s="1572" t="s">
        <v>11</v>
      </c>
      <c r="W35" s="1573">
        <f t="shared" si="14"/>
        <v>100</v>
      </c>
      <c r="X35" s="1566"/>
      <c r="Y35" s="3406"/>
      <c r="Z35" s="1574" t="str">
        <f t="shared" si="15"/>
        <v>建筑品质</v>
      </c>
      <c r="AA35" s="1575">
        <f t="shared" si="3"/>
        <v>1</v>
      </c>
      <c r="AB35" s="1575">
        <f t="shared" si="4"/>
        <v>1</v>
      </c>
      <c r="AC35" s="1575">
        <f t="shared" si="5"/>
        <v>1</v>
      </c>
    </row>
    <row r="36" spans="1:29" ht="15">
      <c r="A36" s="594"/>
      <c r="B36" s="527" t="s">
        <v>730</v>
      </c>
      <c r="C36" s="599" t="s">
        <v>3086</v>
      </c>
      <c r="D36" s="540">
        <v>100</v>
      </c>
      <c r="E36" s="874" t="s">
        <v>3086</v>
      </c>
      <c r="F36" s="575">
        <f>SUMIF(109:109,E36,110:110)-SUMIF(109:109,C36,110:110)+100</f>
        <v>100</v>
      </c>
      <c r="G36" s="599" t="s">
        <v>3086</v>
      </c>
      <c r="H36" s="540">
        <f>SUMIF(109:109,G36,110:110)-SUMIF(109:109,C36,110:110)+100</f>
        <v>100</v>
      </c>
      <c r="I36" s="874" t="s">
        <v>3086</v>
      </c>
      <c r="J36" s="540">
        <f>SUMIF(109:109,I36,110:110)-SUMIF(109:109,C36,110:110)+100</f>
        <v>100</v>
      </c>
      <c r="K36" s="864"/>
      <c r="L36" s="2141"/>
      <c r="M36" s="2133"/>
      <c r="N36" s="2133"/>
      <c r="O36" s="2140"/>
      <c r="P36" s="3406"/>
      <c r="Q36" s="1571" t="str">
        <f t="shared" si="11"/>
        <v>公共部分装修</v>
      </c>
      <c r="R36" s="1572" t="s">
        <v>11</v>
      </c>
      <c r="S36" s="1573">
        <f t="shared" si="12"/>
        <v>100</v>
      </c>
      <c r="T36" s="1572" t="s">
        <v>11</v>
      </c>
      <c r="U36" s="1573">
        <f t="shared" si="13"/>
        <v>100</v>
      </c>
      <c r="V36" s="1572" t="s">
        <v>11</v>
      </c>
      <c r="W36" s="1573">
        <f t="shared" si="14"/>
        <v>100</v>
      </c>
      <c r="X36" s="1566"/>
      <c r="Y36" s="3406"/>
      <c r="Z36" s="1574" t="str">
        <f t="shared" si="15"/>
        <v>公共部分装修</v>
      </c>
      <c r="AA36" s="1575">
        <f t="shared" si="3"/>
        <v>1</v>
      </c>
      <c r="AB36" s="1575">
        <f t="shared" si="4"/>
        <v>1</v>
      </c>
      <c r="AC36" s="1575">
        <f t="shared" si="5"/>
        <v>1</v>
      </c>
    </row>
    <row r="37" spans="1:29" s="1219" customFormat="1" ht="15">
      <c r="A37" s="600"/>
      <c r="B37" s="527" t="s">
        <v>731</v>
      </c>
      <c r="C37" s="883">
        <v>1</v>
      </c>
      <c r="D37" s="255">
        <v>100</v>
      </c>
      <c r="E37" s="884">
        <v>0.95</v>
      </c>
      <c r="F37" s="863">
        <f>LOOKUP(E37,112:112,113:113)-LOOKUP(C37,112:112,113:113)+100</f>
        <v>100</v>
      </c>
      <c r="G37" s="885">
        <v>0.95</v>
      </c>
      <c r="H37" s="255">
        <f>LOOKUP(G37,112:112,113:113)-LOOKUP(C37,112:112,113:113)+100</f>
        <v>100</v>
      </c>
      <c r="I37" s="884">
        <v>0.95</v>
      </c>
      <c r="J37" s="255">
        <f>LOOKUP(I37,112:112,113:113)-LOOKUP(C37,112:112,113:113)+100</f>
        <v>100</v>
      </c>
      <c r="K37" s="864"/>
      <c r="L37" s="2134"/>
      <c r="M37" s="2135"/>
      <c r="N37" s="2135"/>
      <c r="O37" s="2136"/>
      <c r="P37" s="3406"/>
      <c r="Q37" s="1150" t="str">
        <f t="shared" si="11"/>
        <v>成新度</v>
      </c>
      <c r="R37" s="1567" t="s">
        <v>11</v>
      </c>
      <c r="S37" s="1568">
        <f t="shared" si="12"/>
        <v>100</v>
      </c>
      <c r="T37" s="1567" t="s">
        <v>11</v>
      </c>
      <c r="U37" s="1568">
        <f t="shared" si="13"/>
        <v>100</v>
      </c>
      <c r="V37" s="1567" t="s">
        <v>11</v>
      </c>
      <c r="W37" s="1568">
        <f t="shared" si="14"/>
        <v>100</v>
      </c>
      <c r="X37" s="1569"/>
      <c r="Y37" s="3406"/>
      <c r="Z37" s="1149" t="str">
        <f t="shared" si="15"/>
        <v>成新度</v>
      </c>
      <c r="AA37" s="1570">
        <f t="shared" si="3"/>
        <v>1</v>
      </c>
      <c r="AB37" s="1570">
        <f t="shared" si="4"/>
        <v>1</v>
      </c>
      <c r="AC37" s="1570">
        <f t="shared" si="5"/>
        <v>1</v>
      </c>
    </row>
    <row r="38" spans="1:29" ht="15">
      <c r="A38" s="594"/>
      <c r="B38" s="527" t="s">
        <v>732</v>
      </c>
      <c r="C38" s="599" t="s">
        <v>3092</v>
      </c>
      <c r="D38" s="540">
        <v>100</v>
      </c>
      <c r="E38" s="874" t="s">
        <v>3092</v>
      </c>
      <c r="F38" s="575">
        <f>SUMIF(114:114,E38,115:115)-SUMIF(114:114,C38,115:115)+100</f>
        <v>100</v>
      </c>
      <c r="G38" s="599" t="s">
        <v>3092</v>
      </c>
      <c r="H38" s="540">
        <f>SUMIF(114:114,G38,115:115)-SUMIF(114:114,C38,115:115)+100</f>
        <v>100</v>
      </c>
      <c r="I38" s="874" t="s">
        <v>3092</v>
      </c>
      <c r="J38" s="540">
        <f>SUMIF(114:114,I38,115:115)-SUMIF(114:114,C38,115:115)+100</f>
        <v>100</v>
      </c>
      <c r="K38" s="864"/>
      <c r="L38" s="2141"/>
      <c r="M38" s="2133"/>
      <c r="N38" s="2133"/>
      <c r="O38" s="2140"/>
      <c r="P38" s="3406" t="s">
        <v>551</v>
      </c>
      <c r="Q38" s="1571" t="str">
        <f t="shared" si="11"/>
        <v>物业管理</v>
      </c>
      <c r="R38" s="1572" t="s">
        <v>11</v>
      </c>
      <c r="S38" s="1573">
        <f t="shared" si="12"/>
        <v>100</v>
      </c>
      <c r="T38" s="1572" t="s">
        <v>11</v>
      </c>
      <c r="U38" s="1573">
        <f t="shared" si="13"/>
        <v>100</v>
      </c>
      <c r="V38" s="1572" t="s">
        <v>11</v>
      </c>
      <c r="W38" s="1573">
        <f t="shared" si="14"/>
        <v>100</v>
      </c>
      <c r="X38" s="1566"/>
      <c r="Y38" s="3406" t="s">
        <v>551</v>
      </c>
      <c r="Z38" s="1574" t="str">
        <f t="shared" si="15"/>
        <v>物业管理</v>
      </c>
      <c r="AA38" s="1575">
        <f t="shared" si="3"/>
        <v>1</v>
      </c>
      <c r="AB38" s="1575">
        <f t="shared" si="4"/>
        <v>1</v>
      </c>
      <c r="AC38" s="1575">
        <f t="shared" si="5"/>
        <v>1</v>
      </c>
    </row>
    <row r="39" spans="1:29" ht="15">
      <c r="A39" s="594"/>
      <c r="B39" s="1894" t="s">
        <v>2564</v>
      </c>
      <c r="C39" s="599" t="s">
        <v>3048</v>
      </c>
      <c r="D39" s="540">
        <v>100</v>
      </c>
      <c r="E39" s="874" t="s">
        <v>3048</v>
      </c>
      <c r="F39" s="575">
        <f>SUMIF(116:116,E39,117:117)-SUMIF(116:116,C39,117:117)+100</f>
        <v>100</v>
      </c>
      <c r="G39" s="599" t="s">
        <v>3048</v>
      </c>
      <c r="H39" s="540">
        <f>SUMIF(116:116,G39,117:117)-SUMIF(116:116,C39,117:117)+100</f>
        <v>100</v>
      </c>
      <c r="I39" s="874" t="s">
        <v>3048</v>
      </c>
      <c r="J39" s="540">
        <f>SUMIF(116:116,I39,117:117)-SUMIF(116:116,C39,117:117)+100</f>
        <v>100</v>
      </c>
      <c r="K39" s="864"/>
      <c r="L39" s="2141"/>
      <c r="M39" s="2133"/>
      <c r="N39" s="2133"/>
      <c r="O39" s="2140"/>
      <c r="P39" s="3406"/>
      <c r="Q39" s="1571" t="str">
        <f t="shared" si="11"/>
        <v>市政基础设施</v>
      </c>
      <c r="R39" s="1572" t="s">
        <v>11</v>
      </c>
      <c r="S39" s="1573">
        <f t="shared" si="12"/>
        <v>100</v>
      </c>
      <c r="T39" s="1572" t="s">
        <v>11</v>
      </c>
      <c r="U39" s="1573">
        <f t="shared" si="13"/>
        <v>100</v>
      </c>
      <c r="V39" s="1572" t="s">
        <v>11</v>
      </c>
      <c r="W39" s="1573">
        <f t="shared" si="14"/>
        <v>100</v>
      </c>
      <c r="X39" s="1566"/>
      <c r="Y39" s="3406"/>
      <c r="Z39" s="1574" t="str">
        <f t="shared" si="15"/>
        <v>市政基础设施</v>
      </c>
      <c r="AA39" s="1575">
        <f t="shared" si="3"/>
        <v>1</v>
      </c>
      <c r="AB39" s="1575">
        <f t="shared" si="4"/>
        <v>1</v>
      </c>
      <c r="AC39" s="1575">
        <f t="shared" si="5"/>
        <v>1</v>
      </c>
    </row>
    <row r="40" spans="1:29" ht="15" hidden="1">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1"/>
      <c r="M40" s="2133"/>
      <c r="N40" s="2133"/>
      <c r="O40" s="2140"/>
      <c r="P40" s="3406"/>
      <c r="Q40" s="1571" t="str">
        <f t="shared" si="11"/>
        <v>房型</v>
      </c>
      <c r="R40" s="1572" t="s">
        <v>11</v>
      </c>
      <c r="S40" s="1573">
        <f t="shared" si="12"/>
        <v>100</v>
      </c>
      <c r="T40" s="1572" t="s">
        <v>11</v>
      </c>
      <c r="U40" s="1573">
        <f t="shared" si="13"/>
        <v>100</v>
      </c>
      <c r="V40" s="1572" t="s">
        <v>11</v>
      </c>
      <c r="W40" s="1573">
        <f t="shared" si="14"/>
        <v>100</v>
      </c>
      <c r="X40" s="1566"/>
      <c r="Y40" s="3406"/>
      <c r="Z40" s="1574" t="str">
        <f t="shared" si="15"/>
        <v>房型</v>
      </c>
      <c r="AA40" s="1575">
        <f t="shared" si="3"/>
        <v>1</v>
      </c>
      <c r="AB40" s="1575">
        <f t="shared" si="4"/>
        <v>1</v>
      </c>
      <c r="AC40" s="1575">
        <f t="shared" si="5"/>
        <v>1</v>
      </c>
    </row>
    <row r="41" spans="1:29" s="1338" customFormat="1" ht="28.5">
      <c r="A41" s="603"/>
      <c r="B41" s="527" t="s">
        <v>734</v>
      </c>
      <c r="C41" s="880" t="s">
        <v>3103</v>
      </c>
      <c r="D41" s="255">
        <v>100</v>
      </c>
      <c r="E41" s="534">
        <v>113</v>
      </c>
      <c r="F41" s="863">
        <f>SUMIF(120:120,E41,121:121)-SUMIF(120:120,C41,121:121)+100</f>
        <v>99</v>
      </c>
      <c r="G41" s="533">
        <v>97</v>
      </c>
      <c r="H41" s="255">
        <f>SUMIF(120:120,G41,121:121)-SUMIF(120:120,C41,121:121)+100</f>
        <v>100</v>
      </c>
      <c r="I41" s="586">
        <v>91</v>
      </c>
      <c r="J41" s="540">
        <f>SUMIF(120:120,I41,121:121)-SUMIF(120:120,C41,121:121)+100</f>
        <v>100</v>
      </c>
      <c r="K41" s="865"/>
      <c r="L41" s="2139"/>
      <c r="M41" s="2170"/>
      <c r="N41" s="2170"/>
      <c r="O41" s="2142"/>
      <c r="P41" s="3406"/>
      <c r="Q41" s="1604" t="str">
        <f t="shared" si="11"/>
        <v>单套/主力户型建筑面积</v>
      </c>
      <c r="R41" s="1576" t="s">
        <v>11</v>
      </c>
      <c r="S41" s="1577">
        <f t="shared" si="12"/>
        <v>99</v>
      </c>
      <c r="T41" s="1576" t="s">
        <v>11</v>
      </c>
      <c r="U41" s="1577">
        <f t="shared" si="13"/>
        <v>100</v>
      </c>
      <c r="V41" s="1576" t="s">
        <v>11</v>
      </c>
      <c r="W41" s="1577">
        <f t="shared" si="14"/>
        <v>100</v>
      </c>
      <c r="X41" s="1578"/>
      <c r="Y41" s="3406"/>
      <c r="Z41" s="1579" t="str">
        <f t="shared" si="15"/>
        <v>单套/主力户型建筑面积</v>
      </c>
      <c r="AA41" s="1575">
        <f t="shared" si="3"/>
        <v>1.0101010101010102</v>
      </c>
      <c r="AB41" s="1575">
        <f t="shared" si="4"/>
        <v>1</v>
      </c>
      <c r="AC41" s="1575">
        <f t="shared" si="5"/>
        <v>1</v>
      </c>
    </row>
    <row r="42" spans="1:29" ht="15">
      <c r="A42" s="594"/>
      <c r="B42" s="527" t="s">
        <v>735</v>
      </c>
      <c r="C42" s="599" t="s">
        <v>3090</v>
      </c>
      <c r="D42" s="540">
        <v>100</v>
      </c>
      <c r="E42" s="874" t="s">
        <v>3088</v>
      </c>
      <c r="F42" s="575">
        <f>SUMIF(122:122,E42,123:123)-SUMIF(122:122,C42,123:123)+100</f>
        <v>102</v>
      </c>
      <c r="G42" s="599" t="s">
        <v>3090</v>
      </c>
      <c r="H42" s="540">
        <f>SUMIF(122:122,G42,123:123)-SUMIF(122:122,C42,123:123)+100</f>
        <v>100</v>
      </c>
      <c r="I42" s="874" t="s">
        <v>3088</v>
      </c>
      <c r="J42" s="540">
        <f>SUMIF(122:122,I42,123:123)-SUMIF(122:122,C42,123:123)+100</f>
        <v>102</v>
      </c>
      <c r="K42" s="864">
        <v>2</v>
      </c>
      <c r="L42" s="2141"/>
      <c r="M42" s="2133"/>
      <c r="N42" s="2133"/>
      <c r="O42" s="2140"/>
      <c r="P42" s="3406"/>
      <c r="Q42" s="1571" t="str">
        <f t="shared" si="11"/>
        <v>内部装修</v>
      </c>
      <c r="R42" s="1572" t="s">
        <v>11</v>
      </c>
      <c r="S42" s="1573">
        <f t="shared" si="12"/>
        <v>102</v>
      </c>
      <c r="T42" s="1572" t="s">
        <v>11</v>
      </c>
      <c r="U42" s="1573">
        <f t="shared" si="13"/>
        <v>100</v>
      </c>
      <c r="V42" s="1572" t="s">
        <v>11</v>
      </c>
      <c r="W42" s="1573">
        <f t="shared" si="14"/>
        <v>102</v>
      </c>
      <c r="X42" s="1566"/>
      <c r="Y42" s="3406"/>
      <c r="Z42" s="1574" t="str">
        <f t="shared" si="15"/>
        <v>内部装修</v>
      </c>
      <c r="AA42" s="1575">
        <f t="shared" si="3"/>
        <v>0.98039215686274506</v>
      </c>
      <c r="AB42" s="1575">
        <f t="shared" si="4"/>
        <v>1</v>
      </c>
      <c r="AC42" s="1575">
        <f t="shared" si="5"/>
        <v>0.98039215686274506</v>
      </c>
    </row>
    <row r="43" spans="1:29" ht="27">
      <c r="A43" s="594"/>
      <c r="B43" s="527" t="s">
        <v>736</v>
      </c>
      <c r="C43" s="599" t="s">
        <v>3041</v>
      </c>
      <c r="D43" s="540">
        <v>100</v>
      </c>
      <c r="E43" s="874" t="s">
        <v>3041</v>
      </c>
      <c r="F43" s="575">
        <f>SUMIF(124:124,E43,125:125)-SUMIF(124:124,C43,125:125)+100</f>
        <v>100</v>
      </c>
      <c r="G43" s="599" t="s">
        <v>3041</v>
      </c>
      <c r="H43" s="540">
        <f>SUMIF(124:124,G43,125:125)-SUMIF(124:124,C43,125:125)+100</f>
        <v>100</v>
      </c>
      <c r="I43" s="874" t="s">
        <v>3041</v>
      </c>
      <c r="J43" s="540">
        <f>SUMIF(124:124,I43,125:125)-SUMIF(124:124,C43,125:125)+100</f>
        <v>100</v>
      </c>
      <c r="K43" s="864"/>
      <c r="L43" s="2141"/>
      <c r="M43" s="2133"/>
      <c r="N43" s="2133"/>
      <c r="O43" s="2140"/>
      <c r="P43" s="3406"/>
      <c r="Q43" s="1571" t="str">
        <f t="shared" si="11"/>
        <v>内部装修维护情况</v>
      </c>
      <c r="R43" s="1572" t="s">
        <v>11</v>
      </c>
      <c r="S43" s="1573">
        <f t="shared" si="12"/>
        <v>100</v>
      </c>
      <c r="T43" s="1572" t="s">
        <v>11</v>
      </c>
      <c r="U43" s="1573">
        <f t="shared" si="13"/>
        <v>100</v>
      </c>
      <c r="V43" s="1572" t="s">
        <v>11</v>
      </c>
      <c r="W43" s="1573">
        <f t="shared" si="14"/>
        <v>100</v>
      </c>
      <c r="X43" s="1566"/>
      <c r="Y43" s="3406"/>
      <c r="Z43" s="1574" t="str">
        <f t="shared" si="15"/>
        <v>内部装修维护情况</v>
      </c>
      <c r="AA43" s="1575">
        <f t="shared" si="3"/>
        <v>1</v>
      </c>
      <c r="AB43" s="1575">
        <f t="shared" si="4"/>
        <v>1</v>
      </c>
      <c r="AC43" s="1575">
        <f t="shared" si="5"/>
        <v>1</v>
      </c>
    </row>
    <row r="44" spans="1:29" s="1219" customFormat="1" ht="15.75" thickBot="1">
      <c r="A44" s="600"/>
      <c r="B44" s="3190" t="s">
        <v>3107</v>
      </c>
      <c r="C44" s="3191" t="s">
        <v>3108</v>
      </c>
      <c r="D44" s="255">
        <v>100</v>
      </c>
      <c r="E44" s="3191" t="s">
        <v>3109</v>
      </c>
      <c r="F44" s="863">
        <f>SUMIF(126:126,E44,127:127)-SUMIF(126:126,C44,127:127)+100</f>
        <v>103</v>
      </c>
      <c r="G44" s="3191" t="s">
        <v>3109</v>
      </c>
      <c r="H44" s="255">
        <f>SUMIF(126:126,G44,127:127)-SUMIF(126:126,C44,127:127)+100</f>
        <v>103</v>
      </c>
      <c r="I44" s="3191" t="s">
        <v>3109</v>
      </c>
      <c r="J44" s="255">
        <f>SUMIF(126:126,I44,127:127)-SUMIF(126:126,C44,127:127)+100</f>
        <v>103</v>
      </c>
      <c r="K44" s="865"/>
      <c r="L44" s="2134"/>
      <c r="M44" s="2135"/>
      <c r="N44" s="2135"/>
      <c r="O44" s="2136"/>
      <c r="P44" s="3406"/>
      <c r="Q44" s="1150" t="str">
        <f t="shared" si="11"/>
        <v>房屋状态</v>
      </c>
      <c r="R44" s="1567" t="s">
        <v>11</v>
      </c>
      <c r="S44" s="1568">
        <f t="shared" si="12"/>
        <v>103</v>
      </c>
      <c r="T44" s="1567" t="s">
        <v>11</v>
      </c>
      <c r="U44" s="1568">
        <f t="shared" si="13"/>
        <v>103</v>
      </c>
      <c r="V44" s="1567" t="s">
        <v>11</v>
      </c>
      <c r="W44" s="1568">
        <f t="shared" si="14"/>
        <v>103</v>
      </c>
      <c r="X44" s="1569"/>
      <c r="Y44" s="3406"/>
      <c r="Z44" s="1149" t="str">
        <f t="shared" si="15"/>
        <v>房屋状态</v>
      </c>
      <c r="AA44" s="1570">
        <f t="shared" si="3"/>
        <v>0.970873786407767</v>
      </c>
      <c r="AB44" s="1570">
        <f t="shared" si="4"/>
        <v>0.970873786407767</v>
      </c>
      <c r="AC44" s="1570">
        <f t="shared" si="5"/>
        <v>0.970873786407767</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06"/>
      <c r="Q45" s="1571">
        <f t="shared" si="11"/>
        <v>111</v>
      </c>
      <c r="R45" s="1572" t="s">
        <v>11</v>
      </c>
      <c r="S45" s="1573">
        <f t="shared" si="12"/>
        <v>100</v>
      </c>
      <c r="T45" s="1572" t="s">
        <v>11</v>
      </c>
      <c r="U45" s="1573">
        <f t="shared" si="13"/>
        <v>100</v>
      </c>
      <c r="V45" s="1572" t="s">
        <v>11</v>
      </c>
      <c r="W45" s="1573">
        <f t="shared" si="14"/>
        <v>100</v>
      </c>
      <c r="X45" s="1566"/>
      <c r="Y45" s="3406"/>
      <c r="Z45" s="1574">
        <f t="shared" si="15"/>
        <v>111</v>
      </c>
      <c r="AA45" s="1575">
        <f t="shared" si="3"/>
        <v>1</v>
      </c>
      <c r="AB45" s="1575">
        <f t="shared" si="4"/>
        <v>1</v>
      </c>
      <c r="AC45" s="1575">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61"/>
      <c r="Q46" s="1571">
        <f t="shared" si="11"/>
        <v>111</v>
      </c>
      <c r="R46" s="1572" t="s">
        <v>10</v>
      </c>
      <c r="S46" s="1573">
        <f t="shared" si="12"/>
        <v>100</v>
      </c>
      <c r="T46" s="1572" t="s">
        <v>10</v>
      </c>
      <c r="U46" s="1573">
        <f t="shared" si="13"/>
        <v>100</v>
      </c>
      <c r="V46" s="1572" t="s">
        <v>10</v>
      </c>
      <c r="W46" s="1573">
        <f t="shared" si="14"/>
        <v>100</v>
      </c>
      <c r="X46" s="1566"/>
      <c r="Y46" s="3461"/>
      <c r="Z46" s="1574">
        <f t="shared" si="15"/>
        <v>111</v>
      </c>
      <c r="AA46" s="1575">
        <f t="shared" si="3"/>
        <v>1</v>
      </c>
      <c r="AB46" s="1575">
        <f t="shared" si="4"/>
        <v>1</v>
      </c>
      <c r="AC46" s="1575">
        <f t="shared" si="5"/>
        <v>1</v>
      </c>
    </row>
    <row r="47" spans="1:29" ht="15">
      <c r="A47" s="607" t="s">
        <v>737</v>
      </c>
      <c r="B47" s="887"/>
      <c r="C47" s="2650" t="s">
        <v>9</v>
      </c>
      <c r="D47" s="2651"/>
      <c r="E47" s="2652">
        <v>9292</v>
      </c>
      <c r="F47" s="2653"/>
      <c r="G47" s="2654">
        <v>10103</v>
      </c>
      <c r="H47" s="2655"/>
      <c r="I47" s="2652">
        <v>10989</v>
      </c>
      <c r="J47" s="2655"/>
      <c r="K47" s="1605"/>
      <c r="L47" s="2143"/>
      <c r="M47" s="2144"/>
      <c r="N47" s="2133"/>
      <c r="O47" s="2144"/>
      <c r="P47" s="3367" t="str">
        <f>A47</f>
        <v>成交单价（元/平方米）</v>
      </c>
      <c r="Q47" s="3367"/>
      <c r="R47" s="3460">
        <f>E47</f>
        <v>9292</v>
      </c>
      <c r="S47" s="3460"/>
      <c r="T47" s="3460">
        <f>G47</f>
        <v>10103</v>
      </c>
      <c r="U47" s="3460"/>
      <c r="V47" s="3460">
        <f>I47</f>
        <v>10989</v>
      </c>
      <c r="W47" s="3460"/>
      <c r="X47" s="1558"/>
      <c r="Y47" s="1580"/>
      <c r="Z47" s="1558"/>
      <c r="AA47" s="1558"/>
      <c r="AB47" s="1558"/>
      <c r="AC47" s="1558"/>
    </row>
    <row r="48" spans="1:29" ht="15.75" thickBot="1">
      <c r="A48" s="615" t="s">
        <v>2761</v>
      </c>
      <c r="B48" s="888"/>
      <c r="C48" s="2656">
        <f>R49</f>
        <v>9172</v>
      </c>
      <c r="D48" s="2657"/>
      <c r="E48" s="2658">
        <f>R48</f>
        <v>8506</v>
      </c>
      <c r="F48" s="2658"/>
      <c r="G48" s="2656">
        <f>T48</f>
        <v>9246</v>
      </c>
      <c r="H48" s="2657"/>
      <c r="I48" s="2658">
        <f>V48</f>
        <v>9764</v>
      </c>
      <c r="J48" s="2657"/>
      <c r="K48" s="1606"/>
      <c r="L48" s="2143"/>
      <c r="M48" s="2144"/>
      <c r="N48" s="2144"/>
      <c r="O48" s="2144"/>
      <c r="P48" s="3367" t="str">
        <f>A48</f>
        <v>比较价格（元/平方米）</v>
      </c>
      <c r="Q48" s="3367"/>
      <c r="R48" s="3460">
        <f>IF(F1="售价",ROUND(PRODUCT(R47,AA7:AA46),0),ROUND(PRODUCT(R47,AA7:AA46),1))</f>
        <v>8506</v>
      </c>
      <c r="S48" s="3460"/>
      <c r="T48" s="3460">
        <f>IF(F1="售价",ROUND(PRODUCT(T47,AB7:AB46),0),ROUND(PRODUCT(T47,AB7:AB46),1))</f>
        <v>9246</v>
      </c>
      <c r="U48" s="3460"/>
      <c r="V48" s="3460">
        <f>IF(F1="售价",ROUND(PRODUCT(V47,AC7:AC46),0),ROUND(PRODUCT(V47,AC7:AC46),1))</f>
        <v>9764</v>
      </c>
      <c r="W48" s="3460"/>
      <c r="X48" s="1558"/>
      <c r="Y48" s="1558"/>
      <c r="Z48" s="1558"/>
      <c r="AA48" s="1558"/>
      <c r="AB48" s="1558"/>
      <c r="AC48" s="1558"/>
    </row>
    <row r="49" spans="1:29" ht="15.75" thickBot="1">
      <c r="A49" s="621" t="s">
        <v>2933</v>
      </c>
      <c r="B49" s="622"/>
      <c r="C49" s="2659">
        <f>R49</f>
        <v>9172</v>
      </c>
      <c r="D49" s="2659"/>
      <c r="E49" s="2659"/>
      <c r="F49" s="2659"/>
      <c r="G49" s="2659"/>
      <c r="H49" s="2659"/>
      <c r="I49" s="2659"/>
      <c r="J49" s="2659"/>
      <c r="K49" s="1607"/>
      <c r="L49" s="2143"/>
      <c r="M49" s="2144"/>
      <c r="N49" s="2144"/>
      <c r="O49" s="2144"/>
      <c r="P49" s="3364" t="str">
        <f>A49</f>
        <v>估价对象XX用房的比较价格（楼面单价，元/平方米）</v>
      </c>
      <c r="Q49" s="3365"/>
      <c r="R49" s="3459">
        <f>IF(F1="售价",ROUND(AVERAGE(R48:V48),0),ROUND(AVERAGE(R48:V48),1))</f>
        <v>9172</v>
      </c>
      <c r="S49" s="3459"/>
      <c r="T49" s="3459"/>
      <c r="U49" s="3459"/>
      <c r="V49" s="3459"/>
      <c r="W49" s="3459"/>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558</v>
      </c>
      <c r="D52" s="625"/>
      <c r="E52" s="626">
        <f>IF(E47&lt;E48,E48/E47-1,E47/E48-1)</f>
        <v>9.2405360921702373E-2</v>
      </c>
      <c r="F52" s="627" t="str">
        <f>IF(OR(E52&gt;=0.3,E52&lt;=-0.3),"超过30%","")</f>
        <v/>
      </c>
      <c r="G52" s="626">
        <f>IF(G47&lt;G48,G48/G47-1,G47/G48-1)</f>
        <v>9.2688730261734742E-2</v>
      </c>
      <c r="H52" s="627" t="str">
        <f>IF(OR(G52&gt;=0.3,G52&lt;=-0.3),"超过30%","")</f>
        <v/>
      </c>
      <c r="I52" s="626">
        <f>IF(I47&lt;I48,I48/I47-1,I47/I48-1)</f>
        <v>0.12546087668988126</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559</v>
      </c>
      <c r="D53" s="628"/>
      <c r="E53" s="626">
        <f>IF(E48&lt;G48,G48/E48-1,E48/G48-1)</f>
        <v>8.6997413590406802E-2</v>
      </c>
      <c r="F53" s="627" t="str">
        <f>IF(OR(E53&gt;=0.2,E53&lt;=-0.2),"超过20%","")</f>
        <v/>
      </c>
      <c r="G53" s="626">
        <f>IF(G48&lt;I48,I48/G48-1,G48/I48-1)</f>
        <v>5.6024226692623857E-2</v>
      </c>
      <c r="H53" s="627" t="str">
        <f>IF(OR(G53&gt;=0.2,G53&lt;=-0.2),"超过20%","")</f>
        <v/>
      </c>
      <c r="I53" s="626">
        <f>IF(I48&lt;E48,E48/I48-1,I48/E48-1)</f>
        <v>0.14789560310369154</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560</v>
      </c>
      <c r="D54" s="628"/>
      <c r="E54" s="626">
        <f>IF(E47&lt;G47,G47/E47-1,E47/G47-1)</f>
        <v>8.7279380111924265E-2</v>
      </c>
      <c r="F54" s="627" t="str">
        <f>IF(OR(E54&gt;=0.3,E54&lt;=-0.3),"超过30%","")</f>
        <v/>
      </c>
      <c r="G54" s="626">
        <f>IF(G47&lt;I47,I47/G47-1,G47/I47-1)</f>
        <v>8.7696723745422256E-2</v>
      </c>
      <c r="H54" s="627" t="str">
        <f>IF(OR(G54&gt;=0.3,G54&lt;=-0.3),"超过30%","")</f>
        <v/>
      </c>
      <c r="I54" s="626">
        <f>IF(I47&lt;E47,E47/I47-1,I47/E47-1)</f>
        <v>0.18263021954369352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575</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530</v>
      </c>
      <c r="B58" s="646"/>
      <c r="C58" s="2829" t="str">
        <f>YEAR(C7)&amp;"-"&amp;MONTH(C7)</f>
        <v>2017-11</v>
      </c>
      <c r="D58" s="2829">
        <f>EDATE(C58,-1)</f>
        <v>43009</v>
      </c>
      <c r="E58" s="2829">
        <f t="shared" ref="E58:O58" si="16">EDATE(D58,-1)</f>
        <v>42979</v>
      </c>
      <c r="F58" s="2829">
        <f t="shared" si="16"/>
        <v>42948</v>
      </c>
      <c r="G58" s="2829">
        <f t="shared" si="16"/>
        <v>42917</v>
      </c>
      <c r="H58" s="2829">
        <f t="shared" si="16"/>
        <v>42887</v>
      </c>
      <c r="I58" s="2829">
        <f t="shared" si="16"/>
        <v>42856</v>
      </c>
      <c r="J58" s="2829">
        <f t="shared" si="16"/>
        <v>42826</v>
      </c>
      <c r="K58" s="2829">
        <f t="shared" si="16"/>
        <v>42795</v>
      </c>
      <c r="L58" s="2829">
        <f t="shared" si="16"/>
        <v>42767</v>
      </c>
      <c r="M58" s="2829">
        <f t="shared" si="16"/>
        <v>42736</v>
      </c>
      <c r="N58" s="2829">
        <f t="shared" si="16"/>
        <v>42705</v>
      </c>
      <c r="O58" s="2829">
        <f t="shared" si="16"/>
        <v>42675</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576</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532</v>
      </c>
      <c r="B61" s="648"/>
      <c r="C61" s="660" t="s">
        <v>577</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578</v>
      </c>
      <c r="B63" s="665" t="s">
        <v>535</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539</v>
      </c>
      <c r="C67" s="682" t="str">
        <f>C68&amp;"（含）"&amp;"-"&amp;D68</f>
        <v>0（含）-2</v>
      </c>
      <c r="D67" s="682" t="str">
        <f t="shared" ref="D67:L67" si="18">D68&amp;"（含）"&amp;"-"&amp;E68</f>
        <v>2（含）-4</v>
      </c>
      <c r="E67" s="682" t="str">
        <f t="shared" si="18"/>
        <v>4（含）-6</v>
      </c>
      <c r="F67" s="682" t="str">
        <f t="shared" si="18"/>
        <v>6（含）-8</v>
      </c>
      <c r="G67" s="682" t="str">
        <f t="shared" si="18"/>
        <v>8（含）-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2</v>
      </c>
      <c r="E68" s="541">
        <v>4</v>
      </c>
      <c r="F68" s="541">
        <v>6</v>
      </c>
      <c r="G68" s="541">
        <v>8</v>
      </c>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5"/>
      <c r="O69" s="2165"/>
      <c r="P69" s="2164"/>
      <c r="Q69" s="2157"/>
      <c r="R69" s="2144"/>
      <c r="S69" s="2144"/>
      <c r="T69" s="2144"/>
      <c r="U69" s="2144"/>
      <c r="V69" s="2144"/>
      <c r="W69" s="2144"/>
      <c r="X69" s="2144"/>
      <c r="Y69" s="2144"/>
      <c r="Z69" s="2144"/>
      <c r="AA69" s="2144"/>
      <c r="AB69" s="2144"/>
      <c r="AC69" s="2144"/>
    </row>
    <row r="70" spans="1:29" s="1338" customFormat="1" ht="15.75" hidden="1"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hidden="1"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hidden="1"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hidden="1"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hidden="1"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hidden="1"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ht="15" thickTop="1">
      <c r="A76" s="664" t="s">
        <v>540</v>
      </c>
      <c r="B76" s="665" t="s">
        <v>579</v>
      </c>
      <c r="C76" s="703" t="s">
        <v>580</v>
      </c>
      <c r="D76" s="703" t="s">
        <v>581</v>
      </c>
      <c r="E76" s="703" t="s">
        <v>582</v>
      </c>
      <c r="F76" s="703" t="s">
        <v>583</v>
      </c>
      <c r="G76" s="703" t="s">
        <v>584</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97</v>
      </c>
      <c r="E77" s="679">
        <f>D77-$K15</f>
        <v>94</v>
      </c>
      <c r="F77" s="679">
        <f>E77-$K15</f>
        <v>91</v>
      </c>
      <c r="G77" s="679">
        <f>F77-$K15</f>
        <v>88</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587</v>
      </c>
      <c r="C78" s="708" t="s">
        <v>580</v>
      </c>
      <c r="D78" s="708" t="s">
        <v>581</v>
      </c>
      <c r="E78" s="708" t="s">
        <v>582</v>
      </c>
      <c r="F78" s="708" t="s">
        <v>583</v>
      </c>
      <c r="G78" s="708" t="s">
        <v>584</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580</v>
      </c>
      <c r="D80" s="708" t="s">
        <v>581</v>
      </c>
      <c r="E80" s="708" t="s">
        <v>582</v>
      </c>
      <c r="F80" s="708" t="s">
        <v>583</v>
      </c>
      <c r="G80" s="708" t="s">
        <v>584</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97</v>
      </c>
      <c r="E81" s="679">
        <f>D81-$K19</f>
        <v>94</v>
      </c>
      <c r="F81" s="679">
        <f>E81-$K19</f>
        <v>91</v>
      </c>
      <c r="G81" s="679">
        <f>F81-$K19</f>
        <v>88</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620" t="s">
        <v>2558</v>
      </c>
      <c r="C82" s="2621" t="s">
        <v>2559</v>
      </c>
      <c r="D82" s="2621" t="s">
        <v>2560</v>
      </c>
      <c r="E82" s="2621" t="s">
        <v>2561</v>
      </c>
      <c r="F82" s="2621" t="s">
        <v>2562</v>
      </c>
      <c r="G82" s="2621" t="s">
        <v>2563</v>
      </c>
      <c r="H82" s="674"/>
      <c r="I82" s="674"/>
      <c r="J82" s="674"/>
      <c r="K82" s="674"/>
      <c r="L82" s="674"/>
      <c r="M82" s="2624"/>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745</v>
      </c>
      <c r="C84" s="708" t="s">
        <v>580</v>
      </c>
      <c r="D84" s="708" t="s">
        <v>581</v>
      </c>
      <c r="E84" s="708" t="s">
        <v>582</v>
      </c>
      <c r="F84" s="708" t="s">
        <v>583</v>
      </c>
      <c r="G84" s="708" t="s">
        <v>584</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hidden="1" thickTop="1">
      <c r="A86" s="709"/>
      <c r="B86" s="1895" t="s">
        <v>2257</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19"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hidden="1" thickTop="1">
      <c r="A88" s="709"/>
      <c r="B88" s="673" t="s">
        <v>747</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19"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hidden="1"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hidden="1"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hidden="1"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hidden="1"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hidden="1"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hidden="1"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hidden="1"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hidden="1"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hidden="1"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hidden="1" thickBot="1">
      <c r="A99" s="893"/>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ht="15" thickTop="1">
      <c r="A100" s="664" t="s">
        <v>552</v>
      </c>
      <c r="B100" s="665" t="s">
        <v>748</v>
      </c>
      <c r="C100" s="3175" t="s">
        <v>3075</v>
      </c>
      <c r="D100" s="3175" t="s">
        <v>3076</v>
      </c>
      <c r="E100" s="3175" t="s">
        <v>3077</v>
      </c>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749</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v>100000</v>
      </c>
      <c r="E103" s="730">
        <v>200000</v>
      </c>
      <c r="F103" s="730">
        <v>300000</v>
      </c>
      <c r="G103" s="730">
        <v>400000</v>
      </c>
      <c r="H103" s="730">
        <v>500000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101</v>
      </c>
      <c r="E104" s="671">
        <v>102</v>
      </c>
      <c r="F104" s="671">
        <v>103</v>
      </c>
      <c r="G104" s="671">
        <v>104</v>
      </c>
      <c r="H104" s="671">
        <v>105</v>
      </c>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750</v>
      </c>
      <c r="C105" s="3176" t="s">
        <v>3079</v>
      </c>
      <c r="D105" s="3176" t="s">
        <v>3080</v>
      </c>
      <c r="E105" s="3177" t="s">
        <v>3081</v>
      </c>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3177" t="s">
        <v>3082</v>
      </c>
      <c r="D107" s="3177" t="s">
        <v>3084</v>
      </c>
      <c r="E107" s="3177" t="s">
        <v>3085</v>
      </c>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3176" t="s">
        <v>3087</v>
      </c>
      <c r="D109" s="3176" t="s">
        <v>3089</v>
      </c>
      <c r="E109" s="3176" t="s">
        <v>3091</v>
      </c>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754</v>
      </c>
      <c r="C114" s="3176" t="s">
        <v>3093</v>
      </c>
      <c r="D114" s="3176" t="s">
        <v>3094</v>
      </c>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2556</v>
      </c>
      <c r="C116" s="3176" t="s">
        <v>3095</v>
      </c>
      <c r="D116" s="3176" t="s">
        <v>3096</v>
      </c>
      <c r="E116" s="3176" t="s">
        <v>3097</v>
      </c>
      <c r="F116" s="3176" t="s">
        <v>3098</v>
      </c>
      <c r="G116" s="3176" t="s">
        <v>3099</v>
      </c>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hidden="1" thickTop="1">
      <c r="A118" s="735"/>
      <c r="B118" s="673" t="s">
        <v>755</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hidden="1"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734</v>
      </c>
      <c r="C120" s="688" t="s">
        <v>3100</v>
      </c>
      <c r="D120" s="688" t="s">
        <v>3101</v>
      </c>
      <c r="E120" s="688" t="s">
        <v>3102</v>
      </c>
      <c r="F120" s="688">
        <v>113</v>
      </c>
      <c r="G120" s="688">
        <v>97</v>
      </c>
      <c r="H120" s="688">
        <v>91</v>
      </c>
      <c r="I120" s="688"/>
      <c r="J120" s="688"/>
      <c r="K120" s="688"/>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v>100</v>
      </c>
      <c r="D121" s="671">
        <v>99</v>
      </c>
      <c r="E121" s="671">
        <v>98</v>
      </c>
      <c r="F121" s="671">
        <v>99</v>
      </c>
      <c r="G121" s="671">
        <v>100</v>
      </c>
      <c r="H121" s="671">
        <v>100</v>
      </c>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756</v>
      </c>
      <c r="C122" s="3176" t="s">
        <v>3087</v>
      </c>
      <c r="D122" s="3176" t="s">
        <v>3089</v>
      </c>
      <c r="E122" s="3176" t="s">
        <v>3091</v>
      </c>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t="str">
        <f>B44</f>
        <v>房屋状态</v>
      </c>
      <c r="C126" s="3176" t="s">
        <v>3110</v>
      </c>
      <c r="D126" s="3176" t="s">
        <v>3109</v>
      </c>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2.75" customHeight="1" thickBot="1">
      <c r="A127" s="687"/>
      <c r="B127" s="678"/>
      <c r="C127" s="692">
        <v>100</v>
      </c>
      <c r="D127" s="671">
        <v>103</v>
      </c>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hidden="1"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hidden="1"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hidden="1"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hidden="1"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ht="15" thickTop="1">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A2" zoomScale="80" zoomScaleNormal="80" workbookViewId="0">
      <selection activeCell="F34" sqref="F33:F34"/>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3005</v>
      </c>
      <c r="D1" s="3157" t="s">
        <v>3114</v>
      </c>
      <c r="E1" s="2410" t="s">
        <v>2372</v>
      </c>
      <c r="F1" s="2411">
        <f ca="1">J53</f>
        <v>37.479999999999997</v>
      </c>
      <c r="G1" s="774">
        <f>MATCH(C1,'数据-取费表'!A6:A16,0)+5</f>
        <v>7</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27774</v>
      </c>
      <c r="C2" s="2056"/>
      <c r="D2" s="2054"/>
      <c r="E2" s="2055"/>
      <c r="F2" s="2055"/>
      <c r="G2" s="1589"/>
      <c r="H2" s="2056"/>
      <c r="I2" s="2056"/>
      <c r="J2" s="2056"/>
      <c r="K2" s="2057"/>
      <c r="L2" s="2056"/>
      <c r="M2" s="2056"/>
    </row>
    <row r="3" spans="1:33" ht="18" customHeight="1" thickBot="1">
      <c r="A3" s="833" t="s">
        <v>1728</v>
      </c>
      <c r="B3" s="834">
        <f ca="1">IF(ISERROR(B2*10000/F43),0,ROUND(B2*10000/F43,0))</f>
        <v>25419</v>
      </c>
      <c r="C3" s="2056"/>
      <c r="D3" s="2054"/>
      <c r="E3" s="2055"/>
      <c r="F3" s="2055"/>
      <c r="G3" s="1589"/>
      <c r="H3" s="776" t="s">
        <v>696</v>
      </c>
      <c r="I3" s="1362"/>
      <c r="J3" s="1362"/>
      <c r="K3" s="1590"/>
      <c r="L3" s="1362"/>
      <c r="M3" s="1362"/>
    </row>
    <row r="4" spans="1:33" ht="18" customHeight="1">
      <c r="A4" s="777" t="s">
        <v>1729</v>
      </c>
      <c r="B4" s="778" t="s">
        <v>1730</v>
      </c>
      <c r="C4" s="778" t="s">
        <v>1731</v>
      </c>
      <c r="D4" s="778" t="s">
        <v>634</v>
      </c>
      <c r="E4" s="779" t="s">
        <v>1732</v>
      </c>
      <c r="F4" s="780"/>
      <c r="G4" s="1591"/>
      <c r="H4" s="777" t="s">
        <v>1733</v>
      </c>
      <c r="I4" s="778" t="s">
        <v>1734</v>
      </c>
      <c r="J4" s="778" t="s">
        <v>1735</v>
      </c>
      <c r="K4" s="778" t="s">
        <v>1736</v>
      </c>
      <c r="L4" s="779" t="s">
        <v>1737</v>
      </c>
      <c r="M4" s="780"/>
    </row>
    <row r="5" spans="1:33" ht="18" customHeight="1">
      <c r="A5" s="781">
        <v>1</v>
      </c>
      <c r="B5" s="782" t="s">
        <v>2457</v>
      </c>
      <c r="C5" s="55">
        <f ca="1">C6+C10+C12</f>
        <v>1358</v>
      </c>
      <c r="D5" s="2519" t="s">
        <v>2460</v>
      </c>
      <c r="E5" s="2513"/>
      <c r="F5" s="2514"/>
      <c r="G5" s="1591"/>
      <c r="H5" s="781">
        <v>1</v>
      </c>
      <c r="I5" s="782" t="s">
        <v>2457</v>
      </c>
      <c r="J5" s="55">
        <f ca="1">J6+J10+J12</f>
        <v>0</v>
      </c>
      <c r="K5" s="2519" t="s">
        <v>2460</v>
      </c>
      <c r="L5" s="2513"/>
      <c r="M5" s="2514"/>
    </row>
    <row r="6" spans="1:33" ht="18" customHeight="1">
      <c r="A6" s="1829" t="s">
        <v>1825</v>
      </c>
      <c r="B6" s="3443" t="s">
        <v>2462</v>
      </c>
      <c r="C6" s="783">
        <f ca="1">ROUND(F6*F8*F7*(1-F9)/10000,0)</f>
        <v>1356</v>
      </c>
      <c r="D6" s="2520" t="s">
        <v>2461</v>
      </c>
      <c r="E6" s="784" t="s">
        <v>1739</v>
      </c>
      <c r="F6" s="785">
        <f ca="1">INDIRECT("'数据-取费表'!u"&amp;$G$1)</f>
        <v>4</v>
      </c>
      <c r="G6" s="1591"/>
      <c r="H6" s="2527" t="s">
        <v>2468</v>
      </c>
      <c r="I6" s="3443" t="s">
        <v>2462</v>
      </c>
      <c r="J6" s="783">
        <f ca="1">ROUND(M6*M8*M7*(1-M9)/10000,0)</f>
        <v>0</v>
      </c>
      <c r="K6" s="341" t="s">
        <v>1738</v>
      </c>
      <c r="L6" s="784" t="s">
        <v>1739</v>
      </c>
      <c r="M6" s="785">
        <f ca="1">INDIRECT("'数据-取费表'!z"&amp;$G$1)</f>
        <v>0</v>
      </c>
    </row>
    <row r="7" spans="1:33" ht="18" customHeight="1">
      <c r="A7" s="2523"/>
      <c r="B7" s="3444"/>
      <c r="C7" s="788"/>
      <c r="D7" s="789"/>
      <c r="E7" s="784" t="s">
        <v>1740</v>
      </c>
      <c r="F7" s="785">
        <f ca="1">IF(INDIRECT("'数据-取费表'!ah"&amp;$G$1)="",INDIRECT("'数据-取费表'!k"&amp;$G$1),INDIRECT("'数据-取费表'!ah"&amp;$G$1))</f>
        <v>10926.54</v>
      </c>
      <c r="G7" s="1591"/>
      <c r="H7" s="2512"/>
      <c r="I7" s="3444"/>
      <c r="J7" s="788"/>
      <c r="K7" s="789"/>
      <c r="L7" s="784" t="s">
        <v>1740</v>
      </c>
      <c r="M7" s="785">
        <f ca="1">F7</f>
        <v>10926.54</v>
      </c>
    </row>
    <row r="8" spans="1:33" ht="18" customHeight="1">
      <c r="A8" s="2516"/>
      <c r="B8" s="3445"/>
      <c r="C8" s="788"/>
      <c r="D8" s="789"/>
      <c r="E8" s="784" t="s">
        <v>1741</v>
      </c>
      <c r="F8" s="785">
        <f ca="1">INDIRECT("'数据-取费表'!ai"&amp;$G$1)</f>
        <v>365</v>
      </c>
      <c r="G8" s="1591"/>
      <c r="H8" s="2512"/>
      <c r="I8" s="3445"/>
      <c r="J8" s="788"/>
      <c r="K8" s="789"/>
      <c r="L8" s="784" t="s">
        <v>1741</v>
      </c>
      <c r="M8" s="785">
        <f ca="1">INDIRECT("'数据-取费表'!ai"&amp;$G$1)</f>
        <v>365</v>
      </c>
    </row>
    <row r="9" spans="1:33" ht="18" customHeight="1">
      <c r="A9" s="786"/>
      <c r="B9" s="3446"/>
      <c r="C9" s="788"/>
      <c r="D9" s="789"/>
      <c r="E9" s="784" t="s">
        <v>1742</v>
      </c>
      <c r="F9" s="794">
        <f ca="1">INDIRECT("'数据-取费表'!w"&amp;$G$1)</f>
        <v>0.15</v>
      </c>
      <c r="G9" s="1591"/>
      <c r="H9" s="2528"/>
      <c r="I9" s="3445"/>
      <c r="J9" s="788"/>
      <c r="K9" s="789"/>
      <c r="L9" s="795" t="s">
        <v>1742</v>
      </c>
      <c r="M9" s="796">
        <f ca="1">INDIRECT("'数据-取费表'!ab"&amp;$G$1)</f>
        <v>0</v>
      </c>
    </row>
    <row r="10" spans="1:33" ht="18" customHeight="1">
      <c r="A10" s="1829" t="s">
        <v>2466</v>
      </c>
      <c r="B10" s="2517" t="s">
        <v>2458</v>
      </c>
      <c r="C10" s="799">
        <f ca="1">ROUND(IF(F10="押一",F6*F8*F7/12*F11,IF(F10="押二",F6*F8*F7/12*2*F11,IF(F10="押三",F6*F8*F7/12*3*F11,C11*F11)))/10000,0)</f>
        <v>2</v>
      </c>
      <c r="D10" s="2524" t="s">
        <v>2465</v>
      </c>
      <c r="E10" s="2521" t="s">
        <v>2463</v>
      </c>
      <c r="F10" s="2644" t="s">
        <v>3113</v>
      </c>
      <c r="G10" s="1591"/>
      <c r="H10" s="2584" t="s">
        <v>2469</v>
      </c>
      <c r="I10" s="2589" t="s">
        <v>2458</v>
      </c>
      <c r="J10" s="783">
        <f ca="1">ROUND(IF(M10="押一",M6*M8*M7/12*M11,IF(M10="押二",M6*M8*M7/12*2*M11,IF(M10="押三",M6*M8*M7/12*3*M11,J11*M11)))/10000,0)</f>
        <v>0</v>
      </c>
      <c r="K10" s="2524" t="s">
        <v>2465</v>
      </c>
      <c r="L10" s="2521" t="s">
        <v>2463</v>
      </c>
      <c r="M10" s="2644"/>
    </row>
    <row r="11" spans="1:33" ht="18" customHeight="1">
      <c r="A11" s="790"/>
      <c r="B11" s="2518" t="s">
        <v>2573</v>
      </c>
      <c r="C11" s="2522"/>
      <c r="D11" s="789"/>
      <c r="E11" s="2521" t="s">
        <v>2464</v>
      </c>
      <c r="F11" s="796">
        <f ca="1">'数据-取费表'!B39</f>
        <v>1.4999999999999999E-2</v>
      </c>
      <c r="G11" s="1591"/>
      <c r="H11" s="2585"/>
      <c r="I11" s="2518" t="s">
        <v>2573</v>
      </c>
      <c r="J11" s="2522"/>
      <c r="K11" s="2586"/>
      <c r="L11" s="2521" t="s">
        <v>2464</v>
      </c>
      <c r="M11" s="2515">
        <f ca="1">'数据-取费表'!B39</f>
        <v>1.4999999999999999E-2</v>
      </c>
    </row>
    <row r="12" spans="1:33" ht="18" customHeight="1" thickBot="1">
      <c r="A12" s="2560" t="s">
        <v>2467</v>
      </c>
      <c r="B12" s="2561" t="s">
        <v>2459</v>
      </c>
      <c r="C12" s="2562"/>
      <c r="D12" s="2563"/>
      <c r="E12" s="2564"/>
      <c r="F12" s="2565"/>
      <c r="G12" s="1591"/>
      <c r="H12" s="2574" t="s">
        <v>2470</v>
      </c>
      <c r="I12" s="2587" t="s">
        <v>2459</v>
      </c>
      <c r="J12" s="2588"/>
      <c r="K12" s="2563"/>
      <c r="L12" s="2564"/>
      <c r="M12" s="2577"/>
    </row>
    <row r="13" spans="1:33" ht="18" customHeight="1" thickTop="1">
      <c r="A13" s="1828">
        <v>2</v>
      </c>
      <c r="B13" s="1826" t="s">
        <v>1743</v>
      </c>
      <c r="C13" s="792">
        <f ca="1">ROUND(C29*F13,0)</f>
        <v>0</v>
      </c>
      <c r="D13" s="1833" t="s">
        <v>2297</v>
      </c>
      <c r="E13" s="1833" t="s">
        <v>1745</v>
      </c>
      <c r="F13" s="2559">
        <f ca="1">INDIRECT("'数据-取费表'!y"&amp;$G$1)</f>
        <v>0</v>
      </c>
      <c r="G13" s="1591"/>
      <c r="H13" s="1828">
        <v>2</v>
      </c>
      <c r="I13" s="1826" t="s">
        <v>1743</v>
      </c>
      <c r="J13" s="1818">
        <f ca="1">ROUND(J14*J15,0)</f>
        <v>0</v>
      </c>
      <c r="K13" s="1820" t="s">
        <v>1744</v>
      </c>
      <c r="L13" s="2575"/>
      <c r="M13" s="2576"/>
    </row>
    <row r="14" spans="1:33" ht="18" customHeight="1">
      <c r="A14" s="1647" t="s">
        <v>1885</v>
      </c>
      <c r="B14" s="784" t="s">
        <v>646</v>
      </c>
      <c r="C14" s="804">
        <f ca="1">INDIRECT("'数据-取费表'!m"&amp;$G$1)+INDIRECT("'数据-取费表'!t"&amp;$G$1)</f>
        <v>1967</v>
      </c>
      <c r="D14" s="1978" t="s">
        <v>1746</v>
      </c>
      <c r="E14" s="1979"/>
      <c r="F14" s="805"/>
      <c r="G14" s="1591"/>
      <c r="H14" s="1648" t="s">
        <v>1831</v>
      </c>
      <c r="I14" s="2230" t="s">
        <v>2827</v>
      </c>
      <c r="J14" s="53">
        <f ca="1">C29</f>
        <v>3196</v>
      </c>
      <c r="K14" s="26"/>
      <c r="L14" s="801"/>
      <c r="M14" s="802"/>
    </row>
    <row r="15" spans="1:33" s="2063" customFormat="1" ht="18" customHeight="1" thickBot="1">
      <c r="A15" s="1647" t="s">
        <v>1886</v>
      </c>
      <c r="B15" s="784" t="s">
        <v>648</v>
      </c>
      <c r="C15" s="53">
        <f ca="1">ROUND(C14*F15,0)</f>
        <v>59</v>
      </c>
      <c r="D15" s="806" t="s">
        <v>1747</v>
      </c>
      <c r="E15" s="806" t="s">
        <v>1748</v>
      </c>
      <c r="F15" s="807">
        <f>'数据-取费表'!B33</f>
        <v>0.03</v>
      </c>
      <c r="G15" s="1592"/>
      <c r="H15" s="2574" t="s">
        <v>1890</v>
      </c>
      <c r="I15" s="2569" t="s">
        <v>1745</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4" t="s">
        <v>651</v>
      </c>
      <c r="C16" s="53">
        <f ca="1">ROUND(INDIRECT("'数据-取费表'!m"&amp;$G$1)*F16,0)</f>
        <v>0</v>
      </c>
      <c r="D16" s="784" t="s">
        <v>1747</v>
      </c>
      <c r="E16" s="784" t="s">
        <v>1748</v>
      </c>
      <c r="F16" s="809">
        <f ca="1">IF(INDIRECT("'数据-取费表'!c"&amp;$G$1)="住宅",'数据-取费表'!B34,0)</f>
        <v>0</v>
      </c>
      <c r="G16" s="1591"/>
      <c r="H16" s="1828" t="s">
        <v>1749</v>
      </c>
      <c r="I16" s="1826" t="s">
        <v>1750</v>
      </c>
      <c r="J16" s="792">
        <f ca="1">ROUND(J17+J22+J23+J24,0)</f>
        <v>80</v>
      </c>
      <c r="K16" s="1820" t="s">
        <v>1751</v>
      </c>
      <c r="L16" s="2509"/>
      <c r="M16" s="2514"/>
    </row>
    <row r="17" spans="1:33" s="2063" customFormat="1" ht="18" customHeight="1">
      <c r="A17" s="1647" t="s">
        <v>1888</v>
      </c>
      <c r="B17" s="784" t="s">
        <v>654</v>
      </c>
      <c r="C17" s="53">
        <f ca="1">ROUND(F17*(F43+INDIRECT("'数据-取费表'!S"&amp;$G$1))/10000,0)</f>
        <v>219</v>
      </c>
      <c r="D17" s="784" t="s">
        <v>1752</v>
      </c>
      <c r="E17" s="784" t="s">
        <v>1753</v>
      </c>
      <c r="F17" s="56">
        <f>'数据-取费表'!B35</f>
        <v>200</v>
      </c>
      <c r="G17" s="1592"/>
      <c r="H17" s="1648" t="s">
        <v>1831</v>
      </c>
      <c r="I17" s="784" t="s">
        <v>657</v>
      </c>
      <c r="J17" s="53">
        <f ca="1">ROUND(IF(项目基本情况!B11="自然人",J5*M17,J18+J19+J20),0)</f>
        <v>32</v>
      </c>
      <c r="K17" s="2508" t="s">
        <v>1754</v>
      </c>
      <c r="L17" s="2507" t="s">
        <v>1755</v>
      </c>
      <c r="M17" s="810"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660</v>
      </c>
      <c r="C18" s="53">
        <f ca="1">ROUND(C14*F18,0)</f>
        <v>30</v>
      </c>
      <c r="D18" s="784" t="s">
        <v>1747</v>
      </c>
      <c r="E18" s="784" t="s">
        <v>1748</v>
      </c>
      <c r="F18" s="809">
        <f>'数据-取费表'!B36</f>
        <v>1.4999999999999999E-2</v>
      </c>
      <c r="G18" s="1592"/>
      <c r="H18" s="1647" t="s">
        <v>1885</v>
      </c>
      <c r="I18" s="784" t="s">
        <v>1756</v>
      </c>
      <c r="J18" s="53">
        <f ca="1">ROUND(J5*M18/1.05,1)</f>
        <v>0</v>
      </c>
      <c r="K18" s="2507" t="s">
        <v>1757</v>
      </c>
      <c r="L18" s="784" t="s">
        <v>1748</v>
      </c>
      <c r="M18" s="809">
        <f>'数据-取费表'!B41</f>
        <v>6.1600000000000002E-2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4" t="s">
        <v>663</v>
      </c>
      <c r="C19" s="53">
        <f ca="1">SUM(C14:C18)</f>
        <v>2275</v>
      </c>
      <c r="D19" s="261" t="s">
        <v>1758</v>
      </c>
      <c r="E19" s="1981"/>
      <c r="F19" s="56"/>
      <c r="G19" s="1591"/>
      <c r="H19" s="1647" t="s">
        <v>1886</v>
      </c>
      <c r="I19" s="784" t="s">
        <v>1759</v>
      </c>
      <c r="J19" s="53">
        <f ca="1">IF(K19="按租金收入计税",ROUND(J5*M19,1),ROUND(C29*F33*0.7,1))</f>
        <v>26.8</v>
      </c>
      <c r="K19" s="811" t="s">
        <v>666</v>
      </c>
      <c r="L19" s="784" t="s">
        <v>1748</v>
      </c>
      <c r="M19" s="809">
        <f>IF(K19="按租金收入计税",'数据-取费表'!B51,'数据-取费表'!B50)</f>
        <v>1.2E-2</v>
      </c>
    </row>
    <row r="20" spans="1:33" s="2063" customFormat="1" ht="18" customHeight="1">
      <c r="A20" s="1648" t="s">
        <v>1890</v>
      </c>
      <c r="B20" s="784" t="s">
        <v>667</v>
      </c>
      <c r="C20" s="53">
        <f ca="1">ROUND(C19*F20,0)</f>
        <v>34</v>
      </c>
      <c r="D20" s="812" t="s">
        <v>1760</v>
      </c>
      <c r="E20" s="784" t="s">
        <v>1748</v>
      </c>
      <c r="F20" s="809">
        <f>'数据-取费表'!B37</f>
        <v>1.4999999999999999E-2</v>
      </c>
      <c r="G20" s="1592"/>
      <c r="H20" s="1650" t="s">
        <v>1881</v>
      </c>
      <c r="I20" s="341" t="s">
        <v>1761</v>
      </c>
      <c r="J20" s="54">
        <f ca="1">ROUND(M20*M21/10000,0)</f>
        <v>5</v>
      </c>
      <c r="K20" s="814" t="s">
        <v>1762</v>
      </c>
      <c r="L20" s="784" t="s">
        <v>1763</v>
      </c>
      <c r="M20" s="640">
        <f>'数据-取费表'!B52</f>
        <v>12</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1764</v>
      </c>
      <c r="C21" s="53" t="s">
        <v>1765</v>
      </c>
      <c r="D21" s="812" t="s">
        <v>2298</v>
      </c>
      <c r="E21" s="784" t="s">
        <v>1766</v>
      </c>
      <c r="F21" s="809">
        <f>'数据-取费表'!B38</f>
        <v>2.5000000000000001E-2</v>
      </c>
      <c r="G21" s="1592"/>
      <c r="H21" s="2529"/>
      <c r="I21" s="793"/>
      <c r="J21" s="69"/>
      <c r="K21" s="816"/>
      <c r="L21" s="784" t="s">
        <v>1767</v>
      </c>
      <c r="M21" s="785">
        <f ca="1">INDIRECT("'数据-取费表'!r"&amp;$G$1)</f>
        <v>4370.59</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1768</v>
      </c>
      <c r="C22" s="53"/>
      <c r="D22" s="2595" t="str">
        <f>IF(F23&lt;=1,"单利计息。","复利计息。")&amp;"建造成本、管理费用、销售费用产生的利息。"</f>
        <v>复利计息。建造成本、管理费用、销售费用产生的利息。</v>
      </c>
      <c r="E22" s="1981"/>
      <c r="F22" s="56"/>
      <c r="G22" s="1591"/>
      <c r="H22" s="1648" t="s">
        <v>1890</v>
      </c>
      <c r="I22" s="784" t="s">
        <v>1769</v>
      </c>
      <c r="J22" s="53">
        <f ca="1">ROUND(J14*M22,0)</f>
        <v>48</v>
      </c>
      <c r="K22" s="2507" t="s">
        <v>1770</v>
      </c>
      <c r="L22" s="784" t="s">
        <v>1748</v>
      </c>
      <c r="M22" s="817">
        <f ca="1">INDIRECT("'数据-取费表'!Ak"&amp;$G$1)</f>
        <v>1.4999999999999999E-2</v>
      </c>
    </row>
    <row r="23" spans="1:33" s="2063" customFormat="1" ht="18" customHeight="1">
      <c r="A23" s="1647" t="s">
        <v>1832</v>
      </c>
      <c r="B23" s="784" t="s">
        <v>2535</v>
      </c>
      <c r="C23" s="53">
        <f ca="1">ROUND(IF('数据-取费表'!B22&lt;=1,(C19+C20)*F24*F23/2,(C19+C20)*(POWER((1+F24),F23/2)-1)),0)</f>
        <v>138</v>
      </c>
      <c r="D23" s="2594" t="str">
        <f>IF(F23&lt;=1,"(建造成本+管理费用)×利率×(建设周期÷2)","(建造成本+管理费用)×((1+利率)^(建设周期÷2)-1)")</f>
        <v>(建造成本+管理费用)×((1+利率)^(建设周期÷2)-1)</v>
      </c>
      <c r="E23" s="784" t="s">
        <v>1771</v>
      </c>
      <c r="F23" s="640">
        <f>'数据-取费表'!B20</f>
        <v>2.5</v>
      </c>
      <c r="G23" s="1592"/>
      <c r="H23" s="1648" t="s">
        <v>1891</v>
      </c>
      <c r="I23" s="784" t="s">
        <v>680</v>
      </c>
      <c r="J23" s="53">
        <f ca="1">ROUND(J13*M23,0)</f>
        <v>0</v>
      </c>
      <c r="K23" s="2507" t="s">
        <v>1772</v>
      </c>
      <c r="L23" s="784" t="s">
        <v>1748</v>
      </c>
      <c r="M23" s="818">
        <f ca="1">INDIRECT("'数据-取费表'!Al"&amp;$G$1)</f>
        <v>2E-3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1.5E-3</v>
      </c>
      <c r="D24" s="2594" t="str">
        <f>IF(F23&lt;=1,"销售费用×利率×(建设周期÷2)","销售费用×((1+利率)^(建设周期÷2)-1)")</f>
        <v>销售费用×((1+利率)^(建设周期÷2)-1)</v>
      </c>
      <c r="E24" s="784" t="s">
        <v>1774</v>
      </c>
      <c r="F24" s="819">
        <f ca="1">'数据-取费表'!B40</f>
        <v>4.7500000000000001E-2</v>
      </c>
      <c r="G24" s="1592"/>
      <c r="H24" s="2574" t="s">
        <v>1892</v>
      </c>
      <c r="I24" s="2569" t="s">
        <v>667</v>
      </c>
      <c r="J24" s="2567">
        <f ca="1">ROUND(J5*M24,0)</f>
        <v>0</v>
      </c>
      <c r="K24" s="2568" t="s">
        <v>1775</v>
      </c>
      <c r="L24" s="2569" t="s">
        <v>1748</v>
      </c>
      <c r="M24" s="2565">
        <f ca="1">INDIRECT("'数据-取费表'!Am"&amp;$G$1)</f>
        <v>0.02</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685</v>
      </c>
      <c r="C25" s="53"/>
      <c r="D25" s="261" t="s">
        <v>1776</v>
      </c>
      <c r="E25" s="1981"/>
      <c r="F25" s="56"/>
      <c r="G25" s="1591"/>
      <c r="H25" s="1828" t="s">
        <v>1777</v>
      </c>
      <c r="I25" s="3035" t="s">
        <v>2823</v>
      </c>
      <c r="J25" s="792">
        <f ca="1">J5-J16</f>
        <v>-80</v>
      </c>
      <c r="K25" s="2571" t="s">
        <v>1778</v>
      </c>
      <c r="L25" s="2572"/>
      <c r="M25" s="2573"/>
    </row>
    <row r="26" spans="1:33" ht="18" customHeight="1">
      <c r="A26" s="1647" t="s">
        <v>1832</v>
      </c>
      <c r="B26" s="784" t="s">
        <v>2436</v>
      </c>
      <c r="C26" s="53">
        <f ca="1">ROUND((C19+C20)*F26,0)</f>
        <v>462</v>
      </c>
      <c r="D26" s="812" t="s">
        <v>1779</v>
      </c>
      <c r="E26" s="795" t="s">
        <v>1780</v>
      </c>
      <c r="F26" s="794">
        <f ca="1">INDIRECT("'数据-取费表'!q"&amp;$G$1)</f>
        <v>0.2</v>
      </c>
      <c r="G26" s="1591"/>
      <c r="H26" s="2525" t="s">
        <v>1781</v>
      </c>
      <c r="I26" s="2231" t="s">
        <v>2828</v>
      </c>
      <c r="J26" s="783">
        <f ca="1">IF(J5&lt;&gt;0,ROUND(J25*(1-((1+M28)/(1+M26))^M27)/(M26-M28),0),0)</f>
        <v>0</v>
      </c>
      <c r="K26" s="814" t="s">
        <v>1782</v>
      </c>
      <c r="L26" s="784" t="s">
        <v>2417</v>
      </c>
      <c r="M26" s="794">
        <f ca="1">INDIRECT("'数据-取费表'!I"&amp;$G$1)</f>
        <v>5.5E-2</v>
      </c>
    </row>
    <row r="27" spans="1:33" ht="18" customHeight="1">
      <c r="A27" s="1647" t="s">
        <v>1833</v>
      </c>
      <c r="B27" s="784" t="s">
        <v>687</v>
      </c>
      <c r="C27" s="53">
        <f ca="1">ROUND(F21*F26,4)</f>
        <v>5.0000000000000001E-3</v>
      </c>
      <c r="D27" s="812" t="s">
        <v>1783</v>
      </c>
      <c r="E27" s="806"/>
      <c r="F27" s="807"/>
      <c r="G27" s="1591"/>
      <c r="H27" s="2526"/>
      <c r="I27" s="787"/>
      <c r="J27" s="788"/>
      <c r="K27" s="821" t="s">
        <v>1784</v>
      </c>
      <c r="L27" s="784" t="s">
        <v>1785</v>
      </c>
      <c r="M27" s="822">
        <f ca="1">INDIRECT("'数据-取费表'!ag"&amp;$G$1)</f>
        <v>0</v>
      </c>
    </row>
    <row r="28" spans="1:33" s="2063" customFormat="1" ht="18" customHeight="1">
      <c r="A28" s="1649" t="s">
        <v>1842</v>
      </c>
      <c r="B28" s="784" t="s">
        <v>688</v>
      </c>
      <c r="C28" s="53">
        <f>ROUND(F28/(1+'数据-取费表'!C42),4)</f>
        <v>5.8299999999999998E-2</v>
      </c>
      <c r="D28" s="812" t="s">
        <v>2299</v>
      </c>
      <c r="E28" s="784" t="s">
        <v>1786</v>
      </c>
      <c r="F28" s="809">
        <f>'数据-取费表'!B41</f>
        <v>6.1600000000000002E-2</v>
      </c>
      <c r="G28" s="1592"/>
      <c r="H28" s="1828"/>
      <c r="I28" s="791"/>
      <c r="J28" s="792"/>
      <c r="K28" s="816"/>
      <c r="L28" s="784" t="s">
        <v>1787</v>
      </c>
      <c r="M28" s="794">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1893</v>
      </c>
      <c r="B29" s="2564" t="s">
        <v>2300</v>
      </c>
      <c r="C29" s="2567">
        <f ca="1">ROUND((C19+C20+C23+C26)/(1-F21-C24-C27-C28),0)</f>
        <v>3196</v>
      </c>
      <c r="D29" s="2568"/>
      <c r="E29" s="2569"/>
      <c r="F29" s="2570"/>
      <c r="G29" s="1592"/>
      <c r="H29" s="823" t="s">
        <v>1788</v>
      </c>
      <c r="I29" s="824" t="s">
        <v>1789</v>
      </c>
      <c r="J29" s="825">
        <f ca="1">ROUND(J26/(1+F40)^F41,0)</f>
        <v>0</v>
      </c>
      <c r="K29" s="826" t="s">
        <v>1790</v>
      </c>
      <c r="L29" s="827"/>
      <c r="M29" s="828">
        <f ca="1">INDIRECT("'数据-取费表'!k"&amp;$G$1)</f>
        <v>10926.54</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f ca="1">ROUND(C31+C36+C37+C38,0)</f>
        <v>187</v>
      </c>
      <c r="D30" s="1820" t="s">
        <v>1792</v>
      </c>
      <c r="E30" s="2509"/>
      <c r="F30" s="2514"/>
      <c r="G30" s="2061"/>
      <c r="H30" s="2064"/>
      <c r="I30" s="2065"/>
      <c r="J30" s="2066"/>
      <c r="K30" s="2067"/>
      <c r="L30" s="2068"/>
      <c r="M30" s="2069"/>
    </row>
    <row r="31" spans="1:33" ht="18" customHeight="1">
      <c r="A31" s="1648" t="s">
        <v>1831</v>
      </c>
      <c r="B31" s="784" t="s">
        <v>657</v>
      </c>
      <c r="C31" s="53">
        <f ca="1">ROUND(IF(项目基本情况!B11="自然人",C5*F31,C32+C33+C34),1)</f>
        <v>111.7</v>
      </c>
      <c r="D31" s="1978" t="s">
        <v>1793</v>
      </c>
      <c r="E31" s="1976"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1795</v>
      </c>
      <c r="C32" s="53">
        <f ca="1">ROUND(C5*F32/1.05,1)</f>
        <v>79.7</v>
      </c>
      <c r="D32" s="1976" t="s">
        <v>1796</v>
      </c>
      <c r="E32" s="784" t="s">
        <v>1797</v>
      </c>
      <c r="F32" s="809">
        <f>'数据-取费表'!B41</f>
        <v>6.1600000000000002E-2</v>
      </c>
      <c r="G32" s="2061"/>
      <c r="H32" s="2070"/>
      <c r="I32" s="2071"/>
      <c r="J32" s="2072"/>
      <c r="K32" s="2073"/>
      <c r="L32" s="2074"/>
      <c r="M32" s="2075"/>
    </row>
    <row r="33" spans="1:18" ht="18" customHeight="1">
      <c r="A33" s="1647" t="s">
        <v>1833</v>
      </c>
      <c r="B33" s="784" t="s">
        <v>1798</v>
      </c>
      <c r="C33" s="53">
        <f ca="1">IF(D33="按租金收入计税",ROUND(C5*F33,1),IF(D33="按房产原值计税",ROUND(C29*F33*0.7,1),INDIRECT("'数据-取费表'!Aj"&amp;$G$1)))</f>
        <v>26.8</v>
      </c>
      <c r="D33" s="811" t="s">
        <v>1681</v>
      </c>
      <c r="E33" s="784" t="s">
        <v>1797</v>
      </c>
      <c r="F33" s="809">
        <f>IF(D33="按租金收入计税",'数据-取费表'!B51,'数据-取费表'!B50)</f>
        <v>1.2E-2</v>
      </c>
      <c r="G33" s="2061"/>
      <c r="H33" s="2076"/>
      <c r="I33" s="2076"/>
      <c r="J33" s="2076"/>
      <c r="K33" s="2077"/>
      <c r="L33" s="2076"/>
      <c r="M33" s="2076"/>
    </row>
    <row r="34" spans="1:18" ht="18" customHeight="1">
      <c r="A34" s="1650" t="s">
        <v>1834</v>
      </c>
      <c r="B34" s="341" t="s">
        <v>1799</v>
      </c>
      <c r="C34" s="54">
        <f ca="1">ROUND(F34*F35/10000,1)</f>
        <v>5.2</v>
      </c>
      <c r="D34" s="814" t="s">
        <v>1800</v>
      </c>
      <c r="E34" s="784" t="s">
        <v>1801</v>
      </c>
      <c r="F34" s="640">
        <f>'数据-取费表'!B52</f>
        <v>12</v>
      </c>
      <c r="G34" s="2061"/>
      <c r="H34" s="2064"/>
      <c r="I34" s="835" t="s">
        <v>1814</v>
      </c>
      <c r="J34" s="836"/>
      <c r="K34" s="2079"/>
      <c r="L34" s="2078"/>
      <c r="M34" s="2078"/>
    </row>
    <row r="35" spans="1:18" ht="18" customHeight="1">
      <c r="A35" s="815"/>
      <c r="B35" s="793"/>
      <c r="C35" s="69"/>
      <c r="D35" s="816"/>
      <c r="E35" s="784" t="s">
        <v>1802</v>
      </c>
      <c r="F35" s="785">
        <f ca="1">INDIRECT("'数据-取费表'!r"&amp;$G$1)</f>
        <v>4370.59</v>
      </c>
      <c r="G35" s="2061"/>
      <c r="H35" s="2064"/>
      <c r="I35" s="837" t="s">
        <v>1815</v>
      </c>
      <c r="J35" s="838">
        <f ca="1">ROUND(C13*J36,0)</f>
        <v>0</v>
      </c>
      <c r="K35" s="2077"/>
      <c r="L35" s="2076"/>
      <c r="M35" s="2076"/>
    </row>
    <row r="36" spans="1:18" ht="18" customHeight="1">
      <c r="A36" s="1648" t="s">
        <v>1890</v>
      </c>
      <c r="B36" s="784" t="s">
        <v>1803</v>
      </c>
      <c r="C36" s="53">
        <f ca="1">ROUND(C29*F36,1)</f>
        <v>47.9</v>
      </c>
      <c r="D36" s="1976" t="s">
        <v>1804</v>
      </c>
      <c r="E36" s="784" t="s">
        <v>1797</v>
      </c>
      <c r="F36" s="817">
        <f ca="1">INDIRECT("'数据-取费表'!Ak"&amp;$G$1)</f>
        <v>1.4999999999999999E-2</v>
      </c>
      <c r="G36" s="2061"/>
      <c r="H36" s="2076"/>
      <c r="I36" s="839" t="s">
        <v>1816</v>
      </c>
      <c r="J36" s="840">
        <f ca="1">INDIRECT("'数据-取费表'!j"&amp;$G$1)</f>
        <v>0.08</v>
      </c>
      <c r="K36" s="2081"/>
      <c r="L36" s="2076"/>
      <c r="M36" s="2076"/>
    </row>
    <row r="37" spans="1:18" ht="18" customHeight="1">
      <c r="A37" s="1648" t="s">
        <v>1891</v>
      </c>
      <c r="B37" s="784" t="s">
        <v>680</v>
      </c>
      <c r="C37" s="53">
        <f ca="1">ROUND(C13*F37,1)</f>
        <v>0</v>
      </c>
      <c r="D37" s="1976" t="s">
        <v>1805</v>
      </c>
      <c r="E37" s="784" t="s">
        <v>1797</v>
      </c>
      <c r="F37" s="818">
        <f ca="1">INDIRECT("'数据-取费表'!Al"&amp;$G$1)</f>
        <v>2E-3</v>
      </c>
      <c r="G37" s="2061"/>
      <c r="H37" s="2076"/>
      <c r="I37" s="841" t="s">
        <v>1817</v>
      </c>
      <c r="J37" s="842"/>
      <c r="K37" s="2081"/>
      <c r="L37" s="2076"/>
      <c r="M37" s="2076"/>
    </row>
    <row r="38" spans="1:18" ht="18" customHeight="1" thickBot="1">
      <c r="A38" s="2574" t="s">
        <v>1892</v>
      </c>
      <c r="B38" s="2569" t="s">
        <v>667</v>
      </c>
      <c r="C38" s="2567">
        <f ca="1">ROUND(C5*F38,1)</f>
        <v>27.2</v>
      </c>
      <c r="D38" s="2568" t="s">
        <v>1806</v>
      </c>
      <c r="E38" s="2569" t="s">
        <v>1797</v>
      </c>
      <c r="F38" s="2565">
        <f ca="1">INDIRECT("'数据-取费表'!Am"&amp;$G$1)</f>
        <v>0.02</v>
      </c>
      <c r="G38" s="2061"/>
      <c r="H38" s="2076"/>
      <c r="I38" s="843" t="s">
        <v>1818</v>
      </c>
      <c r="J38" s="844"/>
      <c r="K38" s="2082"/>
      <c r="L38" s="2076"/>
      <c r="M38" s="2076"/>
    </row>
    <row r="39" spans="1:18" ht="24.6" customHeight="1" thickTop="1">
      <c r="A39" s="1828" t="s">
        <v>1895</v>
      </c>
      <c r="B39" s="3035" t="s">
        <v>2823</v>
      </c>
      <c r="C39" s="792">
        <f ca="1">C5-C30</f>
        <v>1171</v>
      </c>
      <c r="D39" s="2571" t="s">
        <v>1807</v>
      </c>
      <c r="E39" s="2572"/>
      <c r="F39" s="2573"/>
      <c r="G39" s="2061"/>
      <c r="H39" s="2076"/>
      <c r="I39" s="837" t="s">
        <v>1819</v>
      </c>
      <c r="J39" s="845">
        <f ca="1">ROUND(J35/C39,3)</f>
        <v>0</v>
      </c>
      <c r="K39" s="2082"/>
      <c r="L39" s="2076"/>
      <c r="M39" s="2076"/>
    </row>
    <row r="40" spans="1:18" ht="18" customHeight="1">
      <c r="A40" s="781" t="s">
        <v>1896</v>
      </c>
      <c r="B40" s="2231" t="s">
        <v>2301</v>
      </c>
      <c r="C40" s="783">
        <f ca="1">ROUND(C39*(1-((1+F42)/(1+F40))^F41)/(F40-F42),0)</f>
        <v>27774</v>
      </c>
      <c r="D40" s="814" t="s">
        <v>1808</v>
      </c>
      <c r="E40" s="784" t="s">
        <v>2417</v>
      </c>
      <c r="F40" s="794">
        <f ca="1">INDIRECT("'数据-取费表'!I"&amp;$G$1)</f>
        <v>5.5E-2</v>
      </c>
      <c r="G40" s="2061"/>
      <c r="H40" s="2061"/>
      <c r="I40" s="837" t="s">
        <v>1820</v>
      </c>
      <c r="J40" s="845">
        <f ca="1">1-J39</f>
        <v>1</v>
      </c>
      <c r="K40" s="2082"/>
      <c r="L40" s="2061"/>
      <c r="M40" s="2061"/>
    </row>
    <row r="41" spans="1:18" ht="18" customHeight="1">
      <c r="A41" s="786"/>
      <c r="B41" s="787"/>
      <c r="C41" s="788"/>
      <c r="D41" s="821" t="s">
        <v>1809</v>
      </c>
      <c r="E41" s="784" t="s">
        <v>2965</v>
      </c>
      <c r="F41" s="822">
        <f ca="1">IF(INDIRECT("'数据-取费表'!af"&amp;$G$1)=0,INDIRECT("'数据-取费表'!ae"&amp;$G$1),INDIRECT("'数据-取费表'!af"&amp;$G$1))</f>
        <v>37.479999999999997</v>
      </c>
      <c r="G41" s="2061"/>
      <c r="H41" s="1987"/>
      <c r="I41" s="843" t="s">
        <v>1821</v>
      </c>
      <c r="J41" s="846"/>
      <c r="K41" s="2081"/>
      <c r="L41" s="1987"/>
      <c r="M41" s="1987"/>
    </row>
    <row r="42" spans="1:18" ht="18" customHeight="1">
      <c r="A42" s="790"/>
      <c r="B42" s="791"/>
      <c r="C42" s="792"/>
      <c r="D42" s="816"/>
      <c r="E42" s="784" t="s">
        <v>1810</v>
      </c>
      <c r="F42" s="794">
        <f ca="1">INDIRECT("'数据-取费表'!v"&amp;$G$1)</f>
        <v>0.03</v>
      </c>
      <c r="G42" s="2061"/>
      <c r="H42" s="1987"/>
      <c r="I42" s="847" t="s">
        <v>1822</v>
      </c>
      <c r="J42" s="845">
        <f ca="1">ROUND(C13/C40,3)</f>
        <v>0</v>
      </c>
      <c r="K42" s="2081"/>
      <c r="L42" s="1987"/>
      <c r="M42" s="1987"/>
    </row>
    <row r="43" spans="1:18" ht="18" customHeight="1" thickBot="1">
      <c r="A43" s="823" t="s">
        <v>1788</v>
      </c>
      <c r="B43" s="824" t="s">
        <v>1811</v>
      </c>
      <c r="C43" s="825">
        <f ca="1">ROUND(C40*10000/F43,0)</f>
        <v>25419</v>
      </c>
      <c r="D43" s="826" t="s">
        <v>1812</v>
      </c>
      <c r="E43" s="827" t="s">
        <v>1813</v>
      </c>
      <c r="F43" s="828">
        <f ca="1">INDIRECT("'数据-取费表'!k"&amp;$G$1)</f>
        <v>10926.54</v>
      </c>
      <c r="G43" s="2061"/>
      <c r="H43" s="1987"/>
      <c r="I43" s="847" t="s">
        <v>1823</v>
      </c>
      <c r="J43" s="848">
        <f ca="1">1-J42</f>
        <v>1</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97">
        <f ca="1">C67-C40</f>
        <v>-29033</v>
      </c>
      <c r="D46" s="2084"/>
      <c r="E46" s="2084"/>
      <c r="F46" s="2084"/>
      <c r="I46" s="2377" t="s">
        <v>2340</v>
      </c>
      <c r="J46" s="2378"/>
      <c r="K46" s="2379"/>
      <c r="L46" s="2380" t="str">
        <f ca="1">IF(M47="住宅",0,IF(L48&gt;J51,L60,J60))</f>
        <v>0</v>
      </c>
      <c r="O46" s="2417" t="s">
        <v>2408</v>
      </c>
      <c r="P46" s="1591"/>
      <c r="Q46" s="1603"/>
      <c r="R46" s="1591"/>
    </row>
    <row r="47" spans="1:18" s="2058" customFormat="1" ht="18" customHeight="1" thickBot="1">
      <c r="A47" s="2371">
        <v>1</v>
      </c>
      <c r="B47" s="2372" t="s">
        <v>636</v>
      </c>
      <c r="C47" s="2597">
        <f ca="1">C48+C52+C54</f>
        <v>0</v>
      </c>
      <c r="D47" s="2084"/>
      <c r="E47" s="2084"/>
      <c r="F47" s="2084"/>
      <c r="I47" s="2381" t="s">
        <v>2341</v>
      </c>
      <c r="J47" s="2386" t="s">
        <v>3078</v>
      </c>
      <c r="K47" s="2387" t="s">
        <v>2347</v>
      </c>
      <c r="L47" s="2388">
        <f ca="1">INDIRECT("'数据-取费表'!d"&amp;$G$1)</f>
        <v>40</v>
      </c>
      <c r="M47" s="1603" t="str">
        <f>IF(ISNUMBER(FIND("住宅",C1)),"住宅","非住宅")</f>
        <v>非住宅</v>
      </c>
      <c r="O47" s="2418" t="s">
        <v>2373</v>
      </c>
      <c r="P47" s="2419" t="s">
        <v>2374</v>
      </c>
      <c r="Q47" s="2420" t="s">
        <v>2375</v>
      </c>
      <c r="R47" s="2419" t="s">
        <v>2376</v>
      </c>
    </row>
    <row r="48" spans="1:18" s="2058" customFormat="1" ht="18" customHeight="1" thickBot="1">
      <c r="A48" s="2666" t="s">
        <v>2537</v>
      </c>
      <c r="B48" s="2667" t="s">
        <v>2538</v>
      </c>
      <c r="C48" s="2373">
        <f ca="1">ROUND(F48*F50*F49*(1-F51)/10000,0)</f>
        <v>0</v>
      </c>
      <c r="D48" s="2374" t="s">
        <v>637</v>
      </c>
      <c r="E48" s="2375" t="s">
        <v>2296</v>
      </c>
      <c r="F48" s="2376"/>
      <c r="G48" s="2089"/>
      <c r="I48" s="2382" t="s">
        <v>2342</v>
      </c>
      <c r="J48" s="2389" t="s">
        <v>2348</v>
      </c>
      <c r="K48" s="2390" t="s">
        <v>2349</v>
      </c>
      <c r="L48" s="2391">
        <f ca="1">INDIRECT("'数据-取费表'!f"&amp;$G$1)</f>
        <v>39.979999999999997</v>
      </c>
      <c r="O48" s="2421" t="s">
        <v>2377</v>
      </c>
      <c r="P48" s="2422" t="s">
        <v>2403</v>
      </c>
      <c r="Q48" s="2423">
        <f ca="1">C40+J29</f>
        <v>27774</v>
      </c>
      <c r="R48" s="2422" t="s">
        <v>2378</v>
      </c>
    </row>
    <row r="49" spans="1:18" s="2058" customFormat="1" ht="18" customHeight="1" thickBot="1">
      <c r="A49" s="786"/>
      <c r="B49" s="787"/>
      <c r="C49" s="788"/>
      <c r="D49" s="789"/>
      <c r="E49" s="784" t="s">
        <v>1740</v>
      </c>
      <c r="F49" s="785">
        <f ca="1">F7</f>
        <v>10926.54</v>
      </c>
      <c r="G49" s="2089"/>
      <c r="H49" s="2092"/>
      <c r="I49" s="2382" t="s">
        <v>2343</v>
      </c>
      <c r="J49" s="2392">
        <v>2019</v>
      </c>
      <c r="K49" s="2393" t="s">
        <v>2350</v>
      </c>
      <c r="L49" s="2394"/>
      <c r="O49" s="2421" t="s">
        <v>2379</v>
      </c>
      <c r="P49" s="2422" t="s">
        <v>2404</v>
      </c>
      <c r="Q49" s="2423" t="str">
        <f ca="1">J60</f>
        <v>0</v>
      </c>
      <c r="R49" s="2422" t="s">
        <v>2380</v>
      </c>
    </row>
    <row r="50" spans="1:18" s="2058" customFormat="1" ht="18" customHeight="1" thickBot="1">
      <c r="A50" s="786"/>
      <c r="B50" s="787"/>
      <c r="C50" s="788"/>
      <c r="D50" s="789"/>
      <c r="E50" s="784" t="s">
        <v>1741</v>
      </c>
      <c r="F50" s="785">
        <f ca="1">F8</f>
        <v>365</v>
      </c>
      <c r="G50" s="2094"/>
      <c r="H50" s="2092"/>
      <c r="I50" s="2382" t="s">
        <v>2344</v>
      </c>
      <c r="J50" s="2395">
        <f>SUMPRODUCT((I63:I65=J47)*(J62:L62=J48)*(J63:L65))</f>
        <v>60</v>
      </c>
      <c r="K50" s="2393" t="s">
        <v>2351</v>
      </c>
      <c r="L50" s="2394"/>
      <c r="O50" s="2424" t="s">
        <v>2381</v>
      </c>
      <c r="P50" s="2422" t="s">
        <v>2405</v>
      </c>
      <c r="Q50" s="2423">
        <f ca="1">C29</f>
        <v>3196</v>
      </c>
      <c r="R50" s="2422" t="s">
        <v>2378</v>
      </c>
    </row>
    <row r="51" spans="1:18" s="2058" customFormat="1" ht="18" customHeight="1" thickBot="1">
      <c r="A51" s="786"/>
      <c r="B51" s="787"/>
      <c r="C51" s="788"/>
      <c r="D51" s="789"/>
      <c r="E51" s="784" t="s">
        <v>641</v>
      </c>
      <c r="F51" s="2370"/>
      <c r="H51" s="2092"/>
      <c r="I51" s="2383" t="s">
        <v>2345</v>
      </c>
      <c r="J51" s="2396">
        <f>IF(J49="",J50,J49+J50-YEAR('数据-取费表'!B2))</f>
        <v>62</v>
      </c>
      <c r="K51" s="2382" t="s">
        <v>2352</v>
      </c>
      <c r="L51" s="2397">
        <f ca="1">ROUND(-PV(INDIRECT("'数据-取费表'!h"&amp;$G$1),L48,(C39-C13*J36),0),0)</f>
        <v>21544</v>
      </c>
      <c r="O51" s="2424" t="s">
        <v>2382</v>
      </c>
      <c r="P51" s="2422" t="s">
        <v>2383</v>
      </c>
      <c r="Q51" s="2425" t="e">
        <f ca="1">J58</f>
        <v>#VALUE!</v>
      </c>
      <c r="R51" s="2426"/>
    </row>
    <row r="52" spans="1:18" s="2058" customFormat="1" ht="18" customHeight="1" thickBot="1">
      <c r="A52" s="781" t="s">
        <v>2536</v>
      </c>
      <c r="B52" s="2517" t="s">
        <v>2458</v>
      </c>
      <c r="C52" s="799">
        <f ca="1">ROUND(IF(F52="押一",F48*F50*F49/12*F11,IF(F52="押二",F48*F50*F49/12*2*F11,IF(F52="押三",F48*F50*F49/12*3*F11,C53*F11)))/10000,0)</f>
        <v>0</v>
      </c>
      <c r="D52" s="2524" t="s">
        <v>2465</v>
      </c>
      <c r="E52" s="2521" t="s">
        <v>2463</v>
      </c>
      <c r="F52" s="2644"/>
      <c r="I52" s="2384" t="s">
        <v>2419</v>
      </c>
      <c r="J52" s="2398">
        <v>7.0000000000000007E-2</v>
      </c>
      <c r="K52" s="2384" t="s">
        <v>2418</v>
      </c>
      <c r="L52" s="2398"/>
      <c r="O52" s="2424" t="s">
        <v>2384</v>
      </c>
      <c r="P52" s="2422" t="s">
        <v>2385</v>
      </c>
      <c r="Q52" s="2425">
        <f>J52</f>
        <v>7.0000000000000007E-2</v>
      </c>
      <c r="R52" s="2426"/>
    </row>
    <row r="53" spans="1:18" s="2058" customFormat="1" ht="39.75" customHeight="1" thickBot="1">
      <c r="A53" s="786"/>
      <c r="B53" s="2518" t="s">
        <v>2573</v>
      </c>
      <c r="C53" s="2522"/>
      <c r="D53" s="2524"/>
      <c r="E53" s="2521"/>
      <c r="F53" s="800"/>
      <c r="I53" s="2385" t="s">
        <v>2346</v>
      </c>
      <c r="J53" s="2399">
        <f ca="1">IF(M47="住宅",J51,IF(D1="——",MIN(J51,L48),IF(D1="土地（套用方法）",MIN(J51,L48-'数据-取费表'!B20))))</f>
        <v>37.479999999999997</v>
      </c>
      <c r="K53" s="3464" t="s">
        <v>2967</v>
      </c>
      <c r="L53" s="3465"/>
      <c r="O53" s="2424" t="s">
        <v>2386</v>
      </c>
      <c r="P53" s="2422" t="s">
        <v>2387</v>
      </c>
      <c r="Q53" s="2423">
        <f ca="1">J53</f>
        <v>37.479999999999997</v>
      </c>
      <c r="R53" s="2422" t="s">
        <v>2388</v>
      </c>
    </row>
    <row r="54" spans="1:18" s="2058" customFormat="1" ht="18" customHeight="1" thickBot="1">
      <c r="A54" s="2560" t="s">
        <v>2467</v>
      </c>
      <c r="B54" s="2561" t="s">
        <v>2459</v>
      </c>
      <c r="C54" s="2562"/>
      <c r="D54" s="2524"/>
      <c r="E54" s="2521"/>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2389</v>
      </c>
      <c r="P54" s="2422" t="s">
        <v>2406</v>
      </c>
      <c r="Q54" s="2423">
        <f ca="1">Q48+Q49</f>
        <v>27774</v>
      </c>
      <c r="R54" s="2426" t="s">
        <v>2390</v>
      </c>
    </row>
    <row r="55" spans="1:18" s="2058" customFormat="1" ht="18" customHeight="1" thickTop="1" thickBot="1">
      <c r="A55" s="797">
        <v>2</v>
      </c>
      <c r="B55" s="798" t="s">
        <v>645</v>
      </c>
      <c r="C55" s="799">
        <f ca="1">C13</f>
        <v>0</v>
      </c>
      <c r="D55" s="795"/>
      <c r="E55" s="795"/>
      <c r="F55" s="800"/>
      <c r="I55" s="3128" t="s">
        <v>2353</v>
      </c>
      <c r="J55" s="3127" t="e">
        <f ca="1">ROUND(IF(J47="钢混",J57/J50,1-(1-2%)*(J50-J57)/J50),3)</f>
        <v>#VALUE!</v>
      </c>
      <c r="K55" s="2400" t="s">
        <v>2354</v>
      </c>
      <c r="L55" s="2401"/>
      <c r="O55" s="2427" t="s">
        <v>2409</v>
      </c>
      <c r="P55" s="1591"/>
      <c r="Q55" s="1603"/>
      <c r="R55" s="1591"/>
    </row>
    <row r="56" spans="1:18" s="2058" customFormat="1" ht="42.75" customHeight="1" thickBot="1">
      <c r="A56" s="1649"/>
      <c r="B56" s="2230" t="s">
        <v>2302</v>
      </c>
      <c r="C56" s="53">
        <f ca="1">C29</f>
        <v>3196</v>
      </c>
      <c r="D56" s="2663"/>
      <c r="E56" s="784"/>
      <c r="F56" s="809"/>
      <c r="I56" s="2402" t="s">
        <v>2355</v>
      </c>
      <c r="J56" s="3151" t="s">
        <v>1679</v>
      </c>
      <c r="K56" s="2382" t="s">
        <v>2360</v>
      </c>
      <c r="L56" s="2391" t="str">
        <f ca="1">IF(L48&lt;J51,"——",L48-J51)</f>
        <v>——</v>
      </c>
      <c r="O56" s="2418" t="s">
        <v>2373</v>
      </c>
      <c r="P56" s="2419" t="s">
        <v>2374</v>
      </c>
      <c r="Q56" s="2420" t="s">
        <v>2375</v>
      </c>
      <c r="R56" s="2419" t="s">
        <v>2376</v>
      </c>
    </row>
    <row r="57" spans="1:18" s="2058" customFormat="1" ht="28.5" customHeight="1" thickBot="1">
      <c r="A57" s="797" t="s">
        <v>1749</v>
      </c>
      <c r="B57" s="798" t="s">
        <v>652</v>
      </c>
      <c r="C57" s="799">
        <f ca="1">ROUND(C58+C63+C64+C65,0)</f>
        <v>80</v>
      </c>
      <c r="D57" s="26" t="s">
        <v>1751</v>
      </c>
      <c r="E57" s="2664"/>
      <c r="F57" s="56"/>
      <c r="I57" s="2403" t="s">
        <v>2356</v>
      </c>
      <c r="J57" s="2405" t="str">
        <f ca="1">IF(OR(M47="住宅",J51&lt;L48,J56="是"),"——",J51-L48)</f>
        <v>——</v>
      </c>
      <c r="K57" s="2382" t="s">
        <v>2361</v>
      </c>
      <c r="L57" s="2391" t="str">
        <f ca="1">IF(L48&lt;J51,"——",IF(L55="比较法",L49,IF(L55="基准地价",L50,L51)))</f>
        <v>——</v>
      </c>
      <c r="O57" s="2421" t="s">
        <v>2377</v>
      </c>
      <c r="P57" s="2422" t="s">
        <v>2407</v>
      </c>
      <c r="Q57" s="2423">
        <f ca="1">C40+J29</f>
        <v>27774</v>
      </c>
      <c r="R57" s="2422" t="s">
        <v>2378</v>
      </c>
    </row>
    <row r="58" spans="1:18" s="2058" customFormat="1" ht="28.5" customHeight="1" thickBot="1">
      <c r="A58" s="1648" t="s">
        <v>1825</v>
      </c>
      <c r="B58" s="784" t="s">
        <v>657</v>
      </c>
      <c r="C58" s="53">
        <f ca="1">ROUND(IF(项目基本情况!B11="自然人",C47*F58,C59+C60+C61),1)</f>
        <v>32</v>
      </c>
      <c r="D58" s="2662" t="s">
        <v>658</v>
      </c>
      <c r="E58" s="2663" t="s">
        <v>691</v>
      </c>
      <c r="F58" s="810" t="str">
        <f ca="1">IF(项目基本情况!B11="企业","",IF(INDIRECT("'数据-取费表'!c"&amp;$G$1)="住宅",5%,IF(F48*F49*F50/12/(1+'数据-取费表'!C42)&gt;20000,12%,7%)))</f>
        <v/>
      </c>
      <c r="I58" s="2403" t="s">
        <v>2357</v>
      </c>
      <c r="J58" s="3129" t="e">
        <f ca="1">IF(J55&lt;0.4,0.4,J55)</f>
        <v>#VALUE!</v>
      </c>
      <c r="K58" s="2382" t="s">
        <v>2362</v>
      </c>
      <c r="L58" s="2391" t="e">
        <f ca="1">ROUND(POWER(1+L52,L47-L48)*(POWER(1+L52,L48)-1)/(POWER(1+L52,L47)-1),4)</f>
        <v>#DIV/0!</v>
      </c>
      <c r="O58" s="2421" t="s">
        <v>2379</v>
      </c>
      <c r="P58" s="2422" t="s">
        <v>2410</v>
      </c>
      <c r="Q58" s="2423">
        <f ca="1">L60</f>
        <v>0</v>
      </c>
      <c r="R58" s="2426" t="s">
        <v>2412</v>
      </c>
    </row>
    <row r="59" spans="1:18" s="2058" customFormat="1" ht="28.5" customHeight="1" thickBot="1">
      <c r="A59" s="1647" t="s">
        <v>1832</v>
      </c>
      <c r="B59" s="784" t="s">
        <v>661</v>
      </c>
      <c r="C59" s="53">
        <f ca="1">ROUND(C47*F59/1.05,1)</f>
        <v>0</v>
      </c>
      <c r="D59" s="2663" t="s">
        <v>1757</v>
      </c>
      <c r="E59" s="784" t="s">
        <v>1748</v>
      </c>
      <c r="F59" s="809">
        <f t="shared" ref="F59:F65" si="0">F32</f>
        <v>6.1600000000000002E-2</v>
      </c>
      <c r="I59" s="2403" t="s">
        <v>2358</v>
      </c>
      <c r="J59" s="2405"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2381</v>
      </c>
      <c r="P59" s="2422" t="s">
        <v>2411</v>
      </c>
      <c r="Q59" s="2423">
        <f>IF(L55="比较法",L49,IF(L55="基准地价",L50,0))</f>
        <v>0</v>
      </c>
      <c r="R59" s="2422" t="s">
        <v>2378</v>
      </c>
    </row>
    <row r="60" spans="1:18" s="2058" customFormat="1" ht="18" customHeight="1" thickBot="1">
      <c r="A60" s="1647" t="s">
        <v>1833</v>
      </c>
      <c r="B60" s="784" t="s">
        <v>1759</v>
      </c>
      <c r="C60" s="53">
        <f ca="1">IF(D60="按租金收入计税",ROUND(C47*F60,1),IF(D60="按房产原值计税",ROUND(C56*F60*0.7,1),INDIRECT("'数据-取费表'!Aj"&amp;$G$1)))</f>
        <v>26.8</v>
      </c>
      <c r="D60" s="2663" t="str">
        <f>D33</f>
        <v>按房产原值计税</v>
      </c>
      <c r="E60" s="784" t="s">
        <v>1748</v>
      </c>
      <c r="F60" s="809">
        <f t="shared" si="0"/>
        <v>1.2E-2</v>
      </c>
      <c r="I60" s="2404" t="s">
        <v>2359</v>
      </c>
      <c r="J60" s="2406" t="str">
        <f ca="1">IF(OR(M47="住宅",J51&lt;L48,J56="是"),"0",ROUND(J59/(1+J52)^J53,0))</f>
        <v>0</v>
      </c>
      <c r="K60" s="2407" t="s">
        <v>2364</v>
      </c>
      <c r="L60" s="2406">
        <f ca="1">IF(OR(M47="住宅",L48&lt;J51),0,ROUND(L57*(L58/L59-1),0))</f>
        <v>0</v>
      </c>
      <c r="O60" s="2424" t="s">
        <v>2382</v>
      </c>
      <c r="P60" s="2422" t="s">
        <v>2391</v>
      </c>
      <c r="Q60" s="2425">
        <f>L52</f>
        <v>0</v>
      </c>
      <c r="R60" s="2426"/>
    </row>
    <row r="61" spans="1:18" s="2058" customFormat="1" ht="18" customHeight="1" thickBot="1">
      <c r="A61" s="1650" t="s">
        <v>1834</v>
      </c>
      <c r="B61" s="341" t="s">
        <v>669</v>
      </c>
      <c r="C61" s="54">
        <f ca="1">ROUND(F61*F62/10000,1)</f>
        <v>5.2</v>
      </c>
      <c r="D61" s="814" t="s">
        <v>670</v>
      </c>
      <c r="E61" s="784" t="s">
        <v>671</v>
      </c>
      <c r="F61" s="640">
        <f t="shared" si="0"/>
        <v>12</v>
      </c>
      <c r="K61" s="2085"/>
      <c r="O61" s="2424" t="s">
        <v>2384</v>
      </c>
      <c r="P61" s="2422" t="s">
        <v>2392</v>
      </c>
      <c r="Q61" s="2423" t="e">
        <f ca="1">L58</f>
        <v>#DIV/0!</v>
      </c>
      <c r="R61" s="2426" t="s">
        <v>2393</v>
      </c>
    </row>
    <row r="62" spans="1:18" s="2058" customFormat="1" ht="15.75" thickBot="1">
      <c r="A62" s="815"/>
      <c r="B62" s="793"/>
      <c r="C62" s="69"/>
      <c r="D62" s="816"/>
      <c r="E62" s="784" t="s">
        <v>675</v>
      </c>
      <c r="F62" s="785">
        <f t="shared" ca="1" si="0"/>
        <v>4370.59</v>
      </c>
      <c r="I62" s="2408" t="s">
        <v>2365</v>
      </c>
      <c r="J62" s="2409" t="s">
        <v>2366</v>
      </c>
      <c r="K62" s="2409" t="s">
        <v>2367</v>
      </c>
      <c r="L62" s="2409" t="s">
        <v>2348</v>
      </c>
      <c r="M62" s="3130" t="s">
        <v>2942</v>
      </c>
      <c r="O62" s="2424" t="s">
        <v>2386</v>
      </c>
      <c r="P62" s="2422" t="str">
        <f>K59</f>
        <v>建设期及建筑物耐用年限下的土地年期修正系数Kn</v>
      </c>
      <c r="Q62" s="2423" t="e">
        <f ca="1">L59</f>
        <v>#DIV/0!</v>
      </c>
      <c r="R62" s="2426" t="s">
        <v>2395</v>
      </c>
    </row>
    <row r="63" spans="1:18" s="2058" customFormat="1" ht="15.75" thickBot="1">
      <c r="A63" s="1648" t="s">
        <v>1890</v>
      </c>
      <c r="B63" s="784" t="s">
        <v>677</v>
      </c>
      <c r="C63" s="53">
        <f ca="1">ROUND(C56*F63,1)</f>
        <v>47.9</v>
      </c>
      <c r="D63" s="2663" t="s">
        <v>1804</v>
      </c>
      <c r="E63" s="784" t="s">
        <v>1748</v>
      </c>
      <c r="F63" s="817">
        <f t="shared" ca="1" si="0"/>
        <v>1.4999999999999999E-2</v>
      </c>
      <c r="I63" s="2408" t="s">
        <v>2368</v>
      </c>
      <c r="J63" s="2409">
        <v>70</v>
      </c>
      <c r="K63" s="2409">
        <v>50</v>
      </c>
      <c r="L63" s="2409">
        <v>80</v>
      </c>
      <c r="M63" s="3131">
        <v>0.02</v>
      </c>
      <c r="O63" s="2421" t="s">
        <v>2389</v>
      </c>
      <c r="P63" s="2422" t="s">
        <v>2406</v>
      </c>
      <c r="Q63" s="2423">
        <f ca="1">Q57+Q58</f>
        <v>27774</v>
      </c>
      <c r="R63" s="2426" t="s">
        <v>2390</v>
      </c>
    </row>
    <row r="64" spans="1:18" s="2058" customFormat="1" ht="16.5" thickBot="1">
      <c r="A64" s="1648" t="s">
        <v>1891</v>
      </c>
      <c r="B64" s="784" t="s">
        <v>680</v>
      </c>
      <c r="C64" s="53">
        <f ca="1">ROUND(C55*F64,1)</f>
        <v>0</v>
      </c>
      <c r="D64" s="2663" t="s">
        <v>681</v>
      </c>
      <c r="E64" s="784" t="s">
        <v>1748</v>
      </c>
      <c r="F64" s="818">
        <f t="shared" ca="1" si="0"/>
        <v>2E-3</v>
      </c>
      <c r="I64" s="2408" t="s">
        <v>2369</v>
      </c>
      <c r="J64" s="2409">
        <v>50</v>
      </c>
      <c r="K64" s="2409">
        <v>35</v>
      </c>
      <c r="L64" s="2409">
        <v>60</v>
      </c>
      <c r="M64" s="3132">
        <v>0</v>
      </c>
      <c r="O64" s="2427" t="s">
        <v>2413</v>
      </c>
      <c r="P64" s="1591"/>
      <c r="Q64" s="1603"/>
      <c r="R64" s="1591"/>
    </row>
    <row r="65" spans="1:18" s="2058" customFormat="1" ht="15.75" thickBot="1">
      <c r="A65" s="1648" t="s">
        <v>1892</v>
      </c>
      <c r="B65" s="784" t="s">
        <v>667</v>
      </c>
      <c r="C65" s="53">
        <f ca="1">ROUND(C47*F65,1)</f>
        <v>0</v>
      </c>
      <c r="D65" s="2663" t="s">
        <v>684</v>
      </c>
      <c r="E65" s="784" t="s">
        <v>1748</v>
      </c>
      <c r="F65" s="794">
        <f t="shared" ca="1" si="0"/>
        <v>0.02</v>
      </c>
      <c r="I65" s="2408" t="s">
        <v>2370</v>
      </c>
      <c r="J65" s="2409">
        <v>40</v>
      </c>
      <c r="K65" s="2409">
        <v>30</v>
      </c>
      <c r="L65" s="2409">
        <v>50</v>
      </c>
      <c r="M65" s="3131">
        <v>0.02</v>
      </c>
      <c r="O65" s="2418" t="s">
        <v>2373</v>
      </c>
      <c r="P65" s="2419" t="s">
        <v>2374</v>
      </c>
      <c r="Q65" s="2420" t="s">
        <v>2375</v>
      </c>
      <c r="R65" s="2419" t="s">
        <v>2376</v>
      </c>
    </row>
    <row r="66" spans="1:18" s="2058" customFormat="1" ht="24.75" thickBot="1">
      <c r="A66" s="797" t="s">
        <v>1777</v>
      </c>
      <c r="B66" s="3036" t="s">
        <v>2823</v>
      </c>
      <c r="C66" s="799">
        <f ca="1">C47-C57</f>
        <v>-80</v>
      </c>
      <c r="D66" s="2662" t="s">
        <v>701</v>
      </c>
      <c r="E66" s="2661"/>
      <c r="F66" s="820"/>
      <c r="K66" s="2085"/>
      <c r="O66" s="2421" t="s">
        <v>2377</v>
      </c>
      <c r="P66" s="2422" t="s">
        <v>2407</v>
      </c>
      <c r="Q66" s="2423">
        <f ca="1">C40+J29</f>
        <v>27774</v>
      </c>
      <c r="R66" s="2422" t="s">
        <v>2378</v>
      </c>
    </row>
    <row r="67" spans="1:18" s="2058" customFormat="1" ht="20.25" thickBot="1">
      <c r="A67" s="781" t="s">
        <v>1781</v>
      </c>
      <c r="B67" s="2231" t="s">
        <v>2301</v>
      </c>
      <c r="C67" s="783">
        <f ca="1">ROUND(C66*(1-((1+F69)/(1+F67))^F68)/(F67-F69),0)</f>
        <v>-1259</v>
      </c>
      <c r="D67" s="814" t="s">
        <v>705</v>
      </c>
      <c r="E67" s="784" t="s">
        <v>706</v>
      </c>
      <c r="F67" s="794">
        <f ca="1">F40</f>
        <v>5.5E-2</v>
      </c>
      <c r="K67" s="2085"/>
      <c r="O67" s="2421" t="s">
        <v>2379</v>
      </c>
      <c r="P67" s="2422" t="s">
        <v>2410</v>
      </c>
      <c r="Q67" s="2423">
        <f ca="1">L60</f>
        <v>0</v>
      </c>
      <c r="R67" s="2426" t="s">
        <v>2412</v>
      </c>
    </row>
    <row r="68" spans="1:18" ht="21.75" thickBot="1">
      <c r="A68" s="786"/>
      <c r="B68" s="787"/>
      <c r="C68" s="788"/>
      <c r="D68" s="821" t="s">
        <v>1809</v>
      </c>
      <c r="E68" s="784" t="s">
        <v>1785</v>
      </c>
      <c r="F68" s="822">
        <f ca="1">F41</f>
        <v>37.479999999999997</v>
      </c>
      <c r="O68" s="2424" t="s">
        <v>2381</v>
      </c>
      <c r="P68" s="2422" t="s">
        <v>2411</v>
      </c>
      <c r="Q68" s="2428">
        <f ca="1">L51</f>
        <v>21544</v>
      </c>
      <c r="R68" s="2429" t="s">
        <v>2414</v>
      </c>
    </row>
    <row r="69" spans="1:18" ht="20.25" thickBot="1">
      <c r="A69" s="790"/>
      <c r="B69" s="791"/>
      <c r="C69" s="792"/>
      <c r="D69" s="816"/>
      <c r="E69" s="784" t="s">
        <v>711</v>
      </c>
      <c r="F69" s="2370"/>
      <c r="O69" s="2424" t="s">
        <v>2382</v>
      </c>
      <c r="P69" s="2430" t="s">
        <v>2396</v>
      </c>
      <c r="Q69" s="2423">
        <f ca="1">ROUND(Q70-Q71*Q72,0)</f>
        <v>1171</v>
      </c>
      <c r="R69" s="2426"/>
    </row>
    <row r="70" spans="1:18" ht="15.75" thickBot="1">
      <c r="A70" s="823" t="s">
        <v>1788</v>
      </c>
      <c r="B70" s="824" t="s">
        <v>1811</v>
      </c>
      <c r="C70" s="825">
        <f ca="1">ROUND(C67*10000/F70,0)</f>
        <v>-1152</v>
      </c>
      <c r="D70" s="826" t="s">
        <v>1812</v>
      </c>
      <c r="E70" s="827" t="s">
        <v>1813</v>
      </c>
      <c r="F70" s="828">
        <f ca="1">F43</f>
        <v>10926.54</v>
      </c>
      <c r="O70" s="2424" t="s">
        <v>2397</v>
      </c>
      <c r="P70" s="2430" t="s">
        <v>2398</v>
      </c>
      <c r="Q70" s="2423">
        <f ca="1">C39</f>
        <v>1171</v>
      </c>
      <c r="R70" s="2422" t="s">
        <v>2378</v>
      </c>
    </row>
    <row r="71" spans="1:18" ht="15.75" thickBot="1">
      <c r="O71" s="2424" t="s">
        <v>2399</v>
      </c>
      <c r="P71" s="2430" t="s">
        <v>2400</v>
      </c>
      <c r="Q71" s="2423">
        <f ca="1">C13</f>
        <v>0</v>
      </c>
      <c r="R71" s="2422" t="s">
        <v>2378</v>
      </c>
    </row>
    <row r="72" spans="1:18" ht="15.75" thickBot="1">
      <c r="O72" s="2424" t="s">
        <v>2401</v>
      </c>
      <c r="P72" s="2430" t="s">
        <v>2402</v>
      </c>
      <c r="Q72" s="2425">
        <f ca="1">J36</f>
        <v>0.08</v>
      </c>
      <c r="R72" s="2426"/>
    </row>
    <row r="73" spans="1:18" ht="15.75" thickBot="1">
      <c r="O73" s="2424" t="s">
        <v>2384</v>
      </c>
      <c r="P73" s="2422" t="s">
        <v>2391</v>
      </c>
      <c r="Q73" s="2425">
        <f>L52</f>
        <v>0</v>
      </c>
      <c r="R73" s="2426"/>
    </row>
    <row r="74" spans="1:18" ht="20.25" thickBot="1">
      <c r="O74" s="2424" t="s">
        <v>2386</v>
      </c>
      <c r="P74" s="2422" t="s">
        <v>2392</v>
      </c>
      <c r="Q74" s="2423" t="e">
        <f ca="1">L58</f>
        <v>#DIV/0!</v>
      </c>
      <c r="R74" s="2426" t="s">
        <v>2393</v>
      </c>
    </row>
    <row r="75" spans="1:18" ht="15.75" thickBot="1">
      <c r="O75" s="2424" t="s">
        <v>2415</v>
      </c>
      <c r="P75" s="2422" t="str">
        <f>K59</f>
        <v>建设期及建筑物耐用年限下的土地年期修正系数Kn</v>
      </c>
      <c r="Q75" s="2423" t="e">
        <f ca="1">L59</f>
        <v>#DIV/0!</v>
      </c>
      <c r="R75" s="2426" t="s">
        <v>2395</v>
      </c>
    </row>
    <row r="76" spans="1:18" ht="15.75" thickBot="1">
      <c r="O76" s="2421" t="s">
        <v>2389</v>
      </c>
      <c r="P76" s="2422" t="s">
        <v>2406</v>
      </c>
      <c r="Q76" s="2423">
        <f ca="1">Q66+Q67</f>
        <v>27774</v>
      </c>
      <c r="R76" s="2426"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A3" zoomScale="80" zoomScaleNormal="80" workbookViewId="0">
      <selection activeCell="M16" sqref="M16"/>
    </sheetView>
  </sheetViews>
  <sheetFormatPr defaultRowHeight="14.25"/>
  <cols>
    <col min="1" max="1" width="10.5" style="1336" customWidth="1"/>
    <col min="2" max="2" width="15.75" style="1336" customWidth="1"/>
    <col min="3" max="3" width="16" style="1336" customWidth="1"/>
    <col min="4" max="4" width="12.25" style="1336" customWidth="1"/>
    <col min="5" max="5" width="16" style="1336" customWidth="1"/>
    <col min="6" max="6" width="12.25" style="1336" customWidth="1"/>
    <col min="7" max="7" width="16.25" style="1336" customWidth="1"/>
    <col min="8" max="8" width="12.25" style="1336" customWidth="1"/>
    <col min="9" max="9" width="16.1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758</v>
      </c>
      <c r="C1" s="504" t="s">
        <v>721</v>
      </c>
      <c r="D1" s="2369" t="s">
        <v>3009</v>
      </c>
      <c r="E1" s="506"/>
      <c r="F1" s="2832" t="s">
        <v>3071</v>
      </c>
      <c r="G1" s="1600" t="s">
        <v>722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f>ROUND(B3*D3/10000,0)</f>
        <v>40848</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520</v>
      </c>
      <c r="B3" s="510">
        <f>C49</f>
        <v>27232</v>
      </c>
      <c r="C3" s="852" t="s">
        <v>723</v>
      </c>
      <c r="D3" s="851">
        <f>SUMIF('数据-汇总表'!$C19:$C33,D1,'数据-汇总表'!$E19:$E33)</f>
        <v>15000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522</v>
      </c>
      <c r="B4" s="513"/>
      <c r="C4" s="3373" t="s">
        <v>523</v>
      </c>
      <c r="D4" s="3374"/>
      <c r="E4" s="3410" t="s">
        <v>524</v>
      </c>
      <c r="F4" s="3411"/>
      <c r="G4" s="3373" t="s">
        <v>525</v>
      </c>
      <c r="H4" s="3374"/>
      <c r="I4" s="3373" t="s">
        <v>526</v>
      </c>
      <c r="J4" s="3374"/>
      <c r="K4" s="514" t="s">
        <v>527</v>
      </c>
      <c r="L4" s="2132"/>
      <c r="M4" s="2133"/>
      <c r="N4" s="2133"/>
      <c r="O4" s="2133"/>
      <c r="P4" s="3375" t="s">
        <v>528</v>
      </c>
      <c r="Q4" s="3376"/>
      <c r="R4" s="3381" t="s">
        <v>524</v>
      </c>
      <c r="S4" s="3382"/>
      <c r="T4" s="3381" t="s">
        <v>525</v>
      </c>
      <c r="U4" s="3382"/>
      <c r="V4" s="3368" t="s">
        <v>526</v>
      </c>
      <c r="W4" s="3368"/>
      <c r="X4" s="1566"/>
      <c r="Y4" s="3381" t="s">
        <v>528</v>
      </c>
      <c r="Z4" s="3382"/>
      <c r="AA4" s="3370" t="s">
        <v>524</v>
      </c>
      <c r="AB4" s="3368" t="s">
        <v>525</v>
      </c>
      <c r="AC4" s="3370" t="s">
        <v>526</v>
      </c>
    </row>
    <row r="5" spans="1:29" ht="15">
      <c r="A5" s="515"/>
      <c r="B5" s="516"/>
      <c r="C5" s="3391" t="s">
        <v>2927</v>
      </c>
      <c r="D5" s="3390"/>
      <c r="E5" s="3463" t="s">
        <v>3115</v>
      </c>
      <c r="F5" s="3413"/>
      <c r="G5" s="3389" t="s">
        <v>3142</v>
      </c>
      <c r="H5" s="3390"/>
      <c r="I5" s="3389" t="s">
        <v>3111</v>
      </c>
      <c r="J5" s="3390"/>
      <c r="K5" s="514"/>
      <c r="L5" s="2132"/>
      <c r="M5" s="2133"/>
      <c r="N5" s="2133"/>
      <c r="O5" s="2133"/>
      <c r="P5" s="3377"/>
      <c r="Q5" s="3378"/>
      <c r="R5" s="3383"/>
      <c r="S5" s="3384"/>
      <c r="T5" s="3383"/>
      <c r="U5" s="3384"/>
      <c r="V5" s="3368"/>
      <c r="W5" s="3368"/>
      <c r="X5" s="1566"/>
      <c r="Y5" s="3383"/>
      <c r="Z5" s="3384"/>
      <c r="AA5" s="3371"/>
      <c r="AB5" s="3368"/>
      <c r="AC5" s="3371"/>
    </row>
    <row r="6" spans="1:29" ht="15.75" thickBot="1">
      <c r="A6" s="517"/>
      <c r="B6" s="518"/>
      <c r="C6" s="3407" t="s">
        <v>2931</v>
      </c>
      <c r="D6" s="3388"/>
      <c r="E6" s="3462" t="s">
        <v>3141</v>
      </c>
      <c r="F6" s="3409"/>
      <c r="G6" s="3387" t="s">
        <v>3143</v>
      </c>
      <c r="H6" s="3388"/>
      <c r="I6" s="3387" t="s">
        <v>3112</v>
      </c>
      <c r="J6" s="3388"/>
      <c r="K6" s="514" t="s">
        <v>529</v>
      </c>
      <c r="L6" s="2132"/>
      <c r="M6" s="2133"/>
      <c r="N6" s="2133"/>
      <c r="O6" s="2133"/>
      <c r="P6" s="3379"/>
      <c r="Q6" s="3380"/>
      <c r="R6" s="3383"/>
      <c r="S6" s="3384"/>
      <c r="T6" s="3385"/>
      <c r="U6" s="3386"/>
      <c r="V6" s="3368"/>
      <c r="W6" s="3368"/>
      <c r="X6" s="1566"/>
      <c r="Y6" s="3385"/>
      <c r="Z6" s="3386"/>
      <c r="AA6" s="3372"/>
      <c r="AB6" s="3368"/>
      <c r="AC6" s="3372"/>
    </row>
    <row r="7" spans="1:29" s="1219" customFormat="1" ht="15.75" thickBot="1">
      <c r="A7" s="2937"/>
      <c r="B7" s="2944" t="s">
        <v>530</v>
      </c>
      <c r="C7" s="519">
        <f>'数据-取费表'!B2</f>
        <v>43068</v>
      </c>
      <c r="D7" s="520">
        <v>100</v>
      </c>
      <c r="E7" s="521">
        <f>C7</f>
        <v>43068</v>
      </c>
      <c r="F7" s="522">
        <f>SUMIF(58:58,YEAR(E7)&amp;"-"&amp;MONTH(E7),59:59)</f>
        <v>100</v>
      </c>
      <c r="G7" s="521">
        <f>C7</f>
        <v>43068</v>
      </c>
      <c r="H7" s="520">
        <f>SUMIF(58:58,YEAR(G7)&amp;"-"&amp;MONTH(G7),59:59)</f>
        <v>100</v>
      </c>
      <c r="I7" s="521">
        <f>C7</f>
        <v>43068</v>
      </c>
      <c r="J7" s="520">
        <f>SUMIF(58:58,YEAR(I7)&amp;"-"&amp;MONTH(I7),59:59)</f>
        <v>100</v>
      </c>
      <c r="K7" s="524"/>
      <c r="L7" s="2134"/>
      <c r="M7" s="2135"/>
      <c r="N7" s="2135"/>
      <c r="O7" s="2135"/>
      <c r="P7" s="3400" t="s">
        <v>531</v>
      </c>
      <c r="Q7" s="3402"/>
      <c r="R7" s="1567" t="s">
        <v>8</v>
      </c>
      <c r="S7" s="1568">
        <f t="shared" ref="S7:S15" si="0">F7</f>
        <v>100</v>
      </c>
      <c r="T7" s="1567" t="s">
        <v>8</v>
      </c>
      <c r="U7" s="1568">
        <f t="shared" ref="U7:U15" si="1">H7</f>
        <v>100</v>
      </c>
      <c r="V7" s="1567" t="s">
        <v>8</v>
      </c>
      <c r="W7" s="1568">
        <f t="shared" ref="W7:W15" si="2">J7</f>
        <v>100</v>
      </c>
      <c r="X7" s="1569"/>
      <c r="Y7" s="3400" t="s">
        <v>531</v>
      </c>
      <c r="Z7" s="3401"/>
      <c r="AA7" s="1570">
        <f>D7/F7</f>
        <v>1</v>
      </c>
      <c r="AB7" s="1570">
        <f>D7/H7</f>
        <v>1</v>
      </c>
      <c r="AC7" s="1570">
        <f>D7/J7</f>
        <v>1</v>
      </c>
    </row>
    <row r="8" spans="1:29" s="1219" customFormat="1" ht="15.75" thickBot="1">
      <c r="A8" s="2938"/>
      <c r="B8" s="2945" t="s">
        <v>532</v>
      </c>
      <c r="C8" s="525" t="s">
        <v>577</v>
      </c>
      <c r="D8" s="520">
        <v>100</v>
      </c>
      <c r="E8" s="525" t="s">
        <v>3024</v>
      </c>
      <c r="F8" s="522">
        <f>SUMIF(61:61,E8,62:62)-SUMIF(61:61,C8,62:62)+100</f>
        <v>100</v>
      </c>
      <c r="G8" s="525" t="s">
        <v>3024</v>
      </c>
      <c r="H8" s="520">
        <f>SUMIF(61:61,G8,62:62)-SUMIF(61:61,C8,62:62)+100</f>
        <v>100</v>
      </c>
      <c r="I8" s="525" t="s">
        <v>3024</v>
      </c>
      <c r="J8" s="520">
        <f>SUMIF(61:61,I8,62:62)-SUMIF(61:61,C8,62:62)+100</f>
        <v>100</v>
      </c>
      <c r="K8" s="524"/>
      <c r="L8" s="2134"/>
      <c r="M8" s="2135"/>
      <c r="N8" s="2135"/>
      <c r="O8" s="2135"/>
      <c r="P8" s="3400" t="s">
        <v>534</v>
      </c>
      <c r="Q8" s="3401"/>
      <c r="R8" s="1567" t="s">
        <v>8</v>
      </c>
      <c r="S8" s="1568">
        <f t="shared" si="0"/>
        <v>100</v>
      </c>
      <c r="T8" s="1567" t="s">
        <v>8</v>
      </c>
      <c r="U8" s="1568">
        <f t="shared" si="1"/>
        <v>100</v>
      </c>
      <c r="V8" s="1567" t="s">
        <v>8</v>
      </c>
      <c r="W8" s="1568">
        <f t="shared" si="2"/>
        <v>100</v>
      </c>
      <c r="X8" s="1569"/>
      <c r="Y8" s="3400" t="s">
        <v>534</v>
      </c>
      <c r="Z8" s="3401"/>
      <c r="AA8" s="1570">
        <f t="shared" ref="AA8:AA46" si="3">D8/F8</f>
        <v>1</v>
      </c>
      <c r="AB8" s="1570">
        <f t="shared" ref="AB8:AB46" si="4">D8/H8</f>
        <v>1</v>
      </c>
      <c r="AC8" s="1570">
        <f t="shared" ref="AC8:AC46" si="5">D8/J8</f>
        <v>1</v>
      </c>
    </row>
    <row r="9" spans="1:29" s="1219" customFormat="1" ht="15">
      <c r="A9" s="2939"/>
      <c r="B9" s="2946" t="s">
        <v>2757</v>
      </c>
      <c r="C9" s="3189" t="s">
        <v>3116</v>
      </c>
      <c r="D9" s="254">
        <v>100</v>
      </c>
      <c r="E9" s="860" t="s">
        <v>2985</v>
      </c>
      <c r="F9" s="254">
        <f>SUMIF(63:63,E9,64:64)-SUMIF(63:63,C9,64:64)+100</f>
        <v>100</v>
      </c>
      <c r="G9" s="858" t="s">
        <v>2985</v>
      </c>
      <c r="H9" s="254">
        <f>SUMIF(63:63,G9,64:64)-SUMIF(63:63,C9,64:64)+100</f>
        <v>100</v>
      </c>
      <c r="I9" s="858" t="s">
        <v>2985</v>
      </c>
      <c r="J9" s="254">
        <f>SUMIF(63:63,I9,64:64)-SUMIF(63:63,C9,64:64)+100</f>
        <v>100</v>
      </c>
      <c r="K9" s="524"/>
      <c r="L9" s="2134"/>
      <c r="M9" s="2135"/>
      <c r="N9" s="2135"/>
      <c r="O9" s="2136"/>
      <c r="P9" s="3367" t="s">
        <v>536</v>
      </c>
      <c r="Q9" s="1150" t="str">
        <f t="shared" ref="Q9:Q15" si="6">B9</f>
        <v>用途</v>
      </c>
      <c r="R9" s="1567" t="s">
        <v>8</v>
      </c>
      <c r="S9" s="1568">
        <f t="shared" si="0"/>
        <v>100</v>
      </c>
      <c r="T9" s="1567" t="s">
        <v>8</v>
      </c>
      <c r="U9" s="1568">
        <f t="shared" si="1"/>
        <v>100</v>
      </c>
      <c r="V9" s="1567" t="s">
        <v>8</v>
      </c>
      <c r="W9" s="1568">
        <f t="shared" si="2"/>
        <v>100</v>
      </c>
      <c r="X9" s="1569"/>
      <c r="Y9" s="3313" t="s">
        <v>537</v>
      </c>
      <c r="Z9" s="1149" t="str">
        <f t="shared" ref="Z9:Z15" si="7">Q9</f>
        <v>用途</v>
      </c>
      <c r="AA9" s="1570">
        <f t="shared" si="3"/>
        <v>1</v>
      </c>
      <c r="AB9" s="1570">
        <f t="shared" si="4"/>
        <v>1</v>
      </c>
      <c r="AC9" s="1570">
        <f t="shared" si="5"/>
        <v>1</v>
      </c>
    </row>
    <row r="10" spans="1:29" s="1337" customFormat="1" ht="27">
      <c r="A10" s="2940"/>
      <c r="B10" s="2945" t="s">
        <v>2758</v>
      </c>
      <c r="C10" s="861" t="s">
        <v>3117</v>
      </c>
      <c r="D10" s="255">
        <v>100</v>
      </c>
      <c r="E10" s="861" t="s">
        <v>3117</v>
      </c>
      <c r="F10" s="255">
        <f>SUMIF(65:65,E10,66:66)-SUMIF(65:65,C10,66:66)+100</f>
        <v>100</v>
      </c>
      <c r="G10" s="862" t="s">
        <v>3117</v>
      </c>
      <c r="H10" s="255">
        <f>SUMIF(65:65,G10,66:66)-SUMIF(65:65,C10,66:66)+100</f>
        <v>100</v>
      </c>
      <c r="I10" s="861" t="s">
        <v>3117</v>
      </c>
      <c r="J10" s="255">
        <f>SUMIF(65:65,I10,66:66)-SUMIF(65:65,C10,66:66)+100</f>
        <v>100</v>
      </c>
      <c r="K10" s="584"/>
      <c r="L10" s="2137"/>
      <c r="M10" s="2177"/>
      <c r="N10" s="2177"/>
      <c r="O10" s="2138"/>
      <c r="P10" s="3367"/>
      <c r="Q10" s="1150" t="str">
        <f t="shared" si="6"/>
        <v>土地使用年限（年）</v>
      </c>
      <c r="R10" s="1567" t="s">
        <v>8</v>
      </c>
      <c r="S10" s="1568">
        <f t="shared" si="0"/>
        <v>100</v>
      </c>
      <c r="T10" s="1567" t="s">
        <v>8</v>
      </c>
      <c r="U10" s="1568">
        <f t="shared" si="1"/>
        <v>100</v>
      </c>
      <c r="V10" s="1567" t="s">
        <v>8</v>
      </c>
      <c r="W10" s="1568">
        <f t="shared" si="2"/>
        <v>100</v>
      </c>
      <c r="X10" s="1569"/>
      <c r="Y10" s="3313"/>
      <c r="Z10" s="1149" t="str">
        <f t="shared" si="7"/>
        <v>土地使用年限（年）</v>
      </c>
      <c r="AA10" s="1570">
        <f t="shared" si="3"/>
        <v>1</v>
      </c>
      <c r="AB10" s="1570">
        <f t="shared" si="4"/>
        <v>1</v>
      </c>
      <c r="AC10" s="1570">
        <f t="shared" si="5"/>
        <v>1</v>
      </c>
    </row>
    <row r="11" spans="1:29" ht="15.75" thickBot="1">
      <c r="A11" s="2941"/>
      <c r="B11" s="2945" t="s">
        <v>2759</v>
      </c>
      <c r="C11" s="533">
        <v>2.5</v>
      </c>
      <c r="D11" s="255">
        <v>100</v>
      </c>
      <c r="E11" s="533">
        <v>3.96</v>
      </c>
      <c r="F11" s="255">
        <f>LOOKUP(E11,68:68,69:69)-LOOKUP(C11,68:68,69:69)+100</f>
        <v>100</v>
      </c>
      <c r="G11" s="534">
        <v>3.5</v>
      </c>
      <c r="H11" s="255">
        <f>LOOKUP(G11,68:68,69:69)-LOOKUP(C11,68:68,69:69)+100</f>
        <v>100</v>
      </c>
      <c r="I11" s="533">
        <v>4</v>
      </c>
      <c r="J11" s="255">
        <f>LOOKUP(I11,68:68,69:69)-LOOKUP(C11,68:68,69:69)+100</f>
        <v>99</v>
      </c>
      <c r="K11" s="584">
        <v>1</v>
      </c>
      <c r="L11" s="2139"/>
      <c r="M11" s="2133"/>
      <c r="N11" s="2133"/>
      <c r="O11" s="2140"/>
      <c r="P11" s="3367"/>
      <c r="Q11" s="1150" t="str">
        <f t="shared" si="6"/>
        <v>容积率</v>
      </c>
      <c r="R11" s="1567" t="s">
        <v>8</v>
      </c>
      <c r="S11" s="1568">
        <f t="shared" si="0"/>
        <v>100</v>
      </c>
      <c r="T11" s="1567" t="s">
        <v>8</v>
      </c>
      <c r="U11" s="1568">
        <f t="shared" si="1"/>
        <v>100</v>
      </c>
      <c r="V11" s="1567" t="s">
        <v>8</v>
      </c>
      <c r="W11" s="1568">
        <f t="shared" si="2"/>
        <v>99</v>
      </c>
      <c r="X11" s="1569"/>
      <c r="Y11" s="3313"/>
      <c r="Z11" s="1149" t="str">
        <f t="shared" si="7"/>
        <v>容积率</v>
      </c>
      <c r="AA11" s="1570">
        <f t="shared" si="3"/>
        <v>1</v>
      </c>
      <c r="AB11" s="1570">
        <f t="shared" si="4"/>
        <v>1</v>
      </c>
      <c r="AC11" s="1570">
        <f t="shared" si="5"/>
        <v>1.0101010101010102</v>
      </c>
    </row>
    <row r="12" spans="1:29" s="1219" customFormat="1" ht="15" hidden="1">
      <c r="A12" s="2942"/>
      <c r="B12" s="2948">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367"/>
      <c r="Q12" s="1150">
        <f t="shared" si="6"/>
        <v>111</v>
      </c>
      <c r="R12" s="1567" t="s">
        <v>8</v>
      </c>
      <c r="S12" s="1568">
        <f t="shared" si="0"/>
        <v>100</v>
      </c>
      <c r="T12" s="1567" t="s">
        <v>8</v>
      </c>
      <c r="U12" s="1568">
        <f t="shared" si="1"/>
        <v>100</v>
      </c>
      <c r="V12" s="1567" t="s">
        <v>8</v>
      </c>
      <c r="W12" s="1568">
        <f t="shared" si="2"/>
        <v>100</v>
      </c>
      <c r="X12" s="1569"/>
      <c r="Y12" s="3313"/>
      <c r="Z12" s="1149">
        <f t="shared" si="7"/>
        <v>111</v>
      </c>
      <c r="AA12" s="1570">
        <f>D12/F12</f>
        <v>1</v>
      </c>
      <c r="AB12" s="1570">
        <f>D12/H12</f>
        <v>1</v>
      </c>
      <c r="AC12" s="1570">
        <f>D12/J12</f>
        <v>1</v>
      </c>
    </row>
    <row r="13" spans="1:29" ht="15" hidden="1">
      <c r="A13" s="2942"/>
      <c r="B13" s="2948">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367"/>
      <c r="Q13" s="1150">
        <f t="shared" si="6"/>
        <v>111</v>
      </c>
      <c r="R13" s="1567" t="s">
        <v>8</v>
      </c>
      <c r="S13" s="1568">
        <f t="shared" si="0"/>
        <v>100</v>
      </c>
      <c r="T13" s="1567" t="s">
        <v>8</v>
      </c>
      <c r="U13" s="1568">
        <f t="shared" si="1"/>
        <v>100</v>
      </c>
      <c r="V13" s="1567" t="s">
        <v>8</v>
      </c>
      <c r="W13" s="1568">
        <f t="shared" si="2"/>
        <v>100</v>
      </c>
      <c r="X13" s="1569"/>
      <c r="Y13" s="3313"/>
      <c r="Z13" s="1149">
        <f t="shared" si="7"/>
        <v>111</v>
      </c>
      <c r="AA13" s="1570">
        <f t="shared" si="3"/>
        <v>1</v>
      </c>
      <c r="AB13" s="1570">
        <f t="shared" si="4"/>
        <v>1</v>
      </c>
      <c r="AC13" s="1570">
        <f t="shared" si="5"/>
        <v>1</v>
      </c>
    </row>
    <row r="14" spans="1:29" ht="15.75" hidden="1" thickBot="1">
      <c r="A14" s="2943"/>
      <c r="B14" s="2949">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367"/>
      <c r="Q14" s="1150">
        <f t="shared" si="6"/>
        <v>111</v>
      </c>
      <c r="R14" s="1567" t="s">
        <v>8</v>
      </c>
      <c r="S14" s="1568">
        <f t="shared" si="0"/>
        <v>100</v>
      </c>
      <c r="T14" s="1567" t="s">
        <v>8</v>
      </c>
      <c r="U14" s="1568">
        <f t="shared" si="1"/>
        <v>100</v>
      </c>
      <c r="V14" s="1567" t="s">
        <v>8</v>
      </c>
      <c r="W14" s="1568">
        <f t="shared" si="2"/>
        <v>100</v>
      </c>
      <c r="X14" s="1569"/>
      <c r="Y14" s="3313"/>
      <c r="Z14" s="1149">
        <f t="shared" si="7"/>
        <v>111</v>
      </c>
      <c r="AA14" s="1570">
        <f t="shared" si="3"/>
        <v>1</v>
      </c>
      <c r="AB14" s="1570">
        <f t="shared" si="4"/>
        <v>1</v>
      </c>
      <c r="AC14" s="1570">
        <f t="shared" si="5"/>
        <v>1</v>
      </c>
    </row>
    <row r="15" spans="1:29" ht="57">
      <c r="A15" s="2935" t="s">
        <v>2755</v>
      </c>
      <c r="B15" s="166" t="s">
        <v>542</v>
      </c>
      <c r="C15" s="867" t="str">
        <f>估价对象房地状况!C4</f>
        <v>估价对象位于XX商圈，周边商业氛围成熟，人流量大，商业繁华度好</v>
      </c>
      <c r="D15" s="549">
        <v>100</v>
      </c>
      <c r="E15" s="550"/>
      <c r="F15" s="551">
        <f>SUMIF(76:76,E16,77:77)-SUMIF(76:76,C16,77:77)+100</f>
        <v>102</v>
      </c>
      <c r="G15" s="552"/>
      <c r="H15" s="549">
        <f>SUMIF(76:76,G16,77:77)-SUMIF(76:76,C16,77:77)+100</f>
        <v>100</v>
      </c>
      <c r="I15" s="550"/>
      <c r="J15" s="549">
        <f>SUMIF(76:76,I16,77:77)-SUMIF(76:76,C16,77:77)+100</f>
        <v>102</v>
      </c>
      <c r="K15" s="898">
        <v>2</v>
      </c>
      <c r="L15" s="2141"/>
      <c r="M15" s="2133"/>
      <c r="N15" s="2133"/>
      <c r="O15" s="2140"/>
      <c r="P15" s="3403" t="s">
        <v>541</v>
      </c>
      <c r="Q15" s="1571" t="str">
        <f t="shared" si="6"/>
        <v>商业繁华度</v>
      </c>
      <c r="R15" s="1572" t="s">
        <v>8</v>
      </c>
      <c r="S15" s="1573">
        <f t="shared" si="0"/>
        <v>102</v>
      </c>
      <c r="T15" s="1572" t="s">
        <v>8</v>
      </c>
      <c r="U15" s="1573">
        <f t="shared" si="1"/>
        <v>100</v>
      </c>
      <c r="V15" s="1572" t="s">
        <v>8</v>
      </c>
      <c r="W15" s="1573">
        <f t="shared" si="2"/>
        <v>102</v>
      </c>
      <c r="X15" s="1566"/>
      <c r="Y15" s="3403" t="s">
        <v>541</v>
      </c>
      <c r="Z15" s="1574" t="str">
        <f t="shared" si="7"/>
        <v>商业繁华度</v>
      </c>
      <c r="AA15" s="1575">
        <f t="shared" si="3"/>
        <v>0.98039215686274506</v>
      </c>
      <c r="AB15" s="1575">
        <f t="shared" si="4"/>
        <v>1</v>
      </c>
      <c r="AC15" s="1575">
        <f t="shared" si="5"/>
        <v>0.98039215686274506</v>
      </c>
    </row>
    <row r="16" spans="1:29" ht="15">
      <c r="A16" s="532"/>
      <c r="B16" s="869"/>
      <c r="C16" s="576" t="s">
        <v>3043</v>
      </c>
      <c r="D16" s="555"/>
      <c r="E16" s="576" t="s">
        <v>3041</v>
      </c>
      <c r="F16" s="557"/>
      <c r="G16" s="576" t="s">
        <v>3043</v>
      </c>
      <c r="H16" s="559"/>
      <c r="I16" s="576" t="s">
        <v>3041</v>
      </c>
      <c r="J16" s="555"/>
      <c r="K16" s="899"/>
      <c r="L16" s="2141"/>
      <c r="M16" s="2133"/>
      <c r="N16" s="2133"/>
      <c r="O16" s="2140"/>
      <c r="P16" s="3404"/>
      <c r="Q16" s="1571"/>
      <c r="R16" s="1572"/>
      <c r="S16" s="1573"/>
      <c r="T16" s="1572"/>
      <c r="U16" s="1573"/>
      <c r="V16" s="1572"/>
      <c r="W16" s="1573"/>
      <c r="X16" s="1566"/>
      <c r="Y16" s="3404"/>
      <c r="Z16" s="1574"/>
      <c r="AA16" s="1575">
        <v>1</v>
      </c>
      <c r="AB16" s="1575">
        <v>1</v>
      </c>
      <c r="AC16" s="1575">
        <v>1</v>
      </c>
    </row>
    <row r="17" spans="1:29" ht="71.2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1"/>
      <c r="M17" s="2133"/>
      <c r="N17" s="2133"/>
      <c r="O17" s="2140"/>
      <c r="P17" s="3404"/>
      <c r="Q17" s="1571" t="str">
        <f>B17</f>
        <v>交通便捷度</v>
      </c>
      <c r="R17" s="1572" t="s">
        <v>8</v>
      </c>
      <c r="S17" s="1573">
        <f>F17</f>
        <v>100</v>
      </c>
      <c r="T17" s="1572" t="s">
        <v>8</v>
      </c>
      <c r="U17" s="1573">
        <f>H17</f>
        <v>100</v>
      </c>
      <c r="V17" s="1572" t="s">
        <v>8</v>
      </c>
      <c r="W17" s="1573">
        <f>J17</f>
        <v>100</v>
      </c>
      <c r="X17" s="1566"/>
      <c r="Y17" s="3404"/>
      <c r="Z17" s="1574" t="str">
        <f>Q17</f>
        <v>交通便捷度</v>
      </c>
      <c r="AA17" s="1575">
        <f t="shared" si="3"/>
        <v>1</v>
      </c>
      <c r="AB17" s="1575">
        <f t="shared" si="4"/>
        <v>1</v>
      </c>
      <c r="AC17" s="1575">
        <f t="shared" si="5"/>
        <v>1</v>
      </c>
    </row>
    <row r="18" spans="1:29" ht="15">
      <c r="A18" s="532"/>
      <c r="B18" s="595"/>
      <c r="C18" s="873" t="s">
        <v>3041</v>
      </c>
      <c r="D18" s="559"/>
      <c r="E18" s="568" t="s">
        <v>3041</v>
      </c>
      <c r="F18" s="563"/>
      <c r="G18" s="569" t="s">
        <v>3041</v>
      </c>
      <c r="H18" s="555"/>
      <c r="I18" s="568" t="s">
        <v>3041</v>
      </c>
      <c r="J18" s="555"/>
      <c r="K18" s="899"/>
      <c r="L18" s="2141"/>
      <c r="M18" s="2133"/>
      <c r="N18" s="2133"/>
      <c r="O18" s="2140"/>
      <c r="P18" s="3404"/>
      <c r="Q18" s="1571"/>
      <c r="R18" s="1572"/>
      <c r="S18" s="1573"/>
      <c r="T18" s="1572"/>
      <c r="U18" s="1573"/>
      <c r="V18" s="1572"/>
      <c r="W18" s="1573"/>
      <c r="X18" s="1566"/>
      <c r="Y18" s="3404"/>
      <c r="Z18" s="1574"/>
      <c r="AA18" s="1575">
        <v>1</v>
      </c>
      <c r="AB18" s="1575">
        <v>1</v>
      </c>
      <c r="AC18" s="1575">
        <v>1</v>
      </c>
    </row>
    <row r="19" spans="1:29" ht="42.75">
      <c r="A19" s="532"/>
      <c r="B19" s="2623" t="s">
        <v>2546</v>
      </c>
      <c r="C19" s="872" t="str">
        <f>估价对象房地状况!C7</f>
        <v>估价对象所在区域公共配套设施齐备情况</v>
      </c>
      <c r="D19" s="565">
        <v>100</v>
      </c>
      <c r="E19" s="570"/>
      <c r="F19" s="571">
        <f>SUMIF(80:80,E20,81:81)-SUMIF(80:80,C20,81:81)+100</f>
        <v>104</v>
      </c>
      <c r="G19" s="572"/>
      <c r="H19" s="559">
        <f>SUMIF(80:80,G20,81:81)-SUMIF(80:80,C20,81:81)+100</f>
        <v>102</v>
      </c>
      <c r="I19" s="570"/>
      <c r="J19" s="559">
        <f>SUMIF(80:80,I20,81:81)-SUMIF(80:80,C20,81:81)+100</f>
        <v>102</v>
      </c>
      <c r="K19" s="898">
        <v>2</v>
      </c>
      <c r="L19" s="2141"/>
      <c r="M19" s="2133"/>
      <c r="N19" s="2133"/>
      <c r="O19" s="2140"/>
      <c r="P19" s="3404"/>
      <c r="Q19" s="1571" t="str">
        <f>B19</f>
        <v>公共配套设施</v>
      </c>
      <c r="R19" s="1572" t="s">
        <v>8</v>
      </c>
      <c r="S19" s="1573">
        <f>F19</f>
        <v>104</v>
      </c>
      <c r="T19" s="1572" t="s">
        <v>8</v>
      </c>
      <c r="U19" s="1573">
        <f>H19</f>
        <v>102</v>
      </c>
      <c r="V19" s="1572" t="s">
        <v>8</v>
      </c>
      <c r="W19" s="1573">
        <f>J19</f>
        <v>102</v>
      </c>
      <c r="X19" s="1566"/>
      <c r="Y19" s="3404"/>
      <c r="Z19" s="1574" t="str">
        <f>Q19</f>
        <v>公共配套设施</v>
      </c>
      <c r="AA19" s="1575">
        <f t="shared" si="3"/>
        <v>0.96153846153846156</v>
      </c>
      <c r="AB19" s="1575">
        <f t="shared" si="4"/>
        <v>0.98039215686274506</v>
      </c>
      <c r="AC19" s="1575">
        <f t="shared" si="5"/>
        <v>0.98039215686274506</v>
      </c>
    </row>
    <row r="20" spans="1:29" ht="15">
      <c r="A20" s="532"/>
      <c r="B20" s="595"/>
      <c r="C20" s="576" t="s">
        <v>3043</v>
      </c>
      <c r="D20" s="555"/>
      <c r="E20" s="556" t="s">
        <v>3039</v>
      </c>
      <c r="F20" s="557"/>
      <c r="G20" s="558" t="s">
        <v>3041</v>
      </c>
      <c r="H20" s="555"/>
      <c r="I20" s="556" t="s">
        <v>3041</v>
      </c>
      <c r="J20" s="555"/>
      <c r="K20" s="899"/>
      <c r="L20" s="2141"/>
      <c r="M20" s="2133"/>
      <c r="N20" s="2133"/>
      <c r="O20" s="2140"/>
      <c r="P20" s="3404"/>
      <c r="Q20" s="1571"/>
      <c r="R20" s="1572"/>
      <c r="S20" s="1573"/>
      <c r="T20" s="1572"/>
      <c r="U20" s="1573"/>
      <c r="V20" s="1572"/>
      <c r="W20" s="1573"/>
      <c r="X20" s="1566"/>
      <c r="Y20" s="3404"/>
      <c r="Z20" s="1574"/>
      <c r="AA20" s="1575">
        <v>1</v>
      </c>
      <c r="AB20" s="1575">
        <v>1</v>
      </c>
      <c r="AC20" s="1575">
        <v>1</v>
      </c>
    </row>
    <row r="21" spans="1:29" ht="28.5">
      <c r="A21" s="532"/>
      <c r="B21" s="2616"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1"/>
      <c r="M21" s="2133"/>
      <c r="N21" s="2133"/>
      <c r="O21" s="2140"/>
      <c r="P21" s="3404"/>
      <c r="Q21" s="2602" t="str">
        <f>B21</f>
        <v>基础设施水平</v>
      </c>
      <c r="R21" s="1572" t="s">
        <v>8</v>
      </c>
      <c r="S21" s="1573">
        <f>F21</f>
        <v>100</v>
      </c>
      <c r="T21" s="1572" t="s">
        <v>8</v>
      </c>
      <c r="U21" s="1573">
        <f>H21</f>
        <v>100</v>
      </c>
      <c r="V21" s="1572" t="s">
        <v>8</v>
      </c>
      <c r="W21" s="1573">
        <f>J21</f>
        <v>100</v>
      </c>
      <c r="X21" s="2604"/>
      <c r="Y21" s="3404"/>
      <c r="Z21" s="2603" t="str">
        <f>Q21</f>
        <v>基础设施水平</v>
      </c>
      <c r="AA21" s="1575">
        <f t="shared" ref="AA21" si="8">D21/F21</f>
        <v>1</v>
      </c>
      <c r="AB21" s="1575">
        <f t="shared" ref="AB21" si="9">D21/H21</f>
        <v>1</v>
      </c>
      <c r="AC21" s="1575">
        <f t="shared" ref="AC21" si="10">D21/J21</f>
        <v>1</v>
      </c>
    </row>
    <row r="22" spans="1:29" ht="15">
      <c r="A22" s="532"/>
      <c r="B22" s="921"/>
      <c r="C22" s="873" t="s">
        <v>3048</v>
      </c>
      <c r="D22" s="555"/>
      <c r="E22" s="576" t="s">
        <v>3048</v>
      </c>
      <c r="F22" s="557"/>
      <c r="G22" s="576" t="s">
        <v>3048</v>
      </c>
      <c r="H22" s="555"/>
      <c r="I22" s="576" t="s">
        <v>3048</v>
      </c>
      <c r="J22" s="555"/>
      <c r="K22" s="2625"/>
      <c r="L22" s="2141"/>
      <c r="M22" s="2133"/>
      <c r="N22" s="2133"/>
      <c r="O22" s="2140"/>
      <c r="P22" s="3404"/>
      <c r="Q22" s="2602"/>
      <c r="R22" s="1572"/>
      <c r="S22" s="1573"/>
      <c r="T22" s="1572"/>
      <c r="U22" s="1573"/>
      <c r="V22" s="1572"/>
      <c r="W22" s="1573"/>
      <c r="X22" s="2604"/>
      <c r="Y22" s="3404"/>
      <c r="Z22" s="2603"/>
      <c r="AA22" s="1575">
        <v>1</v>
      </c>
      <c r="AB22" s="1575">
        <v>1</v>
      </c>
      <c r="AC22" s="1575">
        <v>1</v>
      </c>
    </row>
    <row r="23" spans="1:29" ht="42.75">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1"/>
      <c r="M23" s="2133"/>
      <c r="N23" s="2133"/>
      <c r="O23" s="2140"/>
      <c r="P23" s="3404"/>
      <c r="Q23" s="1571" t="str">
        <f>B23</f>
        <v>自然及人文环境</v>
      </c>
      <c r="R23" s="1572" t="s">
        <v>8</v>
      </c>
      <c r="S23" s="1573">
        <f>F23</f>
        <v>100</v>
      </c>
      <c r="T23" s="1572" t="s">
        <v>8</v>
      </c>
      <c r="U23" s="1573">
        <f>H23</f>
        <v>100</v>
      </c>
      <c r="V23" s="1572" t="s">
        <v>8</v>
      </c>
      <c r="W23" s="1573">
        <f>J23</f>
        <v>100</v>
      </c>
      <c r="X23" s="1566"/>
      <c r="Y23" s="3404"/>
      <c r="Z23" s="1574" t="str">
        <f>Q23</f>
        <v>自然及人文环境</v>
      </c>
      <c r="AA23" s="1575">
        <f t="shared" si="3"/>
        <v>1</v>
      </c>
      <c r="AB23" s="1575">
        <f t="shared" si="4"/>
        <v>1</v>
      </c>
      <c r="AC23" s="1575">
        <f t="shared" si="5"/>
        <v>1</v>
      </c>
    </row>
    <row r="24" spans="1:29" ht="15">
      <c r="A24" s="532"/>
      <c r="B24" s="595"/>
      <c r="C24" s="576" t="s">
        <v>3041</v>
      </c>
      <c r="D24" s="555"/>
      <c r="E24" s="556" t="s">
        <v>3041</v>
      </c>
      <c r="F24" s="557"/>
      <c r="G24" s="558" t="s">
        <v>3041</v>
      </c>
      <c r="H24" s="555"/>
      <c r="I24" s="556" t="s">
        <v>3041</v>
      </c>
      <c r="J24" s="555"/>
      <c r="K24" s="899"/>
      <c r="L24" s="2141"/>
      <c r="M24" s="2133"/>
      <c r="N24" s="2133"/>
      <c r="O24" s="2140"/>
      <c r="P24" s="3404"/>
      <c r="Q24" s="1571"/>
      <c r="R24" s="1572"/>
      <c r="S24" s="1573"/>
      <c r="T24" s="1572"/>
      <c r="U24" s="1573"/>
      <c r="V24" s="1572"/>
      <c r="W24" s="1573"/>
      <c r="X24" s="1566"/>
      <c r="Y24" s="3404"/>
      <c r="Z24" s="1574"/>
      <c r="AA24" s="1575">
        <v>1</v>
      </c>
      <c r="AB24" s="1575">
        <v>1</v>
      </c>
      <c r="AC24" s="1575">
        <v>1</v>
      </c>
    </row>
    <row r="25" spans="1:29" ht="15">
      <c r="A25" s="532"/>
      <c r="B25" s="527" t="s">
        <v>548</v>
      </c>
      <c r="C25" s="583" t="s">
        <v>3058</v>
      </c>
      <c r="D25" s="540">
        <v>100</v>
      </c>
      <c r="E25" s="583" t="s">
        <v>3060</v>
      </c>
      <c r="F25" s="575">
        <f>SUMIF(86:86,E25,87:87)-SUMIF(86:86,C25,87:87)+100</f>
        <v>98</v>
      </c>
      <c r="G25" s="583" t="s">
        <v>3060</v>
      </c>
      <c r="H25" s="540">
        <f>SUMIF(86:86,G25,87:87)-SUMIF(86:86,C25,87:87)+100</f>
        <v>98</v>
      </c>
      <c r="I25" s="583" t="s">
        <v>3060</v>
      </c>
      <c r="J25" s="540">
        <f>SUMIF(86:86,I25,87:87)-SUMIF(86:86,C25,87:87)+100</f>
        <v>98</v>
      </c>
      <c r="K25" s="584">
        <v>2</v>
      </c>
      <c r="L25" s="2141"/>
      <c r="M25" s="2133"/>
      <c r="N25" s="2133"/>
      <c r="O25" s="2140"/>
      <c r="P25" s="3404"/>
      <c r="Q25" s="1571" t="str">
        <f t="shared" ref="Q25:Q46" si="11">B25</f>
        <v>临街状况</v>
      </c>
      <c r="R25" s="1572" t="s">
        <v>8</v>
      </c>
      <c r="S25" s="1573">
        <f>F25</f>
        <v>98</v>
      </c>
      <c r="T25" s="1572" t="s">
        <v>8</v>
      </c>
      <c r="U25" s="1573">
        <f>H25</f>
        <v>98</v>
      </c>
      <c r="V25" s="1572" t="s">
        <v>8</v>
      </c>
      <c r="W25" s="1573">
        <f>J25</f>
        <v>98</v>
      </c>
      <c r="X25" s="1566"/>
      <c r="Y25" s="3404"/>
      <c r="Z25" s="1574" t="str">
        <f>Q25</f>
        <v>临街状况</v>
      </c>
      <c r="AA25" s="1575">
        <f t="shared" si="3"/>
        <v>1.0204081632653061</v>
      </c>
      <c r="AB25" s="1575">
        <f t="shared" si="4"/>
        <v>1.0204081632653061</v>
      </c>
      <c r="AC25" s="1575">
        <f t="shared" si="5"/>
        <v>1.0204081632653061</v>
      </c>
    </row>
    <row r="26" spans="1:29" ht="15">
      <c r="A26" s="532"/>
      <c r="B26" s="877" t="s">
        <v>759</v>
      </c>
      <c r="C26" s="3195" t="s">
        <v>3042</v>
      </c>
      <c r="D26" s="540">
        <v>100</v>
      </c>
      <c r="E26" s="3195" t="s">
        <v>3042</v>
      </c>
      <c r="F26" s="575">
        <f>SUMIF(88:88,E26,89:89)-SUMIF(88:88,C26,89:89)+100</f>
        <v>100</v>
      </c>
      <c r="G26" s="3195" t="s">
        <v>3042</v>
      </c>
      <c r="H26" s="540">
        <f>SUMIF(88:88,G26,89:89)-SUMIF(88:88,C26,89:89)+100</f>
        <v>100</v>
      </c>
      <c r="I26" s="3195" t="s">
        <v>3042</v>
      </c>
      <c r="J26" s="540">
        <f>SUMIF(88:88,I26,89:89)-SUMIF(88:88,C26,89:89)+100</f>
        <v>100</v>
      </c>
      <c r="K26" s="581"/>
      <c r="L26" s="2141"/>
      <c r="M26" s="2133"/>
      <c r="N26" s="2133"/>
      <c r="O26" s="2140"/>
      <c r="P26" s="3404"/>
      <c r="Q26" s="1571" t="str">
        <f t="shared" si="11"/>
        <v>平面位置/可视性</v>
      </c>
      <c r="R26" s="1572" t="s">
        <v>8</v>
      </c>
      <c r="S26" s="1573">
        <f>F26</f>
        <v>100</v>
      </c>
      <c r="T26" s="1572" t="s">
        <v>8</v>
      </c>
      <c r="U26" s="1573">
        <f>H26</f>
        <v>100</v>
      </c>
      <c r="V26" s="1572" t="s">
        <v>8</v>
      </c>
      <c r="W26" s="1573">
        <f>J26</f>
        <v>100</v>
      </c>
      <c r="X26" s="1566"/>
      <c r="Y26" s="3404"/>
      <c r="Z26" s="1574" t="str">
        <f>Q26</f>
        <v>平面位置/可视性</v>
      </c>
      <c r="AA26" s="1575">
        <f t="shared" si="3"/>
        <v>1</v>
      </c>
      <c r="AB26" s="1575">
        <f t="shared" si="4"/>
        <v>1</v>
      </c>
      <c r="AC26" s="1575">
        <f t="shared" si="5"/>
        <v>1</v>
      </c>
    </row>
    <row r="27" spans="1:29" s="1219" customFormat="1" ht="15">
      <c r="A27" s="536"/>
      <c r="B27" s="871" t="s">
        <v>760</v>
      </c>
      <c r="C27" s="901" t="s">
        <v>3043</v>
      </c>
      <c r="D27" s="875">
        <v>100</v>
      </c>
      <c r="E27" s="901" t="s">
        <v>3041</v>
      </c>
      <c r="F27" s="876">
        <f>SUMIF(90:90,E27,91:91)-SUMIF(90:90,C27,91:91)+100</f>
        <v>102</v>
      </c>
      <c r="G27" s="901" t="s">
        <v>3043</v>
      </c>
      <c r="H27" s="875">
        <f>SUMIF(90:90,G27,91:91)-SUMIF(90:90,C27,91:91)+100</f>
        <v>100</v>
      </c>
      <c r="I27" s="901" t="s">
        <v>3041</v>
      </c>
      <c r="J27" s="875">
        <f>SUMIF(90:90,I27,91:91)-SUMIF(90:90,C27,91:91)+100</f>
        <v>102</v>
      </c>
      <c r="K27" s="584">
        <v>2</v>
      </c>
      <c r="L27" s="2134"/>
      <c r="M27" s="2135"/>
      <c r="N27" s="2135"/>
      <c r="O27" s="2136"/>
      <c r="P27" s="3404"/>
      <c r="Q27" s="1150" t="str">
        <f t="shared" si="11"/>
        <v>人流量</v>
      </c>
      <c r="R27" s="1567" t="s">
        <v>8</v>
      </c>
      <c r="S27" s="1568">
        <f>F27</f>
        <v>102</v>
      </c>
      <c r="T27" s="1567" t="s">
        <v>8</v>
      </c>
      <c r="U27" s="1568">
        <f>H27</f>
        <v>100</v>
      </c>
      <c r="V27" s="1567" t="s">
        <v>8</v>
      </c>
      <c r="W27" s="1568">
        <f>J27</f>
        <v>102</v>
      </c>
      <c r="X27" s="1569"/>
      <c r="Y27" s="3404"/>
      <c r="Z27" s="1149" t="str">
        <f>Q27</f>
        <v>人流量</v>
      </c>
      <c r="AA27" s="1575">
        <f>D27/F27</f>
        <v>0.98039215686274506</v>
      </c>
      <c r="AB27" s="1575">
        <f>D27/H27</f>
        <v>1</v>
      </c>
      <c r="AC27" s="1575">
        <f>D27/J27</f>
        <v>0.98039215686274506</v>
      </c>
    </row>
    <row r="28" spans="1:29" ht="15.75" thickBot="1">
      <c r="A28" s="532"/>
      <c r="B28" s="527" t="s">
        <v>762</v>
      </c>
      <c r="C28" s="583">
        <v>1</v>
      </c>
      <c r="D28" s="540">
        <v>100</v>
      </c>
      <c r="E28" s="583">
        <v>1</v>
      </c>
      <c r="F28" s="575">
        <f>SUMIF(92:92,E28,93:93)-SUMIF(92:92,C28,93:93)+100</f>
        <v>100</v>
      </c>
      <c r="G28" s="583">
        <v>1</v>
      </c>
      <c r="H28" s="540">
        <f>SUMIF(92:92,G28,93:93)-SUMIF(92:92,C28,93:93)+100</f>
        <v>100</v>
      </c>
      <c r="I28" s="583">
        <v>1</v>
      </c>
      <c r="J28" s="540">
        <f>SUMIF(92:92,I28,93:93)-SUMIF(92:92,C28,93:93)+100</f>
        <v>100</v>
      </c>
      <c r="K28" s="581"/>
      <c r="L28" s="2141"/>
      <c r="M28" s="2133"/>
      <c r="N28" s="2133"/>
      <c r="O28" s="2140"/>
      <c r="P28" s="3404"/>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4"/>
      <c r="Z28" s="1574" t="str">
        <f t="shared" ref="Z28:Z46" si="15">Q28</f>
        <v>楼层</v>
      </c>
      <c r="AA28" s="1575">
        <f t="shared" si="3"/>
        <v>1</v>
      </c>
      <c r="AB28" s="1575">
        <f t="shared" si="4"/>
        <v>1</v>
      </c>
      <c r="AC28" s="1575">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04"/>
      <c r="Q29" s="1571">
        <f t="shared" si="11"/>
        <v>111</v>
      </c>
      <c r="R29" s="1572" t="s">
        <v>8</v>
      </c>
      <c r="S29" s="1573">
        <f t="shared" si="12"/>
        <v>100</v>
      </c>
      <c r="T29" s="1572" t="s">
        <v>8</v>
      </c>
      <c r="U29" s="1573">
        <f t="shared" si="13"/>
        <v>100</v>
      </c>
      <c r="V29" s="1572" t="s">
        <v>8</v>
      </c>
      <c r="W29" s="1573">
        <f t="shared" si="14"/>
        <v>100</v>
      </c>
      <c r="X29" s="1566"/>
      <c r="Y29" s="3404"/>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04"/>
      <c r="Q30" s="1571">
        <f t="shared" si="11"/>
        <v>111</v>
      </c>
      <c r="R30" s="1572" t="s">
        <v>8</v>
      </c>
      <c r="S30" s="1573">
        <f t="shared" si="12"/>
        <v>100</v>
      </c>
      <c r="T30" s="1572" t="s">
        <v>8</v>
      </c>
      <c r="U30" s="1573">
        <f t="shared" si="13"/>
        <v>100</v>
      </c>
      <c r="V30" s="1572" t="s">
        <v>8</v>
      </c>
      <c r="W30" s="1573">
        <f t="shared" si="14"/>
        <v>100</v>
      </c>
      <c r="X30" s="1566"/>
      <c r="Y30" s="3404"/>
      <c r="Z30" s="1574">
        <f t="shared" si="15"/>
        <v>111</v>
      </c>
      <c r="AA30" s="1575">
        <f t="shared" si="3"/>
        <v>1</v>
      </c>
      <c r="AB30" s="1575">
        <f t="shared" si="4"/>
        <v>1</v>
      </c>
      <c r="AC30" s="1575">
        <f t="shared" si="5"/>
        <v>1</v>
      </c>
    </row>
    <row r="31" spans="1:29" ht="15.75" hidden="1"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04"/>
      <c r="Q31" s="1571">
        <f t="shared" si="11"/>
        <v>111</v>
      </c>
      <c r="R31" s="1572" t="s">
        <v>8</v>
      </c>
      <c r="S31" s="1573">
        <f t="shared" si="12"/>
        <v>100</v>
      </c>
      <c r="T31" s="1572" t="s">
        <v>8</v>
      </c>
      <c r="U31" s="1573">
        <f t="shared" si="13"/>
        <v>100</v>
      </c>
      <c r="V31" s="1572" t="s">
        <v>8</v>
      </c>
      <c r="W31" s="1573">
        <f t="shared" si="14"/>
        <v>100</v>
      </c>
      <c r="X31" s="1566"/>
      <c r="Y31" s="3404"/>
      <c r="Z31" s="1574">
        <f t="shared" si="15"/>
        <v>111</v>
      </c>
      <c r="AA31" s="1575">
        <f t="shared" si="3"/>
        <v>1</v>
      </c>
      <c r="AB31" s="1575">
        <f t="shared" si="4"/>
        <v>1</v>
      </c>
      <c r="AC31" s="1575">
        <f t="shared" si="5"/>
        <v>1</v>
      </c>
    </row>
    <row r="32" spans="1:29" ht="15">
      <c r="A32" s="2932" t="s">
        <v>2756</v>
      </c>
      <c r="B32" s="172" t="s">
        <v>763</v>
      </c>
      <c r="C32" s="878" t="s">
        <v>3122</v>
      </c>
      <c r="D32" s="597">
        <v>100</v>
      </c>
      <c r="E32" s="878" t="s">
        <v>3120</v>
      </c>
      <c r="F32" s="575">
        <f>SUMIF(100:100,E32,101:101)-SUMIF(100:100,C32,101:101)+100</f>
        <v>102</v>
      </c>
      <c r="G32" s="878" t="s">
        <v>3120</v>
      </c>
      <c r="H32" s="540">
        <f>SUMIF(100:100,G32,101:101)-SUMIF(100:100,C32,101:101)+100</f>
        <v>102</v>
      </c>
      <c r="I32" s="878" t="s">
        <v>3120</v>
      </c>
      <c r="J32" s="597">
        <f>SUMIF(100:100,I32,101:101)-SUMIF(100:100,C32,101:101)+100</f>
        <v>102</v>
      </c>
      <c r="K32" s="584">
        <v>2</v>
      </c>
      <c r="L32" s="2141"/>
      <c r="M32" s="2133"/>
      <c r="N32" s="2133"/>
      <c r="O32" s="2140"/>
      <c r="P32" s="3405" t="s">
        <v>551</v>
      </c>
      <c r="Q32" s="1571" t="str">
        <f t="shared" si="11"/>
        <v>商业类型</v>
      </c>
      <c r="R32" s="1572" t="s">
        <v>8</v>
      </c>
      <c r="S32" s="1573">
        <f t="shared" si="12"/>
        <v>102</v>
      </c>
      <c r="T32" s="1572" t="s">
        <v>8</v>
      </c>
      <c r="U32" s="1573">
        <f t="shared" si="13"/>
        <v>102</v>
      </c>
      <c r="V32" s="1572" t="s">
        <v>8</v>
      </c>
      <c r="W32" s="1573">
        <f t="shared" si="14"/>
        <v>102</v>
      </c>
      <c r="X32" s="1566"/>
      <c r="Y32" s="3406" t="s">
        <v>551</v>
      </c>
      <c r="Z32" s="1574" t="str">
        <f t="shared" si="15"/>
        <v>商业类型</v>
      </c>
      <c r="AA32" s="1575">
        <f t="shared" si="3"/>
        <v>0.98039215686274506</v>
      </c>
      <c r="AB32" s="1575">
        <f t="shared" si="4"/>
        <v>0.98039215686274506</v>
      </c>
      <c r="AC32" s="1575">
        <f t="shared" si="5"/>
        <v>0.98039215686274506</v>
      </c>
    </row>
    <row r="33" spans="1:29" s="1338" customFormat="1" ht="15">
      <c r="A33" s="603"/>
      <c r="B33" s="527" t="s">
        <v>727</v>
      </c>
      <c r="C33" s="880">
        <f>'不动产比较法-住宅'!C33</f>
        <v>204632.7</v>
      </c>
      <c r="D33" s="255">
        <v>100</v>
      </c>
      <c r="E33" s="534">
        <v>902600</v>
      </c>
      <c r="F33" s="863">
        <f>LOOKUP(E33,103:103,104:104)-LOOKUP(C33,103:103,104:104)+100</f>
        <v>103</v>
      </c>
      <c r="G33" s="533">
        <v>1000000</v>
      </c>
      <c r="H33" s="255">
        <f>LOOKUP(G33,103:103,104:104)-LOOKUP(C33,103:103,104:104)+100</f>
        <v>103</v>
      </c>
      <c r="I33" s="533">
        <v>400000</v>
      </c>
      <c r="J33" s="255">
        <f>LOOKUP(I33,103:103,104:104)-LOOKUP(C33,103:103,104:104)+100</f>
        <v>102</v>
      </c>
      <c r="K33" s="581"/>
      <c r="L33" s="2139"/>
      <c r="M33" s="2170"/>
      <c r="N33" s="2170"/>
      <c r="O33" s="2142"/>
      <c r="P33" s="3406"/>
      <c r="Q33" s="1604" t="str">
        <f t="shared" si="11"/>
        <v>项目建筑规模</v>
      </c>
      <c r="R33" s="1576" t="s">
        <v>8</v>
      </c>
      <c r="S33" s="1577">
        <f t="shared" si="12"/>
        <v>103</v>
      </c>
      <c r="T33" s="1576" t="s">
        <v>8</v>
      </c>
      <c r="U33" s="1577">
        <f t="shared" si="13"/>
        <v>103</v>
      </c>
      <c r="V33" s="1576" t="s">
        <v>8</v>
      </c>
      <c r="W33" s="1577">
        <f t="shared" si="14"/>
        <v>102</v>
      </c>
      <c r="X33" s="1578"/>
      <c r="Y33" s="3406"/>
      <c r="Z33" s="1579" t="str">
        <f t="shared" si="15"/>
        <v>项目建筑规模</v>
      </c>
      <c r="AA33" s="1575">
        <f t="shared" si="3"/>
        <v>0.970873786407767</v>
      </c>
      <c r="AB33" s="1575">
        <f t="shared" si="4"/>
        <v>0.970873786407767</v>
      </c>
      <c r="AC33" s="1575">
        <f t="shared" si="5"/>
        <v>0.98039215686274506</v>
      </c>
    </row>
    <row r="34" spans="1:29" ht="15">
      <c r="A34" s="594"/>
      <c r="B34" s="527" t="s">
        <v>728</v>
      </c>
      <c r="C34" s="881" t="s">
        <v>3078</v>
      </c>
      <c r="D34" s="540">
        <v>100</v>
      </c>
      <c r="E34" s="882" t="s">
        <v>3078</v>
      </c>
      <c r="F34" s="575">
        <f>SUMIF(105:105,E34,106:106)-SUMIF(105:105,C34,106:106)+100</f>
        <v>100</v>
      </c>
      <c r="G34" s="881" t="s">
        <v>3078</v>
      </c>
      <c r="H34" s="540">
        <f>SUMIF(105:105,G34,106:106)-SUMIF(105:105,C34,106:106)+100</f>
        <v>100</v>
      </c>
      <c r="I34" s="881" t="s">
        <v>3078</v>
      </c>
      <c r="J34" s="540">
        <f>SUMIF(105:105,I34,106:106)-SUMIF(105:105,C34,106:106)+100</f>
        <v>100</v>
      </c>
      <c r="K34" s="584"/>
      <c r="L34" s="2141"/>
      <c r="M34" s="2133"/>
      <c r="N34" s="2133"/>
      <c r="O34" s="2140"/>
      <c r="P34" s="3406"/>
      <c r="Q34" s="1571" t="str">
        <f t="shared" si="11"/>
        <v>建筑结构</v>
      </c>
      <c r="R34" s="1572" t="s">
        <v>8</v>
      </c>
      <c r="S34" s="1573">
        <f t="shared" si="12"/>
        <v>100</v>
      </c>
      <c r="T34" s="1572" t="s">
        <v>8</v>
      </c>
      <c r="U34" s="1573">
        <f t="shared" si="13"/>
        <v>100</v>
      </c>
      <c r="V34" s="1572" t="s">
        <v>8</v>
      </c>
      <c r="W34" s="1573">
        <f t="shared" si="14"/>
        <v>100</v>
      </c>
      <c r="X34" s="1566"/>
      <c r="Y34" s="3406"/>
      <c r="Z34" s="1574" t="str">
        <f t="shared" si="15"/>
        <v>建筑结构</v>
      </c>
      <c r="AA34" s="1575">
        <f t="shared" si="3"/>
        <v>1</v>
      </c>
      <c r="AB34" s="1575">
        <f t="shared" si="4"/>
        <v>1</v>
      </c>
      <c r="AC34" s="1575">
        <f t="shared" si="5"/>
        <v>1</v>
      </c>
    </row>
    <row r="35" spans="1:29" ht="15">
      <c r="A35" s="594"/>
      <c r="B35" s="527" t="s">
        <v>764</v>
      </c>
      <c r="C35" s="599" t="s">
        <v>3086</v>
      </c>
      <c r="D35" s="540">
        <v>100</v>
      </c>
      <c r="E35" s="599" t="s">
        <v>3088</v>
      </c>
      <c r="F35" s="575">
        <f>SUMIF(107:107,E35,108:108)-SUMIF(107:107,C35,108:108)+100</f>
        <v>98</v>
      </c>
      <c r="G35" s="599" t="s">
        <v>3088</v>
      </c>
      <c r="H35" s="540">
        <f>SUMIF(107:107,G35,108:108)-SUMIF(107:107,C35,108:108)+100</f>
        <v>98</v>
      </c>
      <c r="I35" s="599" t="s">
        <v>3088</v>
      </c>
      <c r="J35" s="540">
        <f>SUMIF(107:107,I35,108:108)-SUMIF(107:107,C35,108:108)+100</f>
        <v>98</v>
      </c>
      <c r="K35" s="584">
        <v>2</v>
      </c>
      <c r="L35" s="2141"/>
      <c r="M35" s="2133"/>
      <c r="N35" s="2133"/>
      <c r="O35" s="2140"/>
      <c r="P35" s="3406"/>
      <c r="Q35" s="1571" t="str">
        <f t="shared" si="11"/>
        <v>公共部分装修</v>
      </c>
      <c r="R35" s="1572" t="s">
        <v>8</v>
      </c>
      <c r="S35" s="1573">
        <f t="shared" si="12"/>
        <v>98</v>
      </c>
      <c r="T35" s="1572" t="s">
        <v>8</v>
      </c>
      <c r="U35" s="1573">
        <f t="shared" si="13"/>
        <v>98</v>
      </c>
      <c r="V35" s="1572" t="s">
        <v>8</v>
      </c>
      <c r="W35" s="1573">
        <f t="shared" si="14"/>
        <v>98</v>
      </c>
      <c r="X35" s="1566"/>
      <c r="Y35" s="3406"/>
      <c r="Z35" s="1574" t="str">
        <f t="shared" si="15"/>
        <v>公共部分装修</v>
      </c>
      <c r="AA35" s="1575">
        <f t="shared" si="3"/>
        <v>1.0204081632653061</v>
      </c>
      <c r="AB35" s="1575">
        <f t="shared" si="4"/>
        <v>1.0204081632653061</v>
      </c>
      <c r="AC35" s="1575">
        <f t="shared" si="5"/>
        <v>1.0204081632653061</v>
      </c>
    </row>
    <row r="36" spans="1:29" ht="15">
      <c r="A36" s="594"/>
      <c r="B36" s="527" t="s">
        <v>765</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c r="L36" s="2141"/>
      <c r="M36" s="2133"/>
      <c r="N36" s="2133"/>
      <c r="O36" s="2140"/>
      <c r="P36" s="3406"/>
      <c r="Q36" s="1571" t="str">
        <f t="shared" si="11"/>
        <v>成新度</v>
      </c>
      <c r="R36" s="1572" t="s">
        <v>8</v>
      </c>
      <c r="S36" s="1573">
        <f t="shared" si="12"/>
        <v>100</v>
      </c>
      <c r="T36" s="1572" t="s">
        <v>8</v>
      </c>
      <c r="U36" s="1573">
        <f t="shared" si="13"/>
        <v>100</v>
      </c>
      <c r="V36" s="1572" t="s">
        <v>8</v>
      </c>
      <c r="W36" s="1573">
        <f t="shared" si="14"/>
        <v>100</v>
      </c>
      <c r="X36" s="1566"/>
      <c r="Y36" s="3406"/>
      <c r="Z36" s="1574" t="str">
        <f t="shared" si="15"/>
        <v>成新度</v>
      </c>
      <c r="AA36" s="1575">
        <f t="shared" si="3"/>
        <v>1</v>
      </c>
      <c r="AB36" s="1575">
        <f t="shared" si="4"/>
        <v>1</v>
      </c>
      <c r="AC36" s="1575">
        <f t="shared" si="5"/>
        <v>1</v>
      </c>
    </row>
    <row r="37" spans="1:29" s="1219" customFormat="1" ht="15">
      <c r="A37" s="600"/>
      <c r="B37" s="1894" t="s">
        <v>2565</v>
      </c>
      <c r="C37" s="599" t="s">
        <v>3048</v>
      </c>
      <c r="D37" s="255">
        <v>100</v>
      </c>
      <c r="E37" s="599" t="s">
        <v>3048</v>
      </c>
      <c r="F37" s="575">
        <f>SUMIF(112:112,E37,113:113)-SUMIF(112:112,C37,113:113)+100</f>
        <v>100</v>
      </c>
      <c r="G37" s="599" t="s">
        <v>3048</v>
      </c>
      <c r="H37" s="540">
        <f>SUMIF(112:112,G37,113:113)-SUMIF(112:112,C37,113:113)+100</f>
        <v>100</v>
      </c>
      <c r="I37" s="599" t="s">
        <v>3048</v>
      </c>
      <c r="J37" s="540">
        <f>SUMIF(112:112,I37,113:113)-SUMIF(112:112,C37,113:113)+100</f>
        <v>100</v>
      </c>
      <c r="K37" s="584"/>
      <c r="L37" s="2134"/>
      <c r="M37" s="2135"/>
      <c r="N37" s="2135"/>
      <c r="O37" s="2136"/>
      <c r="P37" s="3406"/>
      <c r="Q37" s="1150" t="str">
        <f t="shared" si="11"/>
        <v>市政基础设施</v>
      </c>
      <c r="R37" s="1567" t="s">
        <v>8</v>
      </c>
      <c r="S37" s="1568">
        <f t="shared" si="12"/>
        <v>100</v>
      </c>
      <c r="T37" s="1567" t="s">
        <v>8</v>
      </c>
      <c r="U37" s="1568">
        <f t="shared" si="13"/>
        <v>100</v>
      </c>
      <c r="V37" s="1567" t="s">
        <v>8</v>
      </c>
      <c r="W37" s="1568">
        <f t="shared" si="14"/>
        <v>100</v>
      </c>
      <c r="X37" s="1569"/>
      <c r="Y37" s="3406"/>
      <c r="Z37" s="1149" t="str">
        <f t="shared" si="15"/>
        <v>市政基础设施</v>
      </c>
      <c r="AA37" s="1570">
        <f t="shared" si="3"/>
        <v>1</v>
      </c>
      <c r="AB37" s="1570">
        <f t="shared" si="4"/>
        <v>1</v>
      </c>
      <c r="AC37" s="1570">
        <f t="shared" si="5"/>
        <v>1</v>
      </c>
    </row>
    <row r="38" spans="1:29" ht="15" hidden="1">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06" t="s">
        <v>767</v>
      </c>
      <c r="Q38" s="1571" t="str">
        <f t="shared" si="11"/>
        <v>业态</v>
      </c>
      <c r="R38" s="1572" t="s">
        <v>8</v>
      </c>
      <c r="S38" s="1573">
        <f t="shared" si="12"/>
        <v>100</v>
      </c>
      <c r="T38" s="1572" t="s">
        <v>8</v>
      </c>
      <c r="U38" s="1573">
        <f t="shared" si="13"/>
        <v>100</v>
      </c>
      <c r="V38" s="1572" t="s">
        <v>8</v>
      </c>
      <c r="W38" s="1573">
        <f t="shared" si="14"/>
        <v>100</v>
      </c>
      <c r="X38" s="1566"/>
      <c r="Y38" s="3406" t="s">
        <v>767</v>
      </c>
      <c r="Z38" s="1574" t="str">
        <f t="shared" si="15"/>
        <v>业态</v>
      </c>
      <c r="AA38" s="1575">
        <f t="shared" si="3"/>
        <v>1</v>
      </c>
      <c r="AB38" s="1575">
        <f t="shared" si="4"/>
        <v>1</v>
      </c>
      <c r="AC38" s="1575">
        <f t="shared" si="5"/>
        <v>1</v>
      </c>
    </row>
    <row r="39" spans="1:29" ht="15">
      <c r="A39" s="594"/>
      <c r="B39" s="527" t="s">
        <v>768</v>
      </c>
      <c r="C39" s="599" t="s">
        <v>3132</v>
      </c>
      <c r="D39" s="540">
        <v>100</v>
      </c>
      <c r="E39" s="599" t="s">
        <v>3132</v>
      </c>
      <c r="F39" s="575">
        <f>SUMIF(116:116,E39,117:117)-SUMIF(116:116,C39,117:117)+100</f>
        <v>100</v>
      </c>
      <c r="G39" s="599" t="s">
        <v>3132</v>
      </c>
      <c r="H39" s="540">
        <f>SUMIF(116:116,G39,117:117)-SUMIF(116:116,C39,117:117)+100</f>
        <v>100</v>
      </c>
      <c r="I39" s="599" t="s">
        <v>3132</v>
      </c>
      <c r="J39" s="540">
        <f>SUMIF(116:116,I39,117:117)-SUMIF(116:116,C39,117:117)+100</f>
        <v>100</v>
      </c>
      <c r="K39" s="584"/>
      <c r="L39" s="2141"/>
      <c r="M39" s="2133"/>
      <c r="N39" s="2133"/>
      <c r="O39" s="2140"/>
      <c r="P39" s="3406"/>
      <c r="Q39" s="1571" t="str">
        <f t="shared" si="11"/>
        <v>层高</v>
      </c>
      <c r="R39" s="1572" t="s">
        <v>8</v>
      </c>
      <c r="S39" s="1573">
        <f t="shared" si="12"/>
        <v>100</v>
      </c>
      <c r="T39" s="1572" t="s">
        <v>8</v>
      </c>
      <c r="U39" s="1573">
        <f t="shared" si="13"/>
        <v>100</v>
      </c>
      <c r="V39" s="1572" t="s">
        <v>8</v>
      </c>
      <c r="W39" s="1573">
        <f t="shared" si="14"/>
        <v>100</v>
      </c>
      <c r="X39" s="1566"/>
      <c r="Y39" s="3406"/>
      <c r="Z39" s="1574" t="str">
        <f t="shared" si="15"/>
        <v>层高</v>
      </c>
      <c r="AA39" s="1575">
        <f t="shared" si="3"/>
        <v>1</v>
      </c>
      <c r="AB39" s="1575">
        <f t="shared" si="4"/>
        <v>1</v>
      </c>
      <c r="AC39" s="1575">
        <f t="shared" si="5"/>
        <v>1</v>
      </c>
    </row>
    <row r="40" spans="1:29" ht="15">
      <c r="A40" s="594"/>
      <c r="B40" s="527" t="s">
        <v>769</v>
      </c>
      <c r="C40" s="3196">
        <v>3000</v>
      </c>
      <c r="D40" s="540">
        <v>100</v>
      </c>
      <c r="E40" s="902">
        <v>70</v>
      </c>
      <c r="F40" s="575">
        <f>SUMIF(118:118,E40,119:119)-SUMIF(118:118,C40,119:119)+100</f>
        <v>105</v>
      </c>
      <c r="G40" s="902">
        <v>105</v>
      </c>
      <c r="H40" s="540">
        <f>SUMIF(118:118,G40,119:119)-SUMIF(118:118,C40,119:119)+100</f>
        <v>105</v>
      </c>
      <c r="I40" s="902">
        <v>40</v>
      </c>
      <c r="J40" s="540">
        <f>SUMIF(118:118,I40,119:119)-SUMIF(118:118,C40,119:119)+100</f>
        <v>105</v>
      </c>
      <c r="K40" s="581"/>
      <c r="L40" s="2141"/>
      <c r="M40" s="2133"/>
      <c r="N40" s="2133"/>
      <c r="O40" s="2140"/>
      <c r="P40" s="3406"/>
      <c r="Q40" s="1571" t="str">
        <f t="shared" si="11"/>
        <v>单套建筑面积</v>
      </c>
      <c r="R40" s="1572" t="s">
        <v>8</v>
      </c>
      <c r="S40" s="1573">
        <f t="shared" si="12"/>
        <v>105</v>
      </c>
      <c r="T40" s="1572" t="s">
        <v>8</v>
      </c>
      <c r="U40" s="1573">
        <f t="shared" si="13"/>
        <v>105</v>
      </c>
      <c r="V40" s="1572" t="s">
        <v>8</v>
      </c>
      <c r="W40" s="1573">
        <f t="shared" si="14"/>
        <v>105</v>
      </c>
      <c r="X40" s="1566"/>
      <c r="Y40" s="3406"/>
      <c r="Z40" s="1574" t="str">
        <f t="shared" si="15"/>
        <v>单套建筑面积</v>
      </c>
      <c r="AA40" s="1575">
        <f t="shared" si="3"/>
        <v>0.95238095238095233</v>
      </c>
      <c r="AB40" s="1575">
        <f t="shared" si="4"/>
        <v>0.95238095238095233</v>
      </c>
      <c r="AC40" s="1575">
        <f t="shared" si="5"/>
        <v>0.95238095238095233</v>
      </c>
    </row>
    <row r="41" spans="1:29" s="1338" customFormat="1" ht="15">
      <c r="A41" s="603"/>
      <c r="B41" s="903" t="s">
        <v>770</v>
      </c>
      <c r="C41" s="583" t="s">
        <v>3041</v>
      </c>
      <c r="D41" s="540">
        <v>100</v>
      </c>
      <c r="E41" s="583" t="s">
        <v>3041</v>
      </c>
      <c r="F41" s="575">
        <f>SUMIF(120:120,E41,121:121)-SUMIF(120:120,C41,121:121)+100</f>
        <v>100</v>
      </c>
      <c r="G41" s="583" t="s">
        <v>3041</v>
      </c>
      <c r="H41" s="540">
        <f>SUMIF(120:120,G41,121:121)-SUMIF(120:120,C41,121:121)+100</f>
        <v>100</v>
      </c>
      <c r="I41" s="583" t="s">
        <v>3041</v>
      </c>
      <c r="J41" s="540">
        <f>SUMIF(120:120,I41,121:121)-SUMIF(120:120,C41,121:121)+100</f>
        <v>100</v>
      </c>
      <c r="K41" s="584"/>
      <c r="L41" s="2139"/>
      <c r="M41" s="2170"/>
      <c r="N41" s="2170"/>
      <c r="O41" s="2142"/>
      <c r="P41" s="3406"/>
      <c r="Q41" s="1604" t="str">
        <f t="shared" si="11"/>
        <v>进深比</v>
      </c>
      <c r="R41" s="1576" t="s">
        <v>8</v>
      </c>
      <c r="S41" s="1577">
        <f t="shared" si="12"/>
        <v>100</v>
      </c>
      <c r="T41" s="1576" t="s">
        <v>8</v>
      </c>
      <c r="U41" s="1577">
        <f t="shared" si="13"/>
        <v>100</v>
      </c>
      <c r="V41" s="1576" t="s">
        <v>8</v>
      </c>
      <c r="W41" s="1577">
        <f t="shared" si="14"/>
        <v>100</v>
      </c>
      <c r="X41" s="1578"/>
      <c r="Y41" s="3406"/>
      <c r="Z41" s="1579" t="str">
        <f t="shared" si="15"/>
        <v>进深比</v>
      </c>
      <c r="AA41" s="1575">
        <f t="shared" si="3"/>
        <v>1</v>
      </c>
      <c r="AB41" s="1575">
        <f t="shared" si="4"/>
        <v>1</v>
      </c>
      <c r="AC41" s="1575">
        <f t="shared" si="5"/>
        <v>1</v>
      </c>
    </row>
    <row r="42" spans="1:29" ht="15">
      <c r="A42" s="594"/>
      <c r="B42" s="527" t="s">
        <v>771</v>
      </c>
      <c r="C42" s="599" t="s">
        <v>3086</v>
      </c>
      <c r="D42" s="540">
        <v>100</v>
      </c>
      <c r="E42" s="599" t="s">
        <v>3090</v>
      </c>
      <c r="F42" s="575">
        <f>SUMIF(122:122,E42,123:123)-SUMIF(122:122,C42,123:123)+100</f>
        <v>96</v>
      </c>
      <c r="G42" s="599" t="s">
        <v>3086</v>
      </c>
      <c r="H42" s="540">
        <f>SUMIF(122:122,G42,123:123)-SUMIF(122:122,C42,123:123)+100</f>
        <v>100</v>
      </c>
      <c r="I42" s="599" t="s">
        <v>3090</v>
      </c>
      <c r="J42" s="540">
        <f>SUMIF(122:122,I42,123:123)-SUMIF(122:122,C42,123:123)+100</f>
        <v>96</v>
      </c>
      <c r="K42" s="584">
        <v>2</v>
      </c>
      <c r="L42" s="2141"/>
      <c r="M42" s="2133"/>
      <c r="N42" s="2133"/>
      <c r="O42" s="2140"/>
      <c r="P42" s="3406"/>
      <c r="Q42" s="1571" t="str">
        <f t="shared" si="11"/>
        <v>内部装修</v>
      </c>
      <c r="R42" s="1572" t="s">
        <v>8</v>
      </c>
      <c r="S42" s="1573">
        <f t="shared" si="12"/>
        <v>96</v>
      </c>
      <c r="T42" s="1572" t="s">
        <v>8</v>
      </c>
      <c r="U42" s="1573">
        <f t="shared" si="13"/>
        <v>100</v>
      </c>
      <c r="V42" s="1572" t="s">
        <v>8</v>
      </c>
      <c r="W42" s="1573">
        <f t="shared" si="14"/>
        <v>96</v>
      </c>
      <c r="X42" s="1566"/>
      <c r="Y42" s="3406"/>
      <c r="Z42" s="1574" t="str">
        <f t="shared" si="15"/>
        <v>内部装修</v>
      </c>
      <c r="AA42" s="1575">
        <f t="shared" si="3"/>
        <v>1.0416666666666667</v>
      </c>
      <c r="AB42" s="1575">
        <f t="shared" si="4"/>
        <v>1</v>
      </c>
      <c r="AC42" s="1575">
        <f t="shared" si="5"/>
        <v>1.0416666666666667</v>
      </c>
    </row>
    <row r="43" spans="1:29" ht="30" customHeight="1" thickBot="1">
      <c r="A43" s="594"/>
      <c r="B43" s="527" t="s">
        <v>736</v>
      </c>
      <c r="C43" s="599" t="s">
        <v>3041</v>
      </c>
      <c r="D43" s="540">
        <v>100</v>
      </c>
      <c r="E43" s="599" t="s">
        <v>3041</v>
      </c>
      <c r="F43" s="575">
        <f>SUMIF(124:124,E43,125:125)-SUMIF(124:124,C43,125:125)+100</f>
        <v>100</v>
      </c>
      <c r="G43" s="599" t="s">
        <v>3041</v>
      </c>
      <c r="H43" s="540">
        <f>SUMIF(124:124,G43,125:125)-SUMIF(124:124,C43,125:125)+100</f>
        <v>100</v>
      </c>
      <c r="I43" s="599" t="s">
        <v>3041</v>
      </c>
      <c r="J43" s="540">
        <f>SUMIF(124:124,I43,125:125)-SUMIF(124:124,C43,125:125)+100</f>
        <v>100</v>
      </c>
      <c r="K43" s="584"/>
      <c r="L43" s="2141"/>
      <c r="M43" s="2133"/>
      <c r="N43" s="2133"/>
      <c r="O43" s="2140"/>
      <c r="P43" s="3406"/>
      <c r="Q43" s="1571" t="str">
        <f t="shared" si="11"/>
        <v>内部装修维护情况</v>
      </c>
      <c r="R43" s="1572" t="s">
        <v>8</v>
      </c>
      <c r="S43" s="1573">
        <f t="shared" si="12"/>
        <v>100</v>
      </c>
      <c r="T43" s="1572" t="s">
        <v>8</v>
      </c>
      <c r="U43" s="1573">
        <f t="shared" si="13"/>
        <v>100</v>
      </c>
      <c r="V43" s="1572" t="s">
        <v>8</v>
      </c>
      <c r="W43" s="1573">
        <f t="shared" si="14"/>
        <v>100</v>
      </c>
      <c r="X43" s="1566"/>
      <c r="Y43" s="3406"/>
      <c r="Z43" s="1574" t="str">
        <f t="shared" si="15"/>
        <v>内部装修维护情况</v>
      </c>
      <c r="AA43" s="1575">
        <f t="shared" si="3"/>
        <v>1</v>
      </c>
      <c r="AB43" s="1575">
        <f t="shared" si="4"/>
        <v>1</v>
      </c>
      <c r="AC43" s="1575">
        <f t="shared" si="5"/>
        <v>1</v>
      </c>
    </row>
    <row r="44" spans="1:29" s="1219" customFormat="1" ht="15" hidden="1">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06"/>
      <c r="Q44" s="1150">
        <f t="shared" si="11"/>
        <v>111</v>
      </c>
      <c r="R44" s="1567" t="s">
        <v>8</v>
      </c>
      <c r="S44" s="1568">
        <f t="shared" si="12"/>
        <v>100</v>
      </c>
      <c r="T44" s="1567" t="s">
        <v>8</v>
      </c>
      <c r="U44" s="1568">
        <f t="shared" si="13"/>
        <v>100</v>
      </c>
      <c r="V44" s="1567" t="s">
        <v>8</v>
      </c>
      <c r="W44" s="1568">
        <f t="shared" si="14"/>
        <v>100</v>
      </c>
      <c r="X44" s="1569"/>
      <c r="Y44" s="3406"/>
      <c r="Z44" s="1149">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06"/>
      <c r="Q45" s="1571">
        <f t="shared" si="11"/>
        <v>111</v>
      </c>
      <c r="R45" s="1572" t="s">
        <v>8</v>
      </c>
      <c r="S45" s="1573">
        <f t="shared" si="12"/>
        <v>100</v>
      </c>
      <c r="T45" s="1572" t="s">
        <v>8</v>
      </c>
      <c r="U45" s="1573">
        <f t="shared" si="13"/>
        <v>100</v>
      </c>
      <c r="V45" s="1572" t="s">
        <v>8</v>
      </c>
      <c r="W45" s="1573">
        <f t="shared" si="14"/>
        <v>100</v>
      </c>
      <c r="X45" s="1566"/>
      <c r="Y45" s="3406"/>
      <c r="Z45" s="1574">
        <f t="shared" si="15"/>
        <v>111</v>
      </c>
      <c r="AA45" s="1575">
        <f t="shared" si="3"/>
        <v>1</v>
      </c>
      <c r="AB45" s="1575">
        <f t="shared" si="4"/>
        <v>1</v>
      </c>
      <c r="AC45" s="1575">
        <f t="shared" si="5"/>
        <v>1</v>
      </c>
    </row>
    <row r="46" spans="1:29" ht="15.75" hidden="1"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61"/>
      <c r="Q46" s="1571">
        <f t="shared" si="11"/>
        <v>111</v>
      </c>
      <c r="R46" s="1572" t="s">
        <v>8</v>
      </c>
      <c r="S46" s="1573">
        <f t="shared" si="12"/>
        <v>100</v>
      </c>
      <c r="T46" s="1572" t="s">
        <v>8</v>
      </c>
      <c r="U46" s="1573">
        <f t="shared" si="13"/>
        <v>100</v>
      </c>
      <c r="V46" s="1572" t="s">
        <v>8</v>
      </c>
      <c r="W46" s="1573">
        <f t="shared" si="14"/>
        <v>100</v>
      </c>
      <c r="X46" s="1566"/>
      <c r="Y46" s="3461"/>
      <c r="Z46" s="1574">
        <f t="shared" si="15"/>
        <v>111</v>
      </c>
      <c r="AA46" s="1575">
        <f t="shared" si="3"/>
        <v>1</v>
      </c>
      <c r="AB46" s="1575">
        <f t="shared" si="4"/>
        <v>1</v>
      </c>
      <c r="AC46" s="1575">
        <f t="shared" si="5"/>
        <v>1</v>
      </c>
    </row>
    <row r="47" spans="1:29" ht="15">
      <c r="A47" s="607" t="s">
        <v>737</v>
      </c>
      <c r="B47" s="887"/>
      <c r="C47" s="2650" t="s">
        <v>1</v>
      </c>
      <c r="D47" s="2651"/>
      <c r="E47" s="2652">
        <f>ROUND(33000*0.97,0)</f>
        <v>32010</v>
      </c>
      <c r="F47" s="2653"/>
      <c r="G47" s="2654">
        <f>ROUND(28000*0.98,0)</f>
        <v>27440</v>
      </c>
      <c r="H47" s="2655"/>
      <c r="I47" s="2652">
        <f>ROUND(30000*0.96,0)</f>
        <v>28800</v>
      </c>
      <c r="J47" s="2655"/>
      <c r="K47" s="1610"/>
      <c r="L47" s="2143"/>
      <c r="M47" s="2144"/>
      <c r="N47" s="2133"/>
      <c r="O47" s="2144"/>
      <c r="P47" s="3367" t="str">
        <f>A47</f>
        <v>成交单价（元/平方米）</v>
      </c>
      <c r="Q47" s="3367"/>
      <c r="R47" s="3460">
        <f>E47</f>
        <v>32010</v>
      </c>
      <c r="S47" s="3460"/>
      <c r="T47" s="3460">
        <f>G47</f>
        <v>27440</v>
      </c>
      <c r="U47" s="3460"/>
      <c r="V47" s="3460">
        <f>I47</f>
        <v>28800</v>
      </c>
      <c r="W47" s="3460"/>
      <c r="X47" s="1558"/>
      <c r="Y47" s="1580"/>
      <c r="Z47" s="1558"/>
      <c r="AA47" s="1558"/>
      <c r="AB47" s="1558"/>
      <c r="AC47" s="1558"/>
    </row>
    <row r="48" spans="1:29" ht="15.75" thickBot="1">
      <c r="A48" s="615" t="s">
        <v>2761</v>
      </c>
      <c r="B48" s="888"/>
      <c r="C48" s="2656">
        <f>R49</f>
        <v>27232</v>
      </c>
      <c r="D48" s="2657"/>
      <c r="E48" s="2658">
        <f>R48</f>
        <v>29087</v>
      </c>
      <c r="F48" s="2658"/>
      <c r="G48" s="2656">
        <f>T48</f>
        <v>25392</v>
      </c>
      <c r="H48" s="2657"/>
      <c r="I48" s="2658">
        <f>V48</f>
        <v>27217</v>
      </c>
      <c r="J48" s="2657"/>
      <c r="K48" s="1611"/>
      <c r="L48" s="2143"/>
      <c r="M48" s="2144"/>
      <c r="N48" s="2133"/>
      <c r="O48" s="2144"/>
      <c r="P48" s="3367" t="str">
        <f>A48</f>
        <v>比较价格（元/平方米）</v>
      </c>
      <c r="Q48" s="3367"/>
      <c r="R48" s="3460">
        <f>IF(F1="售价",ROUND(PRODUCT(R47,AA7:AA46),0),ROUND(PRODUCT(R47,AA7:AA46),1))</f>
        <v>29087</v>
      </c>
      <c r="S48" s="3460"/>
      <c r="T48" s="3460">
        <f>IF(F1="售价",ROUND(PRODUCT(T47,AB7:AB46),0),ROUND(PRODUCT(T47,AB7:AB46),1))</f>
        <v>25392</v>
      </c>
      <c r="U48" s="3460"/>
      <c r="V48" s="3460">
        <f>IF(F1="售价",ROUND(PRODUCT(V47,AC7:AC46),0),ROUND(PRODUCT(V47,AC7:AC46),1))</f>
        <v>27217</v>
      </c>
      <c r="W48" s="3460"/>
      <c r="X48" s="1558"/>
      <c r="Y48" s="1558"/>
      <c r="Z48" s="1558"/>
      <c r="AA48" s="1558"/>
      <c r="AB48" s="1558"/>
      <c r="AC48" s="1558"/>
    </row>
    <row r="49" spans="1:29" ht="15.75" thickBot="1">
      <c r="A49" s="621" t="s">
        <v>2933</v>
      </c>
      <c r="B49" s="622"/>
      <c r="C49" s="2659">
        <f>R49</f>
        <v>27232</v>
      </c>
      <c r="D49" s="2659"/>
      <c r="E49" s="2659"/>
      <c r="F49" s="2659"/>
      <c r="G49" s="2659"/>
      <c r="H49" s="2659"/>
      <c r="I49" s="2659"/>
      <c r="J49" s="2659"/>
      <c r="K49" s="1612"/>
      <c r="L49" s="2143"/>
      <c r="M49" s="2144"/>
      <c r="N49" s="2133"/>
      <c r="O49" s="2144"/>
      <c r="P49" s="3364" t="str">
        <f>A49</f>
        <v>估价对象XX用房的比较价格（楼面单价，元/平方米）</v>
      </c>
      <c r="Q49" s="3365"/>
      <c r="R49" s="3459">
        <f>IF(F1="售价",ROUND(AVERAGE(R48:V48),0),ROUND(AVERAGE(R48:V48),1))</f>
        <v>27232</v>
      </c>
      <c r="S49" s="3459"/>
      <c r="T49" s="3459"/>
      <c r="U49" s="3459"/>
      <c r="V49" s="3459"/>
      <c r="W49" s="3459"/>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558</v>
      </c>
      <c r="D52" s="625"/>
      <c r="E52" s="626">
        <f>IF(E47&lt;E48,E48/E47-1,E47/E48-1)</f>
        <v>0.10049162856258809</v>
      </c>
      <c r="F52" s="627" t="str">
        <f>IF(OR(E52&gt;=0.3,E52&lt;=-0.3),"超过30%","")</f>
        <v/>
      </c>
      <c r="G52" s="626">
        <f>IF(G47&lt;G48,G48/G47-1,G47/G48-1)</f>
        <v>8.0655324511657245E-2</v>
      </c>
      <c r="H52" s="627" t="str">
        <f>IF(OR(G52&gt;=0.3,G52&lt;=-0.3),"超过30%","")</f>
        <v/>
      </c>
      <c r="I52" s="626">
        <f>IF(I47&lt;I48,I48/I47-1,I47/I48-1)</f>
        <v>5.8162178050483071E-2</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559</v>
      </c>
      <c r="D53" s="628"/>
      <c r="E53" s="626">
        <f>IF(E48&lt;G48,G48/E48-1,E48/G48-1)</f>
        <v>0.14551827347195978</v>
      </c>
      <c r="F53" s="627" t="str">
        <f>IF(OR(E53&gt;=0.2,E53&lt;=-0.2),"超过20%","")</f>
        <v/>
      </c>
      <c r="G53" s="626">
        <f>IF(G48&lt;I48,I48/G48-1,G48/I48-1)</f>
        <v>7.1873030875866384E-2</v>
      </c>
      <c r="H53" s="627" t="str">
        <f>IF(OR(G53&gt;=0.2,G53&lt;=-0.2),"超过20%","")</f>
        <v/>
      </c>
      <c r="I53" s="626">
        <f>IF(I48&lt;E48,E48/I48-1,I48/E48-1)</f>
        <v>6.8707058088694595E-2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560</v>
      </c>
      <c r="D54" s="628"/>
      <c r="E54" s="626">
        <f>IF(E47&lt;G47,G47/E47-1,E47/G47-1)</f>
        <v>0.16654518950437325</v>
      </c>
      <c r="F54" s="627" t="str">
        <f>IF(OR(E54&gt;=0.3,E54&lt;=-0.3),"超过30%","")</f>
        <v/>
      </c>
      <c r="G54" s="626">
        <f>IF(G47&lt;I47,I47/G47-1,G47/I47-1)</f>
        <v>4.9562682215743337E-2</v>
      </c>
      <c r="H54" s="627" t="str">
        <f>IF(OR(G54&gt;=0.3,G54&lt;=-0.3),"超过30%","")</f>
        <v/>
      </c>
      <c r="I54" s="626">
        <f>IF(I47&lt;E47,E47/I47-1,I47/E47-1)</f>
        <v>0.11145833333333344</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575</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530</v>
      </c>
      <c r="B58" s="646"/>
      <c r="C58" s="2827" t="str">
        <f>YEAR(C7)&amp;"-"&amp;MONTH(C7)</f>
        <v>2017-11</v>
      </c>
      <c r="D58" s="2829">
        <f>EDATE(C58,-1)</f>
        <v>43009</v>
      </c>
      <c r="E58" s="2829">
        <f t="shared" ref="E58:O58" si="16">EDATE(D58,-1)</f>
        <v>42979</v>
      </c>
      <c r="F58" s="2829">
        <f t="shared" si="16"/>
        <v>42948</v>
      </c>
      <c r="G58" s="2829">
        <f t="shared" si="16"/>
        <v>42917</v>
      </c>
      <c r="H58" s="2829">
        <f t="shared" si="16"/>
        <v>42887</v>
      </c>
      <c r="I58" s="2829">
        <f t="shared" si="16"/>
        <v>42856</v>
      </c>
      <c r="J58" s="2829">
        <f t="shared" si="16"/>
        <v>42826</v>
      </c>
      <c r="K58" s="2829">
        <f t="shared" si="16"/>
        <v>42795</v>
      </c>
      <c r="L58" s="2829">
        <f t="shared" si="16"/>
        <v>42767</v>
      </c>
      <c r="M58" s="2829">
        <f t="shared" si="16"/>
        <v>42736</v>
      </c>
      <c r="N58" s="2829">
        <f t="shared" si="16"/>
        <v>42705</v>
      </c>
      <c r="O58" s="2829">
        <f t="shared" si="16"/>
        <v>42675</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576</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532</v>
      </c>
      <c r="B61" s="648"/>
      <c r="C61" s="660" t="s">
        <v>577</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578</v>
      </c>
      <c r="B63" s="665" t="s">
        <v>535</v>
      </c>
      <c r="C63" s="704" t="str">
        <f>C9</f>
        <v>商业</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539</v>
      </c>
      <c r="C67" s="682" t="str">
        <f>C68&amp;"（含）"&amp;"-"&amp;D68</f>
        <v>0（含）-2</v>
      </c>
      <c r="D67" s="682" t="str">
        <f t="shared" ref="D67:L67" si="17">D68&amp;"（含）"&amp;"-"&amp;E68</f>
        <v>2（含）-4</v>
      </c>
      <c r="E67" s="682" t="str">
        <f t="shared" si="17"/>
        <v>4（含）-6</v>
      </c>
      <c r="F67" s="682" t="str">
        <f t="shared" si="17"/>
        <v>6（含）-8</v>
      </c>
      <c r="G67" s="682" t="str">
        <f t="shared" si="17"/>
        <v>8（含）-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2</v>
      </c>
      <c r="E68" s="541">
        <v>4</v>
      </c>
      <c r="F68" s="541">
        <v>6</v>
      </c>
      <c r="G68" s="541">
        <v>8</v>
      </c>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99</v>
      </c>
      <c r="E69" s="679">
        <f t="shared" si="18"/>
        <v>98</v>
      </c>
      <c r="F69" s="679">
        <f t="shared" si="18"/>
        <v>97</v>
      </c>
      <c r="G69" s="679">
        <f t="shared" si="18"/>
        <v>96</v>
      </c>
      <c r="H69" s="679">
        <f t="shared" si="18"/>
        <v>95</v>
      </c>
      <c r="I69" s="679">
        <f t="shared" si="18"/>
        <v>94</v>
      </c>
      <c r="J69" s="679">
        <f t="shared" si="18"/>
        <v>93</v>
      </c>
      <c r="K69" s="679">
        <f t="shared" si="18"/>
        <v>92</v>
      </c>
      <c r="L69" s="679">
        <f t="shared" si="18"/>
        <v>91</v>
      </c>
      <c r="M69" s="680">
        <f t="shared" si="18"/>
        <v>90</v>
      </c>
      <c r="N69" s="2165"/>
      <c r="O69" s="2165"/>
      <c r="P69" s="2164"/>
      <c r="Q69" s="2157"/>
      <c r="R69" s="2144"/>
      <c r="S69" s="2144"/>
      <c r="T69" s="2144"/>
      <c r="U69" s="2144"/>
      <c r="V69" s="2144"/>
      <c r="W69" s="2144"/>
      <c r="X69" s="2144"/>
      <c r="Y69" s="2144"/>
      <c r="Z69" s="2144"/>
      <c r="AA69" s="2144"/>
      <c r="AB69" s="2144"/>
      <c r="AC69" s="2144"/>
    </row>
    <row r="70" spans="1:29" s="1338" customFormat="1" ht="15.75" hidden="1"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hidden="1"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hidden="1"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hidden="1"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hidden="1"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hidden="1"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ht="15" thickTop="1">
      <c r="A76" s="664" t="s">
        <v>540</v>
      </c>
      <c r="B76" s="665" t="s">
        <v>579</v>
      </c>
      <c r="C76" s="703" t="s">
        <v>580</v>
      </c>
      <c r="D76" s="703" t="s">
        <v>581</v>
      </c>
      <c r="E76" s="703" t="s">
        <v>582</v>
      </c>
      <c r="F76" s="703" t="s">
        <v>583</v>
      </c>
      <c r="G76" s="703" t="s">
        <v>584</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98</v>
      </c>
      <c r="E77" s="679">
        <f>D77-$K15</f>
        <v>96</v>
      </c>
      <c r="F77" s="679">
        <f>E77-$K15</f>
        <v>94</v>
      </c>
      <c r="G77" s="679">
        <f>F77-$K15</f>
        <v>92</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587</v>
      </c>
      <c r="C78" s="708" t="s">
        <v>580</v>
      </c>
      <c r="D78" s="708" t="s">
        <v>581</v>
      </c>
      <c r="E78" s="708" t="s">
        <v>582</v>
      </c>
      <c r="F78" s="708" t="s">
        <v>583</v>
      </c>
      <c r="G78" s="708" t="s">
        <v>584</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580</v>
      </c>
      <c r="D80" s="708" t="s">
        <v>581</v>
      </c>
      <c r="E80" s="708" t="s">
        <v>582</v>
      </c>
      <c r="F80" s="708" t="s">
        <v>583</v>
      </c>
      <c r="G80" s="708" t="s">
        <v>584</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98</v>
      </c>
      <c r="E81" s="679">
        <f>D81-$K19</f>
        <v>96</v>
      </c>
      <c r="F81" s="679">
        <f>E81-$K19</f>
        <v>94</v>
      </c>
      <c r="G81" s="679">
        <f>F81-$K19</f>
        <v>92</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620" t="s">
        <v>2558</v>
      </c>
      <c r="C82" s="2621" t="s">
        <v>2559</v>
      </c>
      <c r="D82" s="2621" t="s">
        <v>2560</v>
      </c>
      <c r="E82" s="2621" t="s">
        <v>2561</v>
      </c>
      <c r="F82" s="2621" t="s">
        <v>2562</v>
      </c>
      <c r="G82" s="2621" t="s">
        <v>2563</v>
      </c>
      <c r="H82" s="674"/>
      <c r="I82" s="674"/>
      <c r="J82" s="674"/>
      <c r="K82" s="674"/>
      <c r="L82" s="674"/>
      <c r="M82" s="2624"/>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745</v>
      </c>
      <c r="C84" s="708" t="s">
        <v>580</v>
      </c>
      <c r="D84" s="708" t="s">
        <v>581</v>
      </c>
      <c r="E84" s="708" t="s">
        <v>582</v>
      </c>
      <c r="F84" s="708" t="s">
        <v>583</v>
      </c>
      <c r="G84" s="708" t="s">
        <v>584</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772</v>
      </c>
      <c r="C86" s="3176" t="s">
        <v>3137</v>
      </c>
      <c r="D86" s="3176" t="s">
        <v>3138</v>
      </c>
      <c r="E86" s="3176" t="s">
        <v>3139</v>
      </c>
      <c r="F86" s="3176" t="s">
        <v>3140</v>
      </c>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3176" t="s">
        <v>3040</v>
      </c>
      <c r="D88" s="3176" t="s">
        <v>3042</v>
      </c>
      <c r="E88" s="3176" t="s">
        <v>3044</v>
      </c>
      <c r="F88" s="3194" t="s">
        <v>3045</v>
      </c>
      <c r="G88" s="3176" t="s">
        <v>3046</v>
      </c>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v>100</v>
      </c>
      <c r="D89" s="671">
        <v>98</v>
      </c>
      <c r="E89" s="671">
        <v>96</v>
      </c>
      <c r="F89" s="671">
        <v>94</v>
      </c>
      <c r="G89" s="671">
        <v>92</v>
      </c>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3176" t="s">
        <v>3040</v>
      </c>
      <c r="D90" s="3176" t="s">
        <v>3042</v>
      </c>
      <c r="E90" s="3176" t="s">
        <v>3044</v>
      </c>
      <c r="F90" s="3194" t="s">
        <v>3045</v>
      </c>
      <c r="G90" s="3176" t="s">
        <v>3046</v>
      </c>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v>1</v>
      </c>
      <c r="D92" s="3192" t="s">
        <v>3118</v>
      </c>
      <c r="E92" s="688">
        <v>2</v>
      </c>
      <c r="F92" s="688"/>
      <c r="G92" s="688"/>
      <c r="H92" s="688"/>
      <c r="I92" s="688"/>
      <c r="J92" s="688"/>
      <c r="K92" s="688"/>
      <c r="L92" s="890"/>
      <c r="M92" s="89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v>100</v>
      </c>
      <c r="D93" s="671">
        <v>85</v>
      </c>
      <c r="E93" s="671">
        <v>65</v>
      </c>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hidden="1"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hidden="1"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hidden="1"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hidden="1"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hidden="1"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hidden="1" thickBot="1">
      <c r="A99" s="893"/>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ht="15" thickTop="1">
      <c r="A100" s="664" t="s">
        <v>552</v>
      </c>
      <c r="B100" s="665" t="s">
        <v>773</v>
      </c>
      <c r="C100" s="3175" t="s">
        <v>3119</v>
      </c>
      <c r="D100" s="3175" t="s">
        <v>3121</v>
      </c>
      <c r="E100" s="3175" t="s">
        <v>3123</v>
      </c>
      <c r="F100" s="3175" t="s">
        <v>3124</v>
      </c>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749</v>
      </c>
      <c r="C102" s="708" t="str">
        <f>C103&amp;"(含)"&amp;"-"&amp;D103</f>
        <v>0(含)-100000</v>
      </c>
      <c r="D102" s="708" t="str">
        <f t="shared" ref="D102:L102" si="22">D103&amp;"(含)"&amp;"-"&amp;E103</f>
        <v>100000(含)-200000</v>
      </c>
      <c r="E102" s="708" t="str">
        <f t="shared" si="22"/>
        <v>200000(含)-300000</v>
      </c>
      <c r="F102" s="708" t="str">
        <f t="shared" si="22"/>
        <v>300000(含)-400000</v>
      </c>
      <c r="G102" s="708" t="str">
        <f t="shared" si="22"/>
        <v>400000(含)-500000</v>
      </c>
      <c r="H102" s="708" t="str">
        <f t="shared" si="22"/>
        <v>500000(含)-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v>100000</v>
      </c>
      <c r="E103" s="730">
        <v>200000</v>
      </c>
      <c r="F103" s="730">
        <v>300000</v>
      </c>
      <c r="G103" s="730">
        <v>400000</v>
      </c>
      <c r="H103" s="730">
        <v>500000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101</v>
      </c>
      <c r="E104" s="671">
        <v>102</v>
      </c>
      <c r="F104" s="671">
        <v>103</v>
      </c>
      <c r="G104" s="671">
        <v>104</v>
      </c>
      <c r="H104" s="671">
        <v>105</v>
      </c>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750</v>
      </c>
      <c r="C105" s="3176" t="s">
        <v>3125</v>
      </c>
      <c r="D105" s="3176" t="s">
        <v>3126</v>
      </c>
      <c r="E105" s="3177" t="s">
        <v>3127</v>
      </c>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752</v>
      </c>
      <c r="C107" s="3176" t="s">
        <v>3128</v>
      </c>
      <c r="D107" s="3176" t="s">
        <v>3129</v>
      </c>
      <c r="E107" s="3176" t="s">
        <v>3130</v>
      </c>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4">
        <v>0.5</v>
      </c>
      <c r="D110" s="894">
        <v>0.6</v>
      </c>
      <c r="E110" s="894">
        <v>0.7</v>
      </c>
      <c r="F110" s="894">
        <v>0.8</v>
      </c>
      <c r="G110" s="894">
        <v>0.9</v>
      </c>
      <c r="H110" s="894">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2556</v>
      </c>
      <c r="C112" s="3176" t="s">
        <v>3047</v>
      </c>
      <c r="D112" s="3176" t="s">
        <v>3049</v>
      </c>
      <c r="E112" s="3176" t="s">
        <v>3050</v>
      </c>
      <c r="F112" s="3176" t="s">
        <v>3051</v>
      </c>
      <c r="G112" s="3176" t="s">
        <v>3052</v>
      </c>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hidden="1" thickTop="1">
      <c r="A114" s="735"/>
      <c r="B114" s="673" t="s">
        <v>774</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hidden="1"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775</v>
      </c>
      <c r="C116" s="3176" t="s">
        <v>3131</v>
      </c>
      <c r="D116" s="3176" t="s">
        <v>3133</v>
      </c>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776</v>
      </c>
      <c r="C118" s="908" t="s">
        <v>3134</v>
      </c>
      <c r="D118" s="908" t="s">
        <v>3135</v>
      </c>
      <c r="E118" s="908" t="s">
        <v>3136</v>
      </c>
      <c r="F118" s="908">
        <v>3000</v>
      </c>
      <c r="G118" s="908">
        <v>70</v>
      </c>
      <c r="H118" s="689">
        <v>40</v>
      </c>
      <c r="I118" s="689">
        <v>105</v>
      </c>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v>100</v>
      </c>
      <c r="G119" s="671">
        <v>105</v>
      </c>
      <c r="H119" s="671">
        <v>105</v>
      </c>
      <c r="I119" s="671">
        <v>105</v>
      </c>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777</v>
      </c>
      <c r="C120" s="3177" t="s">
        <v>3040</v>
      </c>
      <c r="D120" s="3177" t="s">
        <v>3042</v>
      </c>
      <c r="E120" s="3177" t="s">
        <v>3044</v>
      </c>
      <c r="F120" s="3177" t="s">
        <v>3045</v>
      </c>
      <c r="G120" s="3193" t="s">
        <v>3046</v>
      </c>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756</v>
      </c>
      <c r="C122" s="3176" t="s">
        <v>3128</v>
      </c>
      <c r="D122" s="3176" t="s">
        <v>3129</v>
      </c>
      <c r="E122" s="3176" t="s">
        <v>3130</v>
      </c>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hidden="1"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hidden="1"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hidden="1"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hidden="1"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hidden="1"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hidden="1"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ht="15" thickTop="1">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6" t="s">
        <v>2471</v>
      </c>
      <c r="B1" s="3467"/>
      <c r="C1" s="3468"/>
      <c r="D1" s="3469">
        <f>SUM(I10,I15,I20,I21,I23)</f>
        <v>0</v>
      </c>
      <c r="E1" s="3469"/>
      <c r="F1" s="3469"/>
      <c r="G1" s="3469"/>
      <c r="H1" s="3469"/>
      <c r="I1" s="3470"/>
    </row>
    <row r="2" spans="1:9">
      <c r="A2" s="3471" t="s">
        <v>2472</v>
      </c>
      <c r="B2" s="3472" t="s">
        <v>2473</v>
      </c>
      <c r="C2" s="3472"/>
      <c r="D2" s="2530" t="s">
        <v>2474</v>
      </c>
      <c r="E2" s="2530" t="s">
        <v>2475</v>
      </c>
      <c r="F2" s="2530" t="s">
        <v>2476</v>
      </c>
      <c r="G2" s="2530" t="s">
        <v>2477</v>
      </c>
      <c r="H2" s="2530" t="s">
        <v>2478</v>
      </c>
      <c r="I2" s="2531" t="s">
        <v>2479</v>
      </c>
    </row>
    <row r="3" spans="1:9">
      <c r="A3" s="3471"/>
      <c r="B3" s="3472" t="s">
        <v>2480</v>
      </c>
      <c r="C3" s="3472"/>
      <c r="D3" s="2532"/>
      <c r="E3" s="2530"/>
      <c r="F3" s="2533"/>
      <c r="G3" s="2533"/>
      <c r="H3" s="2534"/>
      <c r="I3" s="2535">
        <f>ROUND(D3*E3*F3*G3*H3/10000,0)</f>
        <v>0</v>
      </c>
    </row>
    <row r="4" spans="1:9">
      <c r="A4" s="3471"/>
      <c r="B4" s="3472" t="s">
        <v>2481</v>
      </c>
      <c r="C4" s="3472"/>
      <c r="D4" s="2532"/>
      <c r="E4" s="2530"/>
      <c r="F4" s="2533"/>
      <c r="G4" s="2533"/>
      <c r="H4" s="2534"/>
      <c r="I4" s="2535">
        <f t="shared" ref="I4:I9" si="0">ROUND(D4*E4*F4*G4*H4/10000,0)</f>
        <v>0</v>
      </c>
    </row>
    <row r="5" spans="1:9">
      <c r="A5" s="3471"/>
      <c r="B5" s="3472" t="s">
        <v>2482</v>
      </c>
      <c r="C5" s="3472"/>
      <c r="D5" s="2532"/>
      <c r="E5" s="2530"/>
      <c r="F5" s="2533"/>
      <c r="G5" s="2533"/>
      <c r="H5" s="2534"/>
      <c r="I5" s="2535">
        <f t="shared" si="0"/>
        <v>0</v>
      </c>
    </row>
    <row r="6" spans="1:9">
      <c r="A6" s="3471"/>
      <c r="B6" s="3472" t="s">
        <v>2483</v>
      </c>
      <c r="C6" s="3472"/>
      <c r="D6" s="2532"/>
      <c r="E6" s="2530"/>
      <c r="F6" s="2533"/>
      <c r="G6" s="2533"/>
      <c r="H6" s="2534"/>
      <c r="I6" s="2535">
        <f t="shared" si="0"/>
        <v>0</v>
      </c>
    </row>
    <row r="7" spans="1:9">
      <c r="A7" s="3471"/>
      <c r="B7" s="3472" t="s">
        <v>2484</v>
      </c>
      <c r="C7" s="3472"/>
      <c r="D7" s="2532"/>
      <c r="E7" s="2530"/>
      <c r="F7" s="2533"/>
      <c r="G7" s="2533"/>
      <c r="H7" s="2534"/>
      <c r="I7" s="2535">
        <f t="shared" si="0"/>
        <v>0</v>
      </c>
    </row>
    <row r="8" spans="1:9">
      <c r="A8" s="3471"/>
      <c r="B8" s="3472" t="s">
        <v>2485</v>
      </c>
      <c r="C8" s="3472"/>
      <c r="D8" s="2532"/>
      <c r="E8" s="2530"/>
      <c r="F8" s="2533"/>
      <c r="G8" s="2533"/>
      <c r="H8" s="2534"/>
      <c r="I8" s="2535">
        <f t="shared" si="0"/>
        <v>0</v>
      </c>
    </row>
    <row r="9" spans="1:9">
      <c r="A9" s="3471"/>
      <c r="B9" s="3472" t="s">
        <v>2486</v>
      </c>
      <c r="C9" s="3472"/>
      <c r="D9" s="2532"/>
      <c r="E9" s="2530"/>
      <c r="F9" s="2533"/>
      <c r="G9" s="2533"/>
      <c r="H9" s="2534"/>
      <c r="I9" s="2535">
        <f t="shared" si="0"/>
        <v>0</v>
      </c>
    </row>
    <row r="10" spans="1:9">
      <c r="A10" s="3471"/>
      <c r="B10" s="3473" t="s">
        <v>2487</v>
      </c>
      <c r="C10" s="3473"/>
      <c r="D10" s="2536">
        <v>527</v>
      </c>
      <c r="E10" s="2536" t="e">
        <f>ROUND(D1*10000/D10/H9,0)</f>
        <v>#DIV/0!</v>
      </c>
      <c r="F10" s="2537"/>
      <c r="G10" s="2537"/>
      <c r="H10" s="2538"/>
      <c r="I10" s="2539">
        <f>SUM(I3:I9)</f>
        <v>0</v>
      </c>
    </row>
    <row r="11" spans="1:9" ht="14.25">
      <c r="A11" s="3471" t="s">
        <v>2488</v>
      </c>
      <c r="B11" s="3472" t="s">
        <v>2489</v>
      </c>
      <c r="C11" s="3472"/>
      <c r="D11" s="2532" t="s">
        <v>2490</v>
      </c>
      <c r="E11" s="2532" t="s">
        <v>2491</v>
      </c>
      <c r="F11" s="2533" t="s">
        <v>2492</v>
      </c>
      <c r="G11" s="2533" t="s">
        <v>2493</v>
      </c>
      <c r="H11" s="2540" t="s">
        <v>2494</v>
      </c>
      <c r="I11" s="2531" t="s">
        <v>2495</v>
      </c>
    </row>
    <row r="12" spans="1:9">
      <c r="A12" s="3471"/>
      <c r="B12" s="3472" t="s">
        <v>2496</v>
      </c>
      <c r="C12" s="3472"/>
      <c r="D12" s="2532"/>
      <c r="E12" s="2532"/>
      <c r="F12" s="2533"/>
      <c r="G12" s="2534"/>
      <c r="H12" s="2541"/>
      <c r="I12" s="2531">
        <f>ROUND(D12*E12*F12*G12/10000,0)</f>
        <v>0</v>
      </c>
    </row>
    <row r="13" spans="1:9">
      <c r="A13" s="3471"/>
      <c r="B13" s="3472" t="s">
        <v>2497</v>
      </c>
      <c r="C13" s="3472"/>
      <c r="D13" s="2532"/>
      <c r="E13" s="2532"/>
      <c r="F13" s="2533"/>
      <c r="G13" s="2534"/>
      <c r="H13" s="2541"/>
      <c r="I13" s="2531">
        <f>ROUND(D13*E13*F13*G13/10000,0)</f>
        <v>0</v>
      </c>
    </row>
    <row r="14" spans="1:9">
      <c r="A14" s="3471"/>
      <c r="B14" s="3472" t="s">
        <v>2498</v>
      </c>
      <c r="C14" s="3472"/>
      <c r="D14" s="2532"/>
      <c r="E14" s="2532"/>
      <c r="F14" s="2533"/>
      <c r="G14" s="2534"/>
      <c r="H14" s="2541"/>
      <c r="I14" s="2531">
        <f>ROUND(D14*E14*F14*G14/10000,0)</f>
        <v>0</v>
      </c>
    </row>
    <row r="15" spans="1:9">
      <c r="A15" s="3471"/>
      <c r="B15" s="3473" t="s">
        <v>2487</v>
      </c>
      <c r="C15" s="3473"/>
      <c r="D15" s="2536"/>
      <c r="E15" s="2536">
        <f>SUM(E12:E14)</f>
        <v>0</v>
      </c>
      <c r="F15" s="2537"/>
      <c r="G15" s="2534"/>
      <c r="H15" s="2541"/>
      <c r="I15" s="2542">
        <f>SUM(I12:I14)</f>
        <v>0</v>
      </c>
    </row>
    <row r="16" spans="1:9" ht="24">
      <c r="A16" s="3471" t="s">
        <v>2499</v>
      </c>
      <c r="B16" s="3472" t="s">
        <v>2500</v>
      </c>
      <c r="C16" s="3472"/>
      <c r="D16" s="2532" t="s">
        <v>2501</v>
      </c>
      <c r="E16" s="2543" t="s">
        <v>2502</v>
      </c>
      <c r="F16" s="2533" t="s">
        <v>2503</v>
      </c>
      <c r="G16" s="2534" t="s">
        <v>2493</v>
      </c>
      <c r="H16" s="2540" t="s">
        <v>2494</v>
      </c>
      <c r="I16" s="2531" t="s">
        <v>2495</v>
      </c>
    </row>
    <row r="17" spans="1:9" ht="14.25">
      <c r="A17" s="3471"/>
      <c r="B17" s="3472" t="s">
        <v>2504</v>
      </c>
      <c r="C17" s="3472"/>
      <c r="D17" s="2532"/>
      <c r="E17" s="2532"/>
      <c r="F17" s="2533"/>
      <c r="G17" s="2534"/>
      <c r="H17" s="2544"/>
      <c r="I17" s="2545">
        <f>ROUND(D17*E17*F17*G17/10000,0)</f>
        <v>0</v>
      </c>
    </row>
    <row r="18" spans="1:9" ht="14.25">
      <c r="A18" s="3471"/>
      <c r="B18" s="3472" t="s">
        <v>2505</v>
      </c>
      <c r="C18" s="3472"/>
      <c r="D18" s="2532"/>
      <c r="E18" s="2532"/>
      <c r="F18" s="2533"/>
      <c r="G18" s="2534"/>
      <c r="H18" s="2544"/>
      <c r="I18" s="2545">
        <f>ROUND(D18*E18*F18*G18/10000,0)</f>
        <v>0</v>
      </c>
    </row>
    <row r="19" spans="1:9" ht="14.25">
      <c r="A19" s="3471"/>
      <c r="B19" s="3472" t="s">
        <v>2506</v>
      </c>
      <c r="C19" s="3472"/>
      <c r="D19" s="2532"/>
      <c r="E19" s="2532"/>
      <c r="F19" s="2533"/>
      <c r="G19" s="2534"/>
      <c r="H19" s="2544"/>
      <c r="I19" s="2545">
        <f>ROUND(D19*E19*F19*G19/10000,0)</f>
        <v>0</v>
      </c>
    </row>
    <row r="20" spans="1:9">
      <c r="A20" s="3471"/>
      <c r="B20" s="3473" t="s">
        <v>2487</v>
      </c>
      <c r="C20" s="3473"/>
      <c r="D20" s="2536">
        <f>SUM(D17:D19)</f>
        <v>0</v>
      </c>
      <c r="E20" s="2536"/>
      <c r="F20" s="2537"/>
      <c r="G20" s="2534"/>
      <c r="H20" s="2541"/>
      <c r="I20" s="2542">
        <f>SUM(I17:I19)</f>
        <v>0</v>
      </c>
    </row>
    <row r="21" spans="1:9">
      <c r="A21" s="3471" t="s">
        <v>2507</v>
      </c>
      <c r="B21" s="3475"/>
      <c r="C21" s="3475"/>
      <c r="D21" s="3475"/>
      <c r="E21" s="3475"/>
      <c r="F21" s="3475"/>
      <c r="G21" s="3475"/>
      <c r="H21" s="2546">
        <v>0.1</v>
      </c>
      <c r="I21" s="2539">
        <f>ROUND(I10*H21,0)</f>
        <v>0</v>
      </c>
    </row>
    <row r="22" spans="1:9" ht="14.25">
      <c r="A22" s="3476" t="s">
        <v>2508</v>
      </c>
      <c r="B22" s="3477"/>
      <c r="C22" s="3478"/>
      <c r="D22" s="2547" t="s">
        <v>2509</v>
      </c>
      <c r="E22" s="2547" t="s">
        <v>2510</v>
      </c>
      <c r="F22" s="2548" t="s">
        <v>2511</v>
      </c>
      <c r="G22" s="2548" t="s">
        <v>2512</v>
      </c>
      <c r="H22" s="2540" t="s">
        <v>2513</v>
      </c>
      <c r="I22" s="2531" t="s">
        <v>2514</v>
      </c>
    </row>
    <row r="23" spans="1:9" ht="14.25" thickBot="1">
      <c r="A23" s="3479"/>
      <c r="B23" s="3480"/>
      <c r="C23" s="3481"/>
      <c r="D23" s="2549"/>
      <c r="E23" s="2549"/>
      <c r="F23" s="2549"/>
      <c r="G23" s="2550"/>
      <c r="H23" s="2551"/>
      <c r="I23" s="2552">
        <f>ROUND(E23*D23*F23*(1-G23)/10000,0)</f>
        <v>0</v>
      </c>
    </row>
    <row r="26" spans="1:9">
      <c r="A26" s="2553" t="s">
        <v>2515</v>
      </c>
      <c r="B26" s="2553"/>
      <c r="C26" s="2553"/>
      <c r="D26" s="2553"/>
      <c r="E26" s="3482">
        <f>C27-C30-C31-C32</f>
        <v>0</v>
      </c>
      <c r="F26" s="3482"/>
      <c r="G26" s="3482"/>
      <c r="H26" s="3069" t="s">
        <v>2844</v>
      </c>
    </row>
    <row r="27" spans="1:9">
      <c r="A27" s="2554">
        <v>1</v>
      </c>
      <c r="B27" s="2555" t="s">
        <v>2516</v>
      </c>
      <c r="C27" s="2555"/>
      <c r="D27" s="2555"/>
      <c r="E27" s="3483"/>
      <c r="F27" s="3483"/>
      <c r="G27" s="3483"/>
    </row>
    <row r="28" spans="1:9">
      <c r="A28" s="2556" t="s">
        <v>2517</v>
      </c>
      <c r="B28" s="2555" t="s">
        <v>2518</v>
      </c>
      <c r="C28" s="2555"/>
      <c r="D28" s="2555"/>
      <c r="E28" s="3483"/>
      <c r="F28" s="3483"/>
      <c r="G28" s="3483"/>
    </row>
    <row r="29" spans="1:9">
      <c r="A29" s="2556" t="s">
        <v>2519</v>
      </c>
      <c r="B29" s="2555" t="s">
        <v>2459</v>
      </c>
      <c r="C29" s="2555"/>
      <c r="D29" s="2555"/>
      <c r="E29" s="2555" t="s">
        <v>2520</v>
      </c>
      <c r="F29" s="2555"/>
      <c r="G29" s="2555"/>
    </row>
    <row r="30" spans="1:9">
      <c r="A30" s="2554">
        <v>2</v>
      </c>
      <c r="B30" s="2555" t="s">
        <v>2521</v>
      </c>
      <c r="C30" s="2555">
        <f>C27*D30</f>
        <v>0</v>
      </c>
      <c r="D30" s="2557">
        <v>0.2</v>
      </c>
      <c r="E30" s="2555" t="s">
        <v>2522</v>
      </c>
      <c r="F30" s="2555"/>
      <c r="G30" s="2555"/>
    </row>
    <row r="31" spans="1:9">
      <c r="A31" s="2554">
        <v>3</v>
      </c>
      <c r="B31" s="2555" t="s">
        <v>2523</v>
      </c>
      <c r="C31" s="2555">
        <f>C25*D31</f>
        <v>0</v>
      </c>
      <c r="D31" s="2557">
        <v>0.15</v>
      </c>
      <c r="E31" s="2555" t="s">
        <v>2524</v>
      </c>
      <c r="F31" s="2555"/>
      <c r="G31" s="2555"/>
    </row>
    <row r="32" spans="1:9">
      <c r="A32" s="2554">
        <v>4</v>
      </c>
      <c r="B32" s="2555" t="s">
        <v>2525</v>
      </c>
      <c r="C32" s="2555">
        <f>C27*D32</f>
        <v>0</v>
      </c>
      <c r="D32" s="2557">
        <v>0.05</v>
      </c>
      <c r="E32" s="3474"/>
      <c r="F32" s="3474"/>
      <c r="G32" s="3474"/>
    </row>
    <row r="33" spans="1:7" hidden="1">
      <c r="A33" s="3484" t="s">
        <v>2526</v>
      </c>
      <c r="B33" s="3485"/>
      <c r="C33" s="3485"/>
      <c r="D33" s="3486"/>
      <c r="E33" s="3482"/>
      <c r="F33" s="3482"/>
      <c r="G33" s="3482"/>
    </row>
    <row r="34" spans="1:7" hidden="1">
      <c r="A34" s="2558">
        <v>1</v>
      </c>
      <c r="B34" s="2555" t="s">
        <v>2527</v>
      </c>
      <c r="C34" s="2555"/>
      <c r="D34" s="2555"/>
      <c r="E34" s="3483"/>
      <c r="F34" s="3483"/>
      <c r="G34" s="3483"/>
    </row>
    <row r="35" spans="1:7" hidden="1">
      <c r="A35" s="2558">
        <v>2</v>
      </c>
      <c r="B35" s="2555" t="s">
        <v>2528</v>
      </c>
      <c r="C35" s="2555"/>
      <c r="D35" s="2555"/>
      <c r="E35" s="3483"/>
      <c r="F35" s="3483"/>
      <c r="G35" s="3483"/>
    </row>
    <row r="36" spans="1:7" hidden="1">
      <c r="A36" s="2558">
        <v>3</v>
      </c>
      <c r="B36" s="2555" t="s">
        <v>2529</v>
      </c>
      <c r="C36" s="2555"/>
      <c r="D36" s="2555"/>
      <c r="E36" s="3483"/>
      <c r="F36" s="3483"/>
      <c r="G36" s="3483"/>
    </row>
    <row r="37" spans="1:7" hidden="1">
      <c r="A37" s="2558">
        <v>4</v>
      </c>
      <c r="B37" s="2555" t="s">
        <v>2530</v>
      </c>
      <c r="C37" s="2555"/>
      <c r="D37" s="2555"/>
      <c r="E37" s="3483"/>
      <c r="F37" s="3483"/>
      <c r="G37" s="3483"/>
    </row>
    <row r="38" spans="1:7" hidden="1">
      <c r="A38" s="3484" t="s">
        <v>2531</v>
      </c>
      <c r="B38" s="3485"/>
      <c r="C38" s="3485"/>
      <c r="D38" s="3486"/>
      <c r="E38" s="3482"/>
      <c r="F38" s="3482"/>
      <c r="G38" s="34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604</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8"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605</v>
      </c>
      <c r="C6" s="745" t="s">
        <v>606</v>
      </c>
      <c r="D6" s="745" t="s">
        <v>607</v>
      </c>
      <c r="E6" s="746" t="s">
        <v>608</v>
      </c>
      <c r="F6" s="746" t="s">
        <v>609</v>
      </c>
      <c r="G6" s="747"/>
    </row>
    <row r="7" spans="1:25" s="2182" customFormat="1" ht="13.5" customHeight="1">
      <c r="A7" s="2492">
        <v>1</v>
      </c>
      <c r="B7" s="748" t="s">
        <v>610</v>
      </c>
      <c r="C7" s="749">
        <f>C8+C9</f>
        <v>0</v>
      </c>
      <c r="D7" s="749"/>
      <c r="E7" s="750"/>
      <c r="F7" s="750"/>
      <c r="G7" s="2502"/>
    </row>
    <row r="8" spans="1:25" s="2182" customFormat="1" ht="13.5" customHeight="1">
      <c r="A8" s="2492" t="s">
        <v>2438</v>
      </c>
      <c r="B8" s="2495" t="s">
        <v>2440</v>
      </c>
      <c r="C8" s="2496"/>
      <c r="D8" s="749"/>
      <c r="E8" s="750"/>
      <c r="F8" s="750"/>
      <c r="G8" s="751"/>
    </row>
    <row r="9" spans="1:25" s="2182" customFormat="1" ht="13.5" customHeight="1">
      <c r="A9" s="2492" t="s">
        <v>2439</v>
      </c>
      <c r="B9" s="2495" t="s">
        <v>2441</v>
      </c>
      <c r="C9" s="2496"/>
      <c r="D9" s="749"/>
      <c r="E9" s="750"/>
      <c r="F9" s="750"/>
      <c r="G9" s="751"/>
    </row>
    <row r="10" spans="1:25" s="2182" customFormat="1" ht="36">
      <c r="A10" s="2492">
        <v>2</v>
      </c>
      <c r="B10" s="748" t="s">
        <v>614</v>
      </c>
      <c r="C10" s="749">
        <f>C11+C14+C15</f>
        <v>0</v>
      </c>
      <c r="D10" s="760">
        <f>'数据-汇总表'!E3</f>
        <v>204632.7</v>
      </c>
      <c r="E10" s="749">
        <f>'数据-取费表'!B31</f>
        <v>200</v>
      </c>
      <c r="F10" s="761"/>
      <c r="G10" s="759" t="s">
        <v>615</v>
      </c>
    </row>
    <row r="11" spans="1:25" s="2182" customFormat="1" ht="13.5" customHeight="1">
      <c r="A11" s="2492" t="s">
        <v>2438</v>
      </c>
      <c r="B11" s="752" t="s">
        <v>611</v>
      </c>
      <c r="C11" s="753">
        <f>'数据-取费表'!B29</f>
        <v>0</v>
      </c>
      <c r="D11" s="754"/>
      <c r="E11" s="753"/>
      <c r="F11" s="755"/>
      <c r="G11" s="2501" t="s">
        <v>2449</v>
      </c>
    </row>
    <row r="12" spans="1:25" s="2182" customFormat="1" ht="13.5" customHeight="1">
      <c r="A12" s="2499" t="s">
        <v>2446</v>
      </c>
      <c r="B12" s="756" t="s">
        <v>612</v>
      </c>
      <c r="C12" s="757">
        <f>ROUND(D12*E12/10000,0)</f>
        <v>1964</v>
      </c>
      <c r="D12" s="758">
        <f>'数据-汇总表'!E5</f>
        <v>163706.16</v>
      </c>
      <c r="E12" s="757">
        <f>'数据-取费表'!B27</f>
        <v>120</v>
      </c>
      <c r="F12" s="755"/>
      <c r="G12" s="759"/>
    </row>
    <row r="13" spans="1:25" s="2182" customFormat="1" ht="13.5" customHeight="1">
      <c r="A13" s="2499" t="s">
        <v>2445</v>
      </c>
      <c r="B13" s="756" t="s">
        <v>613</v>
      </c>
      <c r="C13" s="757">
        <f>ROUND(D13*E13/10000,0)</f>
        <v>491</v>
      </c>
      <c r="D13" s="758">
        <f>'数据-汇总表'!E6</f>
        <v>40926.540000000008</v>
      </c>
      <c r="E13" s="757">
        <f>'数据-取费表'!B28</f>
        <v>120</v>
      </c>
      <c r="F13" s="755"/>
      <c r="G13" s="759"/>
    </row>
    <row r="14" spans="1:25" s="2182" customFormat="1" ht="13.5" customHeight="1">
      <c r="A14" s="2492" t="s">
        <v>2439</v>
      </c>
      <c r="B14" s="2498" t="s">
        <v>2442</v>
      </c>
      <c r="C14" s="2496"/>
      <c r="D14" s="758"/>
      <c r="E14" s="757"/>
      <c r="F14" s="2497"/>
      <c r="G14" s="2500" t="s">
        <v>2447</v>
      </c>
    </row>
    <row r="15" spans="1:25" s="2182" customFormat="1" ht="13.5" customHeight="1">
      <c r="A15" s="2492" t="s">
        <v>2444</v>
      </c>
      <c r="B15" s="2498" t="s">
        <v>2443</v>
      </c>
      <c r="C15" s="2496"/>
      <c r="D15" s="758"/>
      <c r="E15" s="757"/>
      <c r="F15" s="2497"/>
      <c r="G15" s="2500" t="s">
        <v>2448</v>
      </c>
    </row>
    <row r="16" spans="1:25" s="2183" customFormat="1" ht="48">
      <c r="A16" s="2492">
        <v>3</v>
      </c>
      <c r="B16" s="748" t="s">
        <v>616</v>
      </c>
      <c r="C16" s="2496"/>
      <c r="D16" s="760"/>
      <c r="E16" s="749"/>
      <c r="F16" s="761"/>
      <c r="G16" s="759" t="s">
        <v>2450</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3">
        <v>4</v>
      </c>
      <c r="B17" s="748" t="s">
        <v>617</v>
      </c>
      <c r="C17" s="259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4"/>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3">
        <v>5</v>
      </c>
      <c r="B18" s="748" t="s">
        <v>618</v>
      </c>
      <c r="C18" s="749">
        <f>ROUND((C7+C10+C16)*F18,0)</f>
        <v>0</v>
      </c>
      <c r="D18" s="762"/>
      <c r="E18" s="763"/>
      <c r="F18" s="761">
        <f>'数据-取费表'!Q16</f>
        <v>0.11</v>
      </c>
      <c r="G18" s="765" t="s">
        <v>619</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2">
        <v>6</v>
      </c>
      <c r="B19" s="748" t="s">
        <v>620</v>
      </c>
      <c r="C19" s="749">
        <f ca="1">C7+C10+C16+C17+C18</f>
        <v>0</v>
      </c>
      <c r="D19" s="760"/>
      <c r="E19" s="749"/>
      <c r="F19" s="761"/>
      <c r="G19" s="765" t="s">
        <v>621</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2">
        <v>7</v>
      </c>
      <c r="B20" s="748" t="s">
        <v>622</v>
      </c>
      <c r="C20" s="749">
        <f ca="1">ROUND(C19*F20,0)</f>
        <v>0</v>
      </c>
      <c r="D20" s="760"/>
      <c r="E20" s="749"/>
      <c r="F20" s="1348"/>
      <c r="G20" s="765" t="s">
        <v>623</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2">
        <v>8</v>
      </c>
      <c r="B21" s="748" t="s">
        <v>624</v>
      </c>
      <c r="C21" s="749">
        <f ca="1">C19+C20</f>
        <v>0</v>
      </c>
      <c r="D21" s="760"/>
      <c r="E21" s="749"/>
      <c r="F21" s="761"/>
      <c r="G21" s="765" t="s">
        <v>625</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2">
        <v>9</v>
      </c>
      <c r="B22" s="748" t="s">
        <v>626</v>
      </c>
      <c r="C22" s="749">
        <f ca="1">ROUND(C21*F22,0)</f>
        <v>0</v>
      </c>
      <c r="D22" s="760"/>
      <c r="E22" s="749"/>
      <c r="F22" s="766">
        <f>'数据-取费表'!AP16</f>
        <v>0.91400000000000003</v>
      </c>
      <c r="G22" s="765" t="s">
        <v>627</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4">
        <v>10</v>
      </c>
      <c r="B23" s="767" t="s">
        <v>628</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K20" sqref="K20"/>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3" t="s">
        <v>2303</v>
      </c>
      <c r="C1" s="3490" t="s">
        <v>2304</v>
      </c>
      <c r="D1" s="3491"/>
      <c r="E1" s="3491"/>
      <c r="F1" s="3491"/>
      <c r="G1" s="3491"/>
      <c r="H1" s="3491"/>
      <c r="I1" s="3491"/>
      <c r="J1" s="3491"/>
      <c r="K1" s="3491"/>
      <c r="L1" s="3491"/>
      <c r="M1" s="3491"/>
      <c r="N1" s="3491"/>
      <c r="O1" s="3491"/>
      <c r="P1" s="3491"/>
      <c r="Q1" s="3491"/>
      <c r="R1" s="3491"/>
      <c r="S1" s="3492"/>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ht="25.5">
      <c r="A2" s="2234"/>
      <c r="B2" s="948" t="s">
        <v>2306</v>
      </c>
      <c r="C2" s="949" t="str">
        <f t="shared" ref="C2:L2" si="0">C3&amp;"(含)"&amp;"-"&amp;D3</f>
        <v>0(含)-3000</v>
      </c>
      <c r="D2" s="950" t="str">
        <f t="shared" si="0"/>
        <v>3000(含)-5000</v>
      </c>
      <c r="E2" s="950" t="str">
        <f t="shared" si="0"/>
        <v>5000(含)-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v>0</v>
      </c>
      <c r="D3" s="954">
        <v>3000</v>
      </c>
      <c r="E3" s="954">
        <v>5000</v>
      </c>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15" t="s">
        <v>2926</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17" t="s">
        <v>2925</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7" t="s">
        <v>2924</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16"/>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15" t="s">
        <v>2939</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15" t="s">
        <v>2923</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15" t="s">
        <v>2922</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v>1</v>
      </c>
      <c r="D17" s="2279">
        <v>2</v>
      </c>
      <c r="E17" s="2279">
        <v>3</v>
      </c>
      <c r="F17" s="2279">
        <v>4</v>
      </c>
      <c r="G17" s="2279">
        <v>5</v>
      </c>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v>100</v>
      </c>
      <c r="D18" s="2291">
        <v>60</v>
      </c>
      <c r="E18" s="2291">
        <v>50</v>
      </c>
      <c r="F18" s="2291">
        <v>45</v>
      </c>
      <c r="G18" s="2291">
        <v>40</v>
      </c>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829</v>
      </c>
      <c r="B20" s="775">
        <f>S22</f>
        <v>24101</v>
      </c>
      <c r="C20" s="1989"/>
      <c r="D20" s="1989"/>
      <c r="E20" s="1989"/>
      <c r="F20" s="1989"/>
      <c r="G20" s="1989"/>
      <c r="H20" s="1989"/>
      <c r="I20" s="1989"/>
      <c r="J20" s="1989"/>
      <c r="K20" s="1989"/>
      <c r="L20" s="1989"/>
      <c r="M20" s="1989"/>
      <c r="N20" s="1989"/>
      <c r="O20" s="1989"/>
      <c r="P20" s="1989"/>
      <c r="Q20" s="1989"/>
      <c r="R20" s="2224"/>
      <c r="S20" s="2027"/>
    </row>
    <row r="21" spans="1:45" ht="15.75">
      <c r="A21" s="959" t="s">
        <v>830</v>
      </c>
      <c r="B21" s="775">
        <f>R22</f>
        <v>16067</v>
      </c>
      <c r="C21" s="1989"/>
      <c r="D21" s="1989"/>
      <c r="E21" s="1989"/>
      <c r="F21" s="1989"/>
      <c r="G21" s="1989"/>
      <c r="H21" s="1989"/>
      <c r="I21" s="1989"/>
      <c r="J21" s="1989"/>
      <c r="K21" s="1989"/>
      <c r="L21" s="1989"/>
      <c r="M21" s="1989"/>
      <c r="N21" s="1989"/>
      <c r="O21" s="1989"/>
      <c r="P21" s="1989"/>
      <c r="Q21" s="1989"/>
      <c r="R21" s="2224"/>
      <c r="S21" s="2027"/>
    </row>
    <row r="22" spans="1:45">
      <c r="A22" s="799" t="s">
        <v>831</v>
      </c>
      <c r="B22" s="53">
        <f>SUM(B24:B10000)</f>
        <v>15000</v>
      </c>
      <c r="C22" s="3487" t="s">
        <v>20</v>
      </c>
      <c r="D22" s="3488"/>
      <c r="E22" s="3488"/>
      <c r="F22" s="3488"/>
      <c r="G22" s="3488"/>
      <c r="H22" s="3488"/>
      <c r="I22" s="3488"/>
      <c r="J22" s="3488"/>
      <c r="K22" s="3488"/>
      <c r="L22" s="3488"/>
      <c r="M22" s="3488"/>
      <c r="N22" s="3488"/>
      <c r="O22" s="3488"/>
      <c r="P22" s="3488"/>
      <c r="Q22" s="3489"/>
      <c r="R22" s="490">
        <f>ROUND(S22*10000/B22,0)</f>
        <v>16067</v>
      </c>
      <c r="S22" s="53">
        <f>SUM(S24:S10000)</f>
        <v>24101</v>
      </c>
    </row>
    <row r="23" spans="1:45" s="1613"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4" customFormat="1">
      <c r="A24" s="3197" t="s">
        <v>3144</v>
      </c>
      <c r="B24" s="960">
        <v>3000</v>
      </c>
      <c r="C24" s="961">
        <v>1</v>
      </c>
      <c r="D24" s="962"/>
      <c r="E24" s="961">
        <v>1</v>
      </c>
      <c r="F24" s="962"/>
      <c r="G24" s="961">
        <v>1</v>
      </c>
      <c r="H24" s="962"/>
      <c r="I24" s="961">
        <v>1</v>
      </c>
      <c r="J24" s="962"/>
      <c r="K24" s="961">
        <v>1</v>
      </c>
      <c r="L24" s="962"/>
      <c r="M24" s="961">
        <v>1</v>
      </c>
      <c r="N24" s="962"/>
      <c r="O24" s="961">
        <v>1</v>
      </c>
      <c r="P24" s="962">
        <v>1</v>
      </c>
      <c r="Q24" s="961">
        <v>1</v>
      </c>
      <c r="R24" s="963">
        <f>'不动产比较法-商业'!B3</f>
        <v>27232</v>
      </c>
      <c r="S24" s="961">
        <f t="shared" ref="S24:S54" si="11">ROUND(R24*B24/10000,0)</f>
        <v>8170</v>
      </c>
      <c r="T24" s="1972"/>
      <c r="U24" s="1972"/>
      <c r="V24" s="1972"/>
      <c r="W24" s="1972"/>
      <c r="X24" s="1972"/>
      <c r="Y24" s="1972"/>
      <c r="Z24" s="1972"/>
      <c r="AA24" s="1972"/>
      <c r="AB24" s="1972"/>
      <c r="AC24" s="1972"/>
      <c r="AD24" s="1972"/>
      <c r="AE24" s="1972"/>
      <c r="AF24" s="1972"/>
      <c r="AG24" s="1972"/>
      <c r="AH24" s="1972"/>
      <c r="AI24" s="1972"/>
    </row>
    <row r="25" spans="1:45">
      <c r="A25" s="3197" t="s">
        <v>3145</v>
      </c>
      <c r="B25" s="960">
        <v>3000</v>
      </c>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v>2</v>
      </c>
      <c r="Q25" s="53">
        <f>(SUMIF($17:$17,P25,$18:$18)-SUMIF($17:$17,$P$24,$18:$18)+100)/100</f>
        <v>0.6</v>
      </c>
      <c r="R25" s="490">
        <f>IF(B25="",0,ROUND($R$24*C25*E25*G25*I25*K25*M25*O25*Q25,0))</f>
        <v>16339</v>
      </c>
      <c r="S25" s="799">
        <f t="shared" si="11"/>
        <v>4902</v>
      </c>
    </row>
    <row r="26" spans="1:45">
      <c r="A26" s="3197" t="s">
        <v>3146</v>
      </c>
      <c r="B26" s="960">
        <v>3000</v>
      </c>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v>3</v>
      </c>
      <c r="Q26" s="53">
        <f t="shared" ref="Q26:Q89" si="19">(SUMIF($17:$17,P26,$18:$18)-SUMIF($17:$17,$P$24,$18:$18)+100)/100</f>
        <v>0.5</v>
      </c>
      <c r="R26" s="490">
        <f t="shared" ref="R26:R89" si="20">IF(B26="",0,ROUND($R$24*C26*E26*G26*I26*K26*M26*O26*Q26,0))</f>
        <v>13616</v>
      </c>
      <c r="S26" s="799">
        <f t="shared" si="11"/>
        <v>4085</v>
      </c>
    </row>
    <row r="27" spans="1:45">
      <c r="A27" s="3197" t="s">
        <v>3147</v>
      </c>
      <c r="B27" s="960">
        <v>3000</v>
      </c>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v>4</v>
      </c>
      <c r="Q27" s="53">
        <f t="shared" si="19"/>
        <v>0.45</v>
      </c>
      <c r="R27" s="490">
        <f t="shared" si="20"/>
        <v>12254</v>
      </c>
      <c r="S27" s="799">
        <f t="shared" si="11"/>
        <v>3676</v>
      </c>
    </row>
    <row r="28" spans="1:45">
      <c r="A28" s="3197" t="s">
        <v>3148</v>
      </c>
      <c r="B28" s="960">
        <v>3000</v>
      </c>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v>5</v>
      </c>
      <c r="Q28" s="53">
        <f t="shared" si="19"/>
        <v>0.4</v>
      </c>
      <c r="R28" s="490">
        <f t="shared" si="20"/>
        <v>10893</v>
      </c>
      <c r="S28" s="799">
        <f t="shared" si="11"/>
        <v>3268</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0</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0</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0</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0</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0</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0</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0</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0</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0</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0</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0</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0</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0</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0</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0</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0</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0</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0</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0</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0</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0</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0</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0</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0</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0</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0</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0</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0</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0</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0</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0</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0</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0</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0</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0</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0</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0</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0</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0</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0</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0</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0</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0</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0</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0</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0</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0</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0</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0</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0</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0</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0</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0</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0</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0</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0</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0</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0</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0</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0</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0</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0</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0</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0</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0</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0</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0</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0</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0</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0</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0</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0</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0</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0</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0</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0</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0</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0</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0</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0</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0</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0</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0</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0</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0</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0</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0</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0</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0</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0</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0</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0</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0</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0</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0</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0</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0</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0</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0</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0</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0</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0</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0</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0</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0</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0</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0</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0</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0</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0</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0</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0</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0</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0</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0</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0</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0</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0</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0</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0</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0</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0</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0</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0</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0</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0</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0</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0</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0</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0</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0</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0</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0</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0</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0</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0</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0</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0</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0</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0</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0</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0</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0</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0</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0</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0</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0</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0</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0</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0</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0</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0</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0</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0</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0</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0</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0</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0</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0</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0</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0</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0</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0</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0</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0</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0</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0</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0</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0</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0</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0</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0</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0</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0</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0</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0</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0</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0</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0</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0</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0</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0</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0</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0</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0</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0</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0</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0</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0</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0</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0</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0</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0</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0</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0</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0</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0</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0</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0</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0</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0</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0</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0</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0</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0</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0</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0</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0</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0</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0</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0</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0</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0</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0</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0</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0</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0</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0</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0</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0</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0</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0</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0</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0</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0</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0</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0</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0</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0</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0</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0</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0</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0</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0</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0</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0</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0</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0</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0</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0</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0</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0</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0</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0</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0</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0</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0</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0</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0</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0</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0</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0</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0</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0</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0</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0</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0</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0</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0</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0</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0</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0</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0</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0</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0</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0</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0</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0</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0</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0</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0</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0</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0</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0</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0</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0</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0</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0</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0</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0</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0</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0</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0</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0</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0</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0</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0</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0</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0</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0</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0</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0</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0</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0</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0</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0</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0</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0</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0</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0</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0</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0</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0</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0</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0</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0</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0</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0</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0</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0</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0</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0</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0</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0</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0</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0</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0</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0</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0</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0</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0</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0</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0</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0</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0</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0</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0</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0</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0</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0</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0</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0</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0</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0</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0</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0</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0</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0</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0</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0</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0</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0</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0</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0</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0</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0</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0</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0</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0</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0</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0</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0</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0</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0</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0</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0</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0</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0</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0</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0</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0</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0</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0</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0</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0</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0</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0</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0</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0</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0</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0</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0</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0</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0</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0</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0</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0</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0</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0</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0</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0</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0</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0</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0</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0</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0</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0</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0</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0</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0</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0</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0</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0</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0</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0</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0</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0</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0</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0</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0</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0</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0</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0</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0</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0</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0</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0</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0</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0</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0</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0</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0</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0</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0</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0</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0</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0</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0</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0</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0</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0</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0</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0</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0</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0</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0</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0</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0</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0</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0</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0</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0</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0</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0</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0</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0</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0</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0</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0</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0</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0</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0</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0</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0</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0</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0</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0</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0</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0</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0</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0</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0</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0</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0</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0</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0</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0</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0</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0</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0</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0</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0</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0</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0</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0</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0</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0</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0</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0</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0</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0</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0</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0</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0</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0</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0</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0</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0</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0</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0</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0</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0</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0</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0</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0</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0</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0</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0</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0</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0</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0</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0</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0</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0</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0</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0</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sheetPr>
    <tabColor rgb="FF92D050"/>
    <pageSetUpPr fitToPage="1"/>
  </sheetPr>
  <dimension ref="A1:AG76"/>
  <sheetViews>
    <sheetView zoomScale="80" zoomScaleNormal="80" workbookViewId="0">
      <selection activeCell="D3" sqref="D3"/>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1678</v>
      </c>
      <c r="D1" s="3157" t="s">
        <v>3114</v>
      </c>
      <c r="E1" s="2410" t="s">
        <v>2372</v>
      </c>
      <c r="F1" s="2411">
        <f ca="1">J53</f>
        <v>37.479999999999997</v>
      </c>
      <c r="G1" s="774">
        <f>MATCH(C1,'数据-取费表'!A6:A16,0)+5</f>
        <v>9</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7351</v>
      </c>
      <c r="C2" s="2056"/>
      <c r="D2" s="2054"/>
      <c r="E2" s="2055"/>
      <c r="F2" s="2055"/>
      <c r="G2" s="1589"/>
      <c r="H2" s="2056"/>
      <c r="I2" s="2056"/>
      <c r="J2" s="2056"/>
      <c r="K2" s="2057"/>
      <c r="L2" s="2056"/>
      <c r="M2" s="2056"/>
    </row>
    <row r="3" spans="1:33" ht="18" customHeight="1" thickBot="1">
      <c r="A3" s="833" t="s">
        <v>1728</v>
      </c>
      <c r="B3" s="834">
        <f ca="1">IF(ISERROR(B2*10000/F43),0,ROUND(B2*10000/F43,0))</f>
        <v>4901</v>
      </c>
      <c r="C3" s="2056"/>
      <c r="D3" s="2054"/>
      <c r="E3" s="2055"/>
      <c r="F3" s="2055"/>
      <c r="G3" s="1589"/>
      <c r="H3" s="776" t="s">
        <v>696</v>
      </c>
      <c r="I3" s="1362"/>
      <c r="J3" s="1362"/>
      <c r="K3" s="1590"/>
      <c r="L3" s="1362"/>
      <c r="M3" s="1362"/>
    </row>
    <row r="4" spans="1:33" ht="18" customHeight="1">
      <c r="A4" s="777" t="s">
        <v>1729</v>
      </c>
      <c r="B4" s="778" t="s">
        <v>1730</v>
      </c>
      <c r="C4" s="778" t="s">
        <v>1731</v>
      </c>
      <c r="D4" s="778" t="s">
        <v>634</v>
      </c>
      <c r="E4" s="779" t="s">
        <v>1732</v>
      </c>
      <c r="F4" s="780"/>
      <c r="G4" s="1591"/>
      <c r="H4" s="777" t="s">
        <v>1733</v>
      </c>
      <c r="I4" s="778" t="s">
        <v>1734</v>
      </c>
      <c r="J4" s="778" t="s">
        <v>1735</v>
      </c>
      <c r="K4" s="778" t="s">
        <v>1736</v>
      </c>
      <c r="L4" s="779" t="s">
        <v>1737</v>
      </c>
      <c r="M4" s="780"/>
    </row>
    <row r="5" spans="1:33" ht="18" customHeight="1">
      <c r="A5" s="781">
        <v>1</v>
      </c>
      <c r="B5" s="782" t="s">
        <v>2457</v>
      </c>
      <c r="C5" s="55">
        <f ca="1">C6+C10+C12</f>
        <v>466</v>
      </c>
      <c r="D5" s="2519" t="s">
        <v>2460</v>
      </c>
      <c r="E5" s="2513"/>
      <c r="F5" s="2514"/>
      <c r="G5" s="1591"/>
      <c r="H5" s="781">
        <v>1</v>
      </c>
      <c r="I5" s="782" t="s">
        <v>2457</v>
      </c>
      <c r="J5" s="55">
        <f ca="1">J6+J10+J12</f>
        <v>0</v>
      </c>
      <c r="K5" s="2519" t="s">
        <v>2460</v>
      </c>
      <c r="L5" s="2513"/>
      <c r="M5" s="2514"/>
    </row>
    <row r="6" spans="1:33" ht="18" customHeight="1">
      <c r="A6" s="1829" t="s">
        <v>1825</v>
      </c>
      <c r="B6" s="3443" t="s">
        <v>2462</v>
      </c>
      <c r="C6" s="783">
        <f ca="1">ROUND(F6*F8*F7*(1-F9)/10000,0)</f>
        <v>465</v>
      </c>
      <c r="D6" s="2520" t="s">
        <v>2461</v>
      </c>
      <c r="E6" s="784" t="s">
        <v>1739</v>
      </c>
      <c r="F6" s="785">
        <f ca="1">INDIRECT("'数据-取费表'!u"&amp;$G$1)</f>
        <v>1</v>
      </c>
      <c r="G6" s="1591"/>
      <c r="H6" s="2527" t="s">
        <v>2468</v>
      </c>
      <c r="I6" s="3443" t="s">
        <v>2462</v>
      </c>
      <c r="J6" s="783">
        <f ca="1">ROUND(M6*M8*M7*(1-M9)/10000,0)</f>
        <v>0</v>
      </c>
      <c r="K6" s="341" t="s">
        <v>1738</v>
      </c>
      <c r="L6" s="784" t="s">
        <v>1739</v>
      </c>
      <c r="M6" s="785">
        <f ca="1">INDIRECT("'数据-取费表'!z"&amp;$G$1)</f>
        <v>0</v>
      </c>
    </row>
    <row r="7" spans="1:33" ht="18" customHeight="1">
      <c r="A7" s="2523"/>
      <c r="B7" s="3444"/>
      <c r="C7" s="788"/>
      <c r="D7" s="789"/>
      <c r="E7" s="784" t="s">
        <v>1740</v>
      </c>
      <c r="F7" s="785">
        <f ca="1">IF(INDIRECT("'数据-取费表'!ah"&amp;$G$1)="",INDIRECT("'数据-取费表'!k"&amp;$G$1),INDIRECT("'数据-取费表'!ah"&amp;$G$1))</f>
        <v>15000</v>
      </c>
      <c r="G7" s="1591"/>
      <c r="H7" s="2512"/>
      <c r="I7" s="3444"/>
      <c r="J7" s="788"/>
      <c r="K7" s="789"/>
      <c r="L7" s="784" t="s">
        <v>1740</v>
      </c>
      <c r="M7" s="785">
        <f ca="1">F7</f>
        <v>15000</v>
      </c>
    </row>
    <row r="8" spans="1:33" ht="18" customHeight="1">
      <c r="A8" s="2516"/>
      <c r="B8" s="3445"/>
      <c r="C8" s="788"/>
      <c r="D8" s="789"/>
      <c r="E8" s="784" t="s">
        <v>1741</v>
      </c>
      <c r="F8" s="785">
        <f ca="1">INDIRECT("'数据-取费表'!ai"&amp;$G$1)</f>
        <v>365</v>
      </c>
      <c r="G8" s="1591"/>
      <c r="H8" s="2512"/>
      <c r="I8" s="3445"/>
      <c r="J8" s="788"/>
      <c r="K8" s="789"/>
      <c r="L8" s="784" t="s">
        <v>1741</v>
      </c>
      <c r="M8" s="785">
        <f ca="1">INDIRECT("'数据-取费表'!ai"&amp;$G$1)</f>
        <v>365</v>
      </c>
    </row>
    <row r="9" spans="1:33" ht="18" customHeight="1">
      <c r="A9" s="786"/>
      <c r="B9" s="3446"/>
      <c r="C9" s="788"/>
      <c r="D9" s="789"/>
      <c r="E9" s="784" t="s">
        <v>1742</v>
      </c>
      <c r="F9" s="794">
        <f ca="1">INDIRECT("'数据-取费表'!w"&amp;$G$1)</f>
        <v>0.15</v>
      </c>
      <c r="G9" s="1591"/>
      <c r="H9" s="2528"/>
      <c r="I9" s="3445"/>
      <c r="J9" s="788"/>
      <c r="K9" s="789"/>
      <c r="L9" s="795" t="s">
        <v>1742</v>
      </c>
      <c r="M9" s="796">
        <f ca="1">INDIRECT("'数据-取费表'!ab"&amp;$G$1)</f>
        <v>0</v>
      </c>
    </row>
    <row r="10" spans="1:33" ht="18" customHeight="1">
      <c r="A10" s="1829" t="s">
        <v>2466</v>
      </c>
      <c r="B10" s="2517" t="s">
        <v>2458</v>
      </c>
      <c r="C10" s="799">
        <f ca="1">ROUND(IF(F10="押一",F6*F8*F7/12*F11,IF(F10="押二",F6*F8*F7/12*2*F11,IF(F10="押三",F6*F8*F7/12*3*F11,C11*F11)))/10000,0)</f>
        <v>1</v>
      </c>
      <c r="D10" s="2524" t="s">
        <v>2465</v>
      </c>
      <c r="E10" s="2521" t="s">
        <v>2463</v>
      </c>
      <c r="F10" s="2644" t="s">
        <v>3113</v>
      </c>
      <c r="G10" s="1591"/>
      <c r="H10" s="2584" t="s">
        <v>2466</v>
      </c>
      <c r="I10" s="2589" t="s">
        <v>2458</v>
      </c>
      <c r="J10" s="783">
        <f ca="1">ROUND(IF(M10="押一",M6*M8*M7/12*M11,IF(M10="押二",M6*M8*M7/12*2*M11,IF(M10="押三",M6*M8*M7/12*3*M11,J11*M11)))/10000,0)</f>
        <v>0</v>
      </c>
      <c r="K10" s="2524" t="s">
        <v>2465</v>
      </c>
      <c r="L10" s="2521" t="s">
        <v>2463</v>
      </c>
      <c r="M10" s="2644"/>
    </row>
    <row r="11" spans="1:33" ht="18" customHeight="1">
      <c r="A11" s="790"/>
      <c r="B11" s="2518" t="s">
        <v>2573</v>
      </c>
      <c r="C11" s="2522"/>
      <c r="D11" s="789"/>
      <c r="E11" s="2521" t="s">
        <v>2464</v>
      </c>
      <c r="F11" s="796">
        <f ca="1">'数据-取费表'!B39</f>
        <v>1.4999999999999999E-2</v>
      </c>
      <c r="G11" s="1591"/>
      <c r="H11" s="2585"/>
      <c r="I11" s="2518" t="s">
        <v>2573</v>
      </c>
      <c r="J11" s="2522"/>
      <c r="K11" s="2586"/>
      <c r="L11" s="2521" t="s">
        <v>2464</v>
      </c>
      <c r="M11" s="2515">
        <f ca="1">'数据-取费表'!B39</f>
        <v>1.4999999999999999E-2</v>
      </c>
    </row>
    <row r="12" spans="1:33" ht="18" customHeight="1" thickBot="1">
      <c r="A12" s="2560" t="s">
        <v>2467</v>
      </c>
      <c r="B12" s="2561" t="s">
        <v>2459</v>
      </c>
      <c r="C12" s="2562"/>
      <c r="D12" s="2563"/>
      <c r="E12" s="2564"/>
      <c r="F12" s="2565"/>
      <c r="G12" s="1591"/>
      <c r="H12" s="2574" t="s">
        <v>2467</v>
      </c>
      <c r="I12" s="2587" t="s">
        <v>2459</v>
      </c>
      <c r="J12" s="2588"/>
      <c r="K12" s="2563"/>
      <c r="L12" s="2564"/>
      <c r="M12" s="2577"/>
    </row>
    <row r="13" spans="1:33" ht="18" customHeight="1" thickTop="1">
      <c r="A13" s="1828">
        <v>2</v>
      </c>
      <c r="B13" s="1826" t="s">
        <v>1743</v>
      </c>
      <c r="C13" s="792">
        <f ca="1">ROUND(C29*F13,0)</f>
        <v>0</v>
      </c>
      <c r="D13" s="1833" t="s">
        <v>2297</v>
      </c>
      <c r="E13" s="1833" t="s">
        <v>1745</v>
      </c>
      <c r="F13" s="2559">
        <f ca="1">INDIRECT("'数据-取费表'!y"&amp;$G$1)</f>
        <v>0</v>
      </c>
      <c r="G13" s="1591"/>
      <c r="H13" s="1828">
        <v>2</v>
      </c>
      <c r="I13" s="1826" t="s">
        <v>1743</v>
      </c>
      <c r="J13" s="1818">
        <f ca="1">ROUND(J14*J15,0)</f>
        <v>0</v>
      </c>
      <c r="K13" s="1820" t="s">
        <v>1744</v>
      </c>
      <c r="L13" s="2575"/>
      <c r="M13" s="2576"/>
    </row>
    <row r="14" spans="1:33" ht="18" customHeight="1">
      <c r="A14" s="1647" t="s">
        <v>1885</v>
      </c>
      <c r="B14" s="784" t="s">
        <v>646</v>
      </c>
      <c r="C14" s="804">
        <f ca="1">INDIRECT("'数据-取费表'!m"&amp;$G$1)+INDIRECT("'数据-取费表'!t"&amp;$G$1)</f>
        <v>3300</v>
      </c>
      <c r="D14" s="3167" t="s">
        <v>1746</v>
      </c>
      <c r="E14" s="3166"/>
      <c r="F14" s="805"/>
      <c r="G14" s="1591"/>
      <c r="H14" s="1648" t="s">
        <v>1831</v>
      </c>
      <c r="I14" s="2230" t="s">
        <v>2826</v>
      </c>
      <c r="J14" s="53">
        <f ca="1">C29</f>
        <v>4835</v>
      </c>
      <c r="K14" s="26"/>
      <c r="L14" s="801"/>
      <c r="M14" s="802"/>
    </row>
    <row r="15" spans="1:33" s="2063" customFormat="1" ht="18" customHeight="1" thickBot="1">
      <c r="A15" s="1647" t="s">
        <v>1886</v>
      </c>
      <c r="B15" s="784" t="s">
        <v>648</v>
      </c>
      <c r="C15" s="53">
        <f ca="1">ROUND(C14*F15,0)</f>
        <v>99</v>
      </c>
      <c r="D15" s="806" t="s">
        <v>1747</v>
      </c>
      <c r="E15" s="806" t="s">
        <v>1748</v>
      </c>
      <c r="F15" s="807">
        <f>'数据-取费表'!B33</f>
        <v>0.03</v>
      </c>
      <c r="G15" s="1592"/>
      <c r="H15" s="2574" t="s">
        <v>1890</v>
      </c>
      <c r="I15" s="2569" t="s">
        <v>1745</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4" t="s">
        <v>651</v>
      </c>
      <c r="C16" s="53">
        <f ca="1">ROUND(INDIRECT("'数据-取费表'!m"&amp;$G$1)*F16,0)</f>
        <v>0</v>
      </c>
      <c r="D16" s="784" t="s">
        <v>1747</v>
      </c>
      <c r="E16" s="784" t="s">
        <v>1748</v>
      </c>
      <c r="F16" s="809">
        <f ca="1">IF(INDIRECT("'数据-取费表'!c"&amp;$G$1)="住宅",'数据-取费表'!B34,0)</f>
        <v>0</v>
      </c>
      <c r="G16" s="1591"/>
      <c r="H16" s="1828" t="s">
        <v>1749</v>
      </c>
      <c r="I16" s="1826" t="s">
        <v>1750</v>
      </c>
      <c r="J16" s="792">
        <f ca="1">ROUND(J17+J22+J23+J24,0)</f>
        <v>121</v>
      </c>
      <c r="K16" s="1820" t="s">
        <v>1751</v>
      </c>
      <c r="L16" s="3169"/>
      <c r="M16" s="2514"/>
    </row>
    <row r="17" spans="1:33" s="2063" customFormat="1" ht="18" customHeight="1">
      <c r="A17" s="1647" t="s">
        <v>1888</v>
      </c>
      <c r="B17" s="784" t="s">
        <v>654</v>
      </c>
      <c r="C17" s="53">
        <f ca="1">ROUND(F17*(F43+INDIRECT("'数据-取费表'!S"&amp;$G$1))/10000,0)</f>
        <v>300</v>
      </c>
      <c r="D17" s="784" t="s">
        <v>1752</v>
      </c>
      <c r="E17" s="784" t="s">
        <v>1753</v>
      </c>
      <c r="F17" s="56">
        <f>'数据-取费表'!B35</f>
        <v>200</v>
      </c>
      <c r="G17" s="1592"/>
      <c r="H17" s="1648" t="s">
        <v>1831</v>
      </c>
      <c r="I17" s="784" t="s">
        <v>657</v>
      </c>
      <c r="J17" s="53">
        <f ca="1">ROUND(IF(项目基本情况!B11="自然人",J5*M17,J18+J19+J20),0)</f>
        <v>48</v>
      </c>
      <c r="K17" s="3167" t="s">
        <v>1754</v>
      </c>
      <c r="L17" s="3168" t="s">
        <v>1755</v>
      </c>
      <c r="M17" s="810"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660</v>
      </c>
      <c r="C18" s="53">
        <f ca="1">ROUND(C14*F18,0)</f>
        <v>50</v>
      </c>
      <c r="D18" s="784" t="s">
        <v>1747</v>
      </c>
      <c r="E18" s="784" t="s">
        <v>1748</v>
      </c>
      <c r="F18" s="809">
        <f>'数据-取费表'!B36</f>
        <v>1.4999999999999999E-2</v>
      </c>
      <c r="G18" s="1592"/>
      <c r="H18" s="1647" t="s">
        <v>1885</v>
      </c>
      <c r="I18" s="784" t="s">
        <v>1756</v>
      </c>
      <c r="J18" s="53">
        <f ca="1">ROUND(J5*M18/1.05,1)</f>
        <v>0</v>
      </c>
      <c r="K18" s="3168" t="s">
        <v>1757</v>
      </c>
      <c r="L18" s="784" t="s">
        <v>1748</v>
      </c>
      <c r="M18" s="809">
        <f>'数据-取费表'!B41</f>
        <v>6.1600000000000002E-2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4" t="s">
        <v>663</v>
      </c>
      <c r="C19" s="53">
        <f ca="1">SUM(C14:C18)</f>
        <v>3749</v>
      </c>
      <c r="D19" s="261" t="s">
        <v>1758</v>
      </c>
      <c r="E19" s="3170"/>
      <c r="F19" s="56"/>
      <c r="G19" s="1591"/>
      <c r="H19" s="1647" t="s">
        <v>1886</v>
      </c>
      <c r="I19" s="784" t="s">
        <v>1759</v>
      </c>
      <c r="J19" s="53">
        <f ca="1">IF(K19="按租金收入计税",ROUND(J5*M19,1),ROUND(C29*F33*0.7,1))</f>
        <v>40.6</v>
      </c>
      <c r="K19" s="811" t="s">
        <v>666</v>
      </c>
      <c r="L19" s="784" t="s">
        <v>1748</v>
      </c>
      <c r="M19" s="809">
        <f>IF(K19="按租金收入计税",'数据-取费表'!B51,'数据-取费表'!B50)</f>
        <v>1.2E-2</v>
      </c>
    </row>
    <row r="20" spans="1:33" s="2063" customFormat="1" ht="18" customHeight="1">
      <c r="A20" s="1648" t="s">
        <v>1890</v>
      </c>
      <c r="B20" s="784" t="s">
        <v>667</v>
      </c>
      <c r="C20" s="53">
        <f ca="1">ROUND(C19*F20,0)</f>
        <v>56</v>
      </c>
      <c r="D20" s="812" t="s">
        <v>1760</v>
      </c>
      <c r="E20" s="784" t="s">
        <v>1748</v>
      </c>
      <c r="F20" s="809">
        <f>'数据-取费表'!B37</f>
        <v>1.4999999999999999E-2</v>
      </c>
      <c r="G20" s="1592"/>
      <c r="H20" s="1650" t="s">
        <v>1881</v>
      </c>
      <c r="I20" s="341" t="s">
        <v>1761</v>
      </c>
      <c r="J20" s="54">
        <f ca="1">ROUND(M20*M21/10000,0)</f>
        <v>7</v>
      </c>
      <c r="K20" s="814" t="s">
        <v>1762</v>
      </c>
      <c r="L20" s="784" t="s">
        <v>1763</v>
      </c>
      <c r="M20" s="640">
        <f>'数据-取费表'!B52</f>
        <v>12</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1764</v>
      </c>
      <c r="C21" s="53" t="s">
        <v>1765</v>
      </c>
      <c r="D21" s="812" t="s">
        <v>2298</v>
      </c>
      <c r="E21" s="784" t="s">
        <v>1766</v>
      </c>
      <c r="F21" s="809">
        <f>'数据-取费表'!B38</f>
        <v>2.5000000000000001E-2</v>
      </c>
      <c r="G21" s="1592"/>
      <c r="H21" s="2529"/>
      <c r="I21" s="793"/>
      <c r="J21" s="69"/>
      <c r="K21" s="816"/>
      <c r="L21" s="784" t="s">
        <v>1767</v>
      </c>
      <c r="M21" s="785">
        <f ca="1">INDIRECT("'数据-取费表'!r"&amp;$G$1)</f>
        <v>5999.97</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1768</v>
      </c>
      <c r="C22" s="53"/>
      <c r="D22" s="2595" t="str">
        <f>IF(F23&lt;=1,"单利计息。","复利计息。")&amp;"建造成本、管理费用、销售费用产生的利息。"</f>
        <v>复利计息。建造成本、管理费用、销售费用产生的利息。</v>
      </c>
      <c r="E22" s="3170"/>
      <c r="F22" s="56"/>
      <c r="G22" s="1591"/>
      <c r="H22" s="1648" t="s">
        <v>1890</v>
      </c>
      <c r="I22" s="784" t="s">
        <v>1769</v>
      </c>
      <c r="J22" s="53">
        <f ca="1">ROUND(J14*M22,0)</f>
        <v>73</v>
      </c>
      <c r="K22" s="3168" t="s">
        <v>1770</v>
      </c>
      <c r="L22" s="784" t="s">
        <v>1748</v>
      </c>
      <c r="M22" s="817">
        <f ca="1">INDIRECT("'数据-取费表'!Ak"&amp;$G$1)</f>
        <v>1.4999999999999999E-2</v>
      </c>
    </row>
    <row r="23" spans="1:33" s="2063" customFormat="1" ht="18" customHeight="1">
      <c r="A23" s="1647" t="s">
        <v>1832</v>
      </c>
      <c r="B23" s="784" t="s">
        <v>2535</v>
      </c>
      <c r="C23" s="53">
        <f ca="1">ROUND(IF('数据-取费表'!B22&lt;=1,(C19+C20)*F24*F23/2,(C19+C20)*(POWER((1+F24),F23/2)-1)),0)</f>
        <v>227</v>
      </c>
      <c r="D23" s="2594" t="str">
        <f>IF(F23&lt;=1,"(建造成本+管理费用)×利率×(建设周期÷2)","(建造成本+管理费用)×((1+利率)^(建设周期÷2)-1)")</f>
        <v>(建造成本+管理费用)×((1+利率)^(建设周期÷2)-1)</v>
      </c>
      <c r="E23" s="784" t="s">
        <v>1771</v>
      </c>
      <c r="F23" s="640">
        <f>'数据-取费表'!B20</f>
        <v>2.5</v>
      </c>
      <c r="G23" s="1592"/>
      <c r="H23" s="1648" t="s">
        <v>1891</v>
      </c>
      <c r="I23" s="784" t="s">
        <v>680</v>
      </c>
      <c r="J23" s="53">
        <f ca="1">ROUND(J13*M23,0)</f>
        <v>0</v>
      </c>
      <c r="K23" s="3168" t="s">
        <v>1772</v>
      </c>
      <c r="L23" s="784" t="s">
        <v>1748</v>
      </c>
      <c r="M23" s="818">
        <f ca="1">INDIRECT("'数据-取费表'!Al"&amp;$G$1)</f>
        <v>2E-3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1.5E-3</v>
      </c>
      <c r="D24" s="2594" t="str">
        <f>IF(F23&lt;=1,"销售费用×利率×(建设周期÷2)","销售费用×((1+利率)^(建设周期÷2)-1)")</f>
        <v>销售费用×((1+利率)^(建设周期÷2)-1)</v>
      </c>
      <c r="E24" s="784" t="s">
        <v>1774</v>
      </c>
      <c r="F24" s="819">
        <f ca="1">'数据-取费表'!B40</f>
        <v>4.7500000000000001E-2</v>
      </c>
      <c r="G24" s="1592"/>
      <c r="H24" s="2574" t="s">
        <v>1892</v>
      </c>
      <c r="I24" s="2569" t="s">
        <v>667</v>
      </c>
      <c r="J24" s="2567">
        <f ca="1">ROUND(J5*M24,0)</f>
        <v>0</v>
      </c>
      <c r="K24" s="2568" t="s">
        <v>1775</v>
      </c>
      <c r="L24" s="2569" t="s">
        <v>1748</v>
      </c>
      <c r="M24" s="2565">
        <f ca="1">INDIRECT("'数据-取费表'!Am"&amp;$G$1)</f>
        <v>0.02</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685</v>
      </c>
      <c r="C25" s="53"/>
      <c r="D25" s="261" t="s">
        <v>1776</v>
      </c>
      <c r="E25" s="3170"/>
      <c r="F25" s="56"/>
      <c r="G25" s="1591"/>
      <c r="H25" s="1828" t="s">
        <v>1777</v>
      </c>
      <c r="I25" s="3035" t="s">
        <v>2823</v>
      </c>
      <c r="J25" s="792">
        <f ca="1">J5-J16</f>
        <v>-121</v>
      </c>
      <c r="K25" s="2571" t="s">
        <v>1778</v>
      </c>
      <c r="L25" s="2572"/>
      <c r="M25" s="2573"/>
    </row>
    <row r="26" spans="1:33" ht="18" customHeight="1">
      <c r="A26" s="1647" t="s">
        <v>1832</v>
      </c>
      <c r="B26" s="784" t="s">
        <v>2436</v>
      </c>
      <c r="C26" s="53">
        <f ca="1">ROUND((C19+C20)*F26,0)</f>
        <v>381</v>
      </c>
      <c r="D26" s="812" t="s">
        <v>1779</v>
      </c>
      <c r="E26" s="795" t="s">
        <v>1780</v>
      </c>
      <c r="F26" s="794">
        <f ca="1">INDIRECT("'数据-取费表'!q"&amp;$G$1)</f>
        <v>0.1</v>
      </c>
      <c r="G26" s="1591"/>
      <c r="H26" s="2525" t="s">
        <v>1781</v>
      </c>
      <c r="I26" s="2231" t="s">
        <v>2828</v>
      </c>
      <c r="J26" s="783">
        <f ca="1">IF(J5&lt;&gt;0,ROUND(J25*(1-((1+M28)/(1+M26))^M27)/(M26-M28),0),0)</f>
        <v>0</v>
      </c>
      <c r="K26" s="814" t="s">
        <v>1782</v>
      </c>
      <c r="L26" s="784" t="s">
        <v>2417</v>
      </c>
      <c r="M26" s="794">
        <f ca="1">INDIRECT("'数据-取费表'!I"&amp;$G$1)</f>
        <v>0.05</v>
      </c>
    </row>
    <row r="27" spans="1:33" ht="18" customHeight="1">
      <c r="A27" s="1647" t="s">
        <v>1833</v>
      </c>
      <c r="B27" s="784" t="s">
        <v>687</v>
      </c>
      <c r="C27" s="53">
        <f ca="1">ROUND(F21*F26,4)</f>
        <v>2.5000000000000001E-3</v>
      </c>
      <c r="D27" s="812" t="s">
        <v>1783</v>
      </c>
      <c r="E27" s="806"/>
      <c r="F27" s="807"/>
      <c r="G27" s="1591"/>
      <c r="H27" s="2526"/>
      <c r="I27" s="787"/>
      <c r="J27" s="788"/>
      <c r="K27" s="821" t="s">
        <v>1784</v>
      </c>
      <c r="L27" s="784" t="s">
        <v>1785</v>
      </c>
      <c r="M27" s="822">
        <f ca="1">INDIRECT("'数据-取费表'!ag"&amp;$G$1)</f>
        <v>0</v>
      </c>
    </row>
    <row r="28" spans="1:33" s="2063" customFormat="1" ht="18" customHeight="1">
      <c r="A28" s="1649" t="s">
        <v>1842</v>
      </c>
      <c r="B28" s="784" t="s">
        <v>688</v>
      </c>
      <c r="C28" s="53">
        <f>ROUND(F28/(1+'数据-取费表'!C42),4)</f>
        <v>5.8299999999999998E-2</v>
      </c>
      <c r="D28" s="812" t="s">
        <v>2299</v>
      </c>
      <c r="E28" s="784" t="s">
        <v>1786</v>
      </c>
      <c r="F28" s="809">
        <f>'数据-取费表'!B41</f>
        <v>6.1600000000000002E-2</v>
      </c>
      <c r="G28" s="1592"/>
      <c r="H28" s="1828"/>
      <c r="I28" s="791"/>
      <c r="J28" s="792"/>
      <c r="K28" s="816"/>
      <c r="L28" s="784" t="s">
        <v>1787</v>
      </c>
      <c r="M28" s="794">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1893</v>
      </c>
      <c r="B29" s="2564" t="s">
        <v>2300</v>
      </c>
      <c r="C29" s="2567">
        <f ca="1">ROUND((C19+C20+C23+C26)/(1-F21-C24-C27-C28),0)</f>
        <v>4835</v>
      </c>
      <c r="D29" s="2568"/>
      <c r="E29" s="2569"/>
      <c r="F29" s="2570"/>
      <c r="G29" s="1592"/>
      <c r="H29" s="823" t="s">
        <v>1788</v>
      </c>
      <c r="I29" s="824" t="s">
        <v>1789</v>
      </c>
      <c r="J29" s="825">
        <f ca="1">ROUND(J26/(1+F40)^F41,0)</f>
        <v>0</v>
      </c>
      <c r="K29" s="826" t="s">
        <v>1790</v>
      </c>
      <c r="L29" s="827"/>
      <c r="M29" s="828">
        <f ca="1">INDIRECT("'数据-取费表'!k"&amp;$G$1)</f>
        <v>15000</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f ca="1">ROUND(C31+C36+C37+C38,0)</f>
        <v>157</v>
      </c>
      <c r="D30" s="1820" t="s">
        <v>1792</v>
      </c>
      <c r="E30" s="3169"/>
      <c r="F30" s="2514"/>
      <c r="G30" s="2061"/>
      <c r="H30" s="2064"/>
      <c r="I30" s="2065"/>
      <c r="J30" s="2066"/>
      <c r="K30" s="2067"/>
      <c r="L30" s="2068"/>
      <c r="M30" s="2069"/>
    </row>
    <row r="31" spans="1:33" ht="18" customHeight="1">
      <c r="A31" s="1648" t="s">
        <v>1831</v>
      </c>
      <c r="B31" s="784" t="s">
        <v>657</v>
      </c>
      <c r="C31" s="53">
        <f ca="1">ROUND(IF(项目基本情况!B11="自然人",C5*F31,C32+C33+C34),1)</f>
        <v>75.099999999999994</v>
      </c>
      <c r="D31" s="3167" t="s">
        <v>1793</v>
      </c>
      <c r="E31" s="3168"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1795</v>
      </c>
      <c r="C32" s="53">
        <f ca="1">ROUND(C5*F32/1.05,1)</f>
        <v>27.3</v>
      </c>
      <c r="D32" s="3168" t="s">
        <v>1796</v>
      </c>
      <c r="E32" s="784" t="s">
        <v>1797</v>
      </c>
      <c r="F32" s="809">
        <f>'数据-取费表'!B41</f>
        <v>6.1600000000000002E-2</v>
      </c>
      <c r="G32" s="2061"/>
      <c r="H32" s="2070"/>
      <c r="I32" s="2071"/>
      <c r="J32" s="2072"/>
      <c r="K32" s="2073"/>
      <c r="L32" s="2074"/>
      <c r="M32" s="2075"/>
    </row>
    <row r="33" spans="1:18" ht="18" customHeight="1">
      <c r="A33" s="1647" t="s">
        <v>1833</v>
      </c>
      <c r="B33" s="784" t="s">
        <v>1798</v>
      </c>
      <c r="C33" s="53">
        <f ca="1">IF(D33="按租金收入计税",ROUND(C5*F33,1),IF(D33="按房产原值计税",ROUND(C29*F33*0.7,1),INDIRECT("'数据-取费表'!Aj"&amp;$G$1)))</f>
        <v>40.6</v>
      </c>
      <c r="D33" s="811" t="s">
        <v>1681</v>
      </c>
      <c r="E33" s="784" t="s">
        <v>1797</v>
      </c>
      <c r="F33" s="809">
        <f>IF(D33="按租金收入计税",'数据-取费表'!B51,'数据-取费表'!B50)</f>
        <v>1.2E-2</v>
      </c>
      <c r="G33" s="2061"/>
      <c r="H33" s="2076"/>
      <c r="I33" s="2076"/>
      <c r="J33" s="2076"/>
      <c r="K33" s="2077"/>
      <c r="L33" s="2076"/>
      <c r="M33" s="2076"/>
    </row>
    <row r="34" spans="1:18" ht="18" customHeight="1">
      <c r="A34" s="1650" t="s">
        <v>1834</v>
      </c>
      <c r="B34" s="341" t="s">
        <v>1799</v>
      </c>
      <c r="C34" s="54">
        <f ca="1">ROUND(F34*F35/10000,1)</f>
        <v>7.2</v>
      </c>
      <c r="D34" s="814" t="s">
        <v>1800</v>
      </c>
      <c r="E34" s="784" t="s">
        <v>1801</v>
      </c>
      <c r="F34" s="640">
        <f>'数据-取费表'!B52</f>
        <v>12</v>
      </c>
      <c r="G34" s="2061"/>
      <c r="H34" s="2064"/>
      <c r="I34" s="835" t="s">
        <v>1814</v>
      </c>
      <c r="J34" s="836"/>
      <c r="K34" s="2079"/>
      <c r="L34" s="2078"/>
      <c r="M34" s="2078"/>
    </row>
    <row r="35" spans="1:18" ht="18" customHeight="1">
      <c r="A35" s="815"/>
      <c r="B35" s="793"/>
      <c r="C35" s="69"/>
      <c r="D35" s="816"/>
      <c r="E35" s="784" t="s">
        <v>1802</v>
      </c>
      <c r="F35" s="785">
        <f ca="1">INDIRECT("'数据-取费表'!r"&amp;$G$1)</f>
        <v>5999.97</v>
      </c>
      <c r="G35" s="2061"/>
      <c r="H35" s="2064"/>
      <c r="I35" s="837" t="s">
        <v>1815</v>
      </c>
      <c r="J35" s="838">
        <f ca="1">ROUND(C13*J36,0)</f>
        <v>0</v>
      </c>
      <c r="K35" s="2077"/>
      <c r="L35" s="2076"/>
      <c r="M35" s="2076"/>
    </row>
    <row r="36" spans="1:18" ht="18" customHeight="1">
      <c r="A36" s="1648" t="s">
        <v>1890</v>
      </c>
      <c r="B36" s="784" t="s">
        <v>1803</v>
      </c>
      <c r="C36" s="53">
        <f ca="1">ROUND(C29*F36,1)</f>
        <v>72.5</v>
      </c>
      <c r="D36" s="3168" t="s">
        <v>1804</v>
      </c>
      <c r="E36" s="784" t="s">
        <v>1797</v>
      </c>
      <c r="F36" s="817">
        <f ca="1">INDIRECT("'数据-取费表'!Ak"&amp;$G$1)</f>
        <v>1.4999999999999999E-2</v>
      </c>
      <c r="G36" s="2061"/>
      <c r="H36" s="2076"/>
      <c r="I36" s="839" t="s">
        <v>1816</v>
      </c>
      <c r="J36" s="840">
        <f ca="1">INDIRECT("'数据-取费表'!j"&amp;$G$1)</f>
        <v>0.08</v>
      </c>
      <c r="K36" s="2081"/>
      <c r="L36" s="2076"/>
      <c r="M36" s="2076"/>
    </row>
    <row r="37" spans="1:18" ht="18" customHeight="1">
      <c r="A37" s="1648" t="s">
        <v>1891</v>
      </c>
      <c r="B37" s="784" t="s">
        <v>680</v>
      </c>
      <c r="C37" s="53">
        <f ca="1">ROUND(C13*F37,1)</f>
        <v>0</v>
      </c>
      <c r="D37" s="3168" t="s">
        <v>1805</v>
      </c>
      <c r="E37" s="784" t="s">
        <v>1797</v>
      </c>
      <c r="F37" s="818">
        <f ca="1">INDIRECT("'数据-取费表'!Al"&amp;$G$1)</f>
        <v>2E-3</v>
      </c>
      <c r="G37" s="2061"/>
      <c r="H37" s="2076"/>
      <c r="I37" s="841" t="s">
        <v>1817</v>
      </c>
      <c r="J37" s="842"/>
      <c r="K37" s="2081"/>
      <c r="L37" s="2076"/>
      <c r="M37" s="2076"/>
    </row>
    <row r="38" spans="1:18" ht="18" customHeight="1" thickBot="1">
      <c r="A38" s="2574" t="s">
        <v>1892</v>
      </c>
      <c r="B38" s="2569" t="s">
        <v>667</v>
      </c>
      <c r="C38" s="2567">
        <f ca="1">ROUND(C5*F38,1)</f>
        <v>9.3000000000000007</v>
      </c>
      <c r="D38" s="2568" t="s">
        <v>1806</v>
      </c>
      <c r="E38" s="2569" t="s">
        <v>1797</v>
      </c>
      <c r="F38" s="2565">
        <f ca="1">INDIRECT("'数据-取费表'!Am"&amp;$G$1)</f>
        <v>0.02</v>
      </c>
      <c r="G38" s="2061"/>
      <c r="H38" s="2076"/>
      <c r="I38" s="843" t="s">
        <v>1818</v>
      </c>
      <c r="J38" s="844"/>
      <c r="K38" s="2082"/>
      <c r="L38" s="2076"/>
      <c r="M38" s="2076"/>
    </row>
    <row r="39" spans="1:18" ht="24.6" customHeight="1" thickTop="1">
      <c r="A39" s="1828" t="s">
        <v>1895</v>
      </c>
      <c r="B39" s="3035" t="s">
        <v>2823</v>
      </c>
      <c r="C39" s="792">
        <f ca="1">C5-C30</f>
        <v>309</v>
      </c>
      <c r="D39" s="2571" t="s">
        <v>1807</v>
      </c>
      <c r="E39" s="2572"/>
      <c r="F39" s="2573"/>
      <c r="G39" s="2061"/>
      <c r="H39" s="2076"/>
      <c r="I39" s="837" t="s">
        <v>1819</v>
      </c>
      <c r="J39" s="845">
        <f ca="1">ROUND(J35/C39,3)</f>
        <v>0</v>
      </c>
      <c r="K39" s="2082"/>
      <c r="L39" s="2076"/>
      <c r="M39" s="2076"/>
    </row>
    <row r="40" spans="1:18" ht="18" customHeight="1">
      <c r="A40" s="781" t="s">
        <v>1896</v>
      </c>
      <c r="B40" s="2231" t="s">
        <v>2301</v>
      </c>
      <c r="C40" s="783">
        <f ca="1">ROUND(C39*(1-((1+F42)/(1+F40))^F41)/(F40-F42),0)</f>
        <v>7351</v>
      </c>
      <c r="D40" s="814" t="s">
        <v>1808</v>
      </c>
      <c r="E40" s="784" t="s">
        <v>2417</v>
      </c>
      <c r="F40" s="794">
        <f ca="1">INDIRECT("'数据-取费表'!I"&amp;$G$1)</f>
        <v>0.05</v>
      </c>
      <c r="G40" s="2061"/>
      <c r="H40" s="2061"/>
      <c r="I40" s="837" t="s">
        <v>1820</v>
      </c>
      <c r="J40" s="845">
        <f ca="1">1-J39</f>
        <v>1</v>
      </c>
      <c r="K40" s="2082"/>
      <c r="L40" s="2061"/>
      <c r="M40" s="2061"/>
    </row>
    <row r="41" spans="1:18" ht="18" customHeight="1">
      <c r="A41" s="786"/>
      <c r="B41" s="787"/>
      <c r="C41" s="788"/>
      <c r="D41" s="821" t="s">
        <v>1809</v>
      </c>
      <c r="E41" s="784" t="s">
        <v>2965</v>
      </c>
      <c r="F41" s="822">
        <f ca="1">IF(INDIRECT("'数据-取费表'!af"&amp;$G$1)=0,INDIRECT("'数据-取费表'!ae"&amp;$G$1),INDIRECT("'数据-取费表'!af"&amp;$G$1))</f>
        <v>37.479999999999997</v>
      </c>
      <c r="G41" s="2061"/>
      <c r="H41" s="1987"/>
      <c r="I41" s="843" t="s">
        <v>1821</v>
      </c>
      <c r="J41" s="846"/>
      <c r="K41" s="2081"/>
      <c r="L41" s="1987"/>
      <c r="M41" s="1987"/>
    </row>
    <row r="42" spans="1:18" ht="18" customHeight="1">
      <c r="A42" s="790"/>
      <c r="B42" s="791"/>
      <c r="C42" s="792"/>
      <c r="D42" s="816"/>
      <c r="E42" s="784" t="s">
        <v>1810</v>
      </c>
      <c r="F42" s="794">
        <f ca="1">INDIRECT("'数据-取费表'!v"&amp;$G$1)</f>
        <v>2.5000000000000001E-2</v>
      </c>
      <c r="G42" s="2061"/>
      <c r="H42" s="1987"/>
      <c r="I42" s="847" t="s">
        <v>1822</v>
      </c>
      <c r="J42" s="845">
        <f ca="1">ROUND(C13/C40,3)</f>
        <v>0</v>
      </c>
      <c r="K42" s="2081"/>
      <c r="L42" s="1987"/>
      <c r="M42" s="1987"/>
    </row>
    <row r="43" spans="1:18" ht="18" customHeight="1" thickBot="1">
      <c r="A43" s="823" t="s">
        <v>1788</v>
      </c>
      <c r="B43" s="824" t="s">
        <v>1811</v>
      </c>
      <c r="C43" s="825">
        <f ca="1">ROUND(C40*10000/F43,0)</f>
        <v>4901</v>
      </c>
      <c r="D43" s="826" t="s">
        <v>1812</v>
      </c>
      <c r="E43" s="827" t="s">
        <v>1813</v>
      </c>
      <c r="F43" s="828">
        <f ca="1">INDIRECT("'数据-取费表'!k"&amp;$G$1)</f>
        <v>15000</v>
      </c>
      <c r="G43" s="2061"/>
      <c r="H43" s="1987"/>
      <c r="I43" s="847" t="s">
        <v>1823</v>
      </c>
      <c r="J43" s="848">
        <f ca="1">1-J42</f>
        <v>1</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97">
        <f ca="1">C67-C40</f>
        <v>-9365</v>
      </c>
      <c r="D46" s="2084"/>
      <c r="E46" s="2084"/>
      <c r="F46" s="2084"/>
      <c r="I46" s="2377" t="s">
        <v>2340</v>
      </c>
      <c r="J46" s="2378"/>
      <c r="K46" s="2379"/>
      <c r="L46" s="2380" t="str">
        <f ca="1">IF(M47="住宅",0,IF(L48&gt;J51,L60,J60))</f>
        <v>0</v>
      </c>
      <c r="O46" s="2417" t="s">
        <v>2408</v>
      </c>
      <c r="P46" s="1591"/>
      <c r="Q46" s="1603"/>
      <c r="R46" s="1591"/>
    </row>
    <row r="47" spans="1:18" s="2058" customFormat="1" ht="18" customHeight="1" thickBot="1">
      <c r="A47" s="2371">
        <v>1</v>
      </c>
      <c r="B47" s="2372" t="s">
        <v>636</v>
      </c>
      <c r="C47" s="2597">
        <f ca="1">C48+C52+C54</f>
        <v>0</v>
      </c>
      <c r="D47" s="2084"/>
      <c r="E47" s="2084"/>
      <c r="F47" s="2084"/>
      <c r="I47" s="2381" t="s">
        <v>2341</v>
      </c>
      <c r="J47" s="2386" t="s">
        <v>3078</v>
      </c>
      <c r="K47" s="2387" t="s">
        <v>2347</v>
      </c>
      <c r="L47" s="2388">
        <f ca="1">INDIRECT("'数据-取费表'!d"&amp;$G$1)</f>
        <v>40</v>
      </c>
      <c r="M47" s="1603" t="str">
        <f>IF(ISNUMBER(FIND("住宅",C1)),"住宅","非住宅")</f>
        <v>非住宅</v>
      </c>
      <c r="O47" s="2418" t="s">
        <v>2373</v>
      </c>
      <c r="P47" s="2419" t="s">
        <v>2374</v>
      </c>
      <c r="Q47" s="2420" t="s">
        <v>2375</v>
      </c>
      <c r="R47" s="2419" t="s">
        <v>2376</v>
      </c>
    </row>
    <row r="48" spans="1:18" s="2058" customFormat="1" ht="18" customHeight="1" thickBot="1">
      <c r="A48" s="2666" t="s">
        <v>2537</v>
      </c>
      <c r="B48" s="2667" t="s">
        <v>2538</v>
      </c>
      <c r="C48" s="2373">
        <f ca="1">ROUND(F48*F50*F49*(1-F51)/10000,0)</f>
        <v>0</v>
      </c>
      <c r="D48" s="2374" t="s">
        <v>637</v>
      </c>
      <c r="E48" s="2375" t="s">
        <v>2296</v>
      </c>
      <c r="F48" s="2376"/>
      <c r="G48" s="2089"/>
      <c r="I48" s="2382" t="s">
        <v>2342</v>
      </c>
      <c r="J48" s="2389" t="s">
        <v>2348</v>
      </c>
      <c r="K48" s="2390" t="s">
        <v>2349</v>
      </c>
      <c r="L48" s="2391">
        <f ca="1">INDIRECT("'数据-取费表'!f"&amp;$G$1)</f>
        <v>39.979999999999997</v>
      </c>
      <c r="O48" s="2421" t="s">
        <v>2377</v>
      </c>
      <c r="P48" s="2422" t="s">
        <v>2403</v>
      </c>
      <c r="Q48" s="2423">
        <f ca="1">C40+J29</f>
        <v>7351</v>
      </c>
      <c r="R48" s="2422" t="s">
        <v>2378</v>
      </c>
    </row>
    <row r="49" spans="1:18" s="2058" customFormat="1" ht="18" customHeight="1" thickBot="1">
      <c r="A49" s="786"/>
      <c r="B49" s="787"/>
      <c r="C49" s="788"/>
      <c r="D49" s="789"/>
      <c r="E49" s="784" t="s">
        <v>1740</v>
      </c>
      <c r="F49" s="785">
        <f ca="1">F7</f>
        <v>15000</v>
      </c>
      <c r="G49" s="2089"/>
      <c r="H49" s="2092"/>
      <c r="I49" s="2382" t="s">
        <v>2343</v>
      </c>
      <c r="J49" s="2392">
        <v>2019</v>
      </c>
      <c r="K49" s="2393" t="s">
        <v>2350</v>
      </c>
      <c r="L49" s="2394"/>
      <c r="O49" s="2421" t="s">
        <v>2379</v>
      </c>
      <c r="P49" s="2422" t="s">
        <v>2404</v>
      </c>
      <c r="Q49" s="2423" t="str">
        <f ca="1">J60</f>
        <v>0</v>
      </c>
      <c r="R49" s="2422" t="s">
        <v>2380</v>
      </c>
    </row>
    <row r="50" spans="1:18" s="2058" customFormat="1" ht="18" customHeight="1" thickBot="1">
      <c r="A50" s="786"/>
      <c r="B50" s="787"/>
      <c r="C50" s="788"/>
      <c r="D50" s="789"/>
      <c r="E50" s="784" t="s">
        <v>1741</v>
      </c>
      <c r="F50" s="785">
        <f ca="1">F8</f>
        <v>365</v>
      </c>
      <c r="G50" s="2094"/>
      <c r="H50" s="2092"/>
      <c r="I50" s="2382" t="s">
        <v>2344</v>
      </c>
      <c r="J50" s="2395">
        <f>SUMPRODUCT((I63:I65=J47)*(J62:L62=J48)*(J63:L65))</f>
        <v>60</v>
      </c>
      <c r="K50" s="2393" t="s">
        <v>2351</v>
      </c>
      <c r="L50" s="2394"/>
      <c r="O50" s="2424" t="s">
        <v>2381</v>
      </c>
      <c r="P50" s="2422" t="s">
        <v>2405</v>
      </c>
      <c r="Q50" s="2423">
        <f ca="1">C29</f>
        <v>4835</v>
      </c>
      <c r="R50" s="2422" t="s">
        <v>2378</v>
      </c>
    </row>
    <row r="51" spans="1:18" s="2058" customFormat="1" ht="18" customHeight="1" thickBot="1">
      <c r="A51" s="786"/>
      <c r="B51" s="787"/>
      <c r="C51" s="788"/>
      <c r="D51" s="789"/>
      <c r="E51" s="784" t="s">
        <v>641</v>
      </c>
      <c r="F51" s="2370"/>
      <c r="H51" s="2092"/>
      <c r="I51" s="2383" t="s">
        <v>2345</v>
      </c>
      <c r="J51" s="2396">
        <f>IF(J49="",J50,J49+J50-YEAR('数据-取费表'!B2))</f>
        <v>62</v>
      </c>
      <c r="K51" s="2382" t="s">
        <v>2352</v>
      </c>
      <c r="L51" s="2397">
        <f ca="1">ROUND(-PV(INDIRECT("'数据-取费表'!h"&amp;$G$1),L48,(C39-C13*J36),0),0)</f>
        <v>5685</v>
      </c>
      <c r="O51" s="2424" t="s">
        <v>2382</v>
      </c>
      <c r="P51" s="2422" t="s">
        <v>2383</v>
      </c>
      <c r="Q51" s="2425" t="e">
        <f ca="1">J58</f>
        <v>#VALUE!</v>
      </c>
      <c r="R51" s="2426"/>
    </row>
    <row r="52" spans="1:18" s="2058" customFormat="1" ht="18" customHeight="1" thickBot="1">
      <c r="A52" s="781" t="s">
        <v>2536</v>
      </c>
      <c r="B52" s="2517" t="s">
        <v>2458</v>
      </c>
      <c r="C52" s="799">
        <f ca="1">ROUND(IF(F52="押一",F48*F50*F49/12*F11,IF(F52="押二",F48*F50*F49/12*2*F11,IF(F52="押三",F48*F50*F49/12*3*F11,C53*F11)))/10000,0)</f>
        <v>0</v>
      </c>
      <c r="D52" s="2524" t="s">
        <v>2465</v>
      </c>
      <c r="E52" s="2521" t="s">
        <v>2463</v>
      </c>
      <c r="F52" s="2644"/>
      <c r="I52" s="2384" t="s">
        <v>2419</v>
      </c>
      <c r="J52" s="2398">
        <v>7.0000000000000007E-2</v>
      </c>
      <c r="K52" s="2384" t="s">
        <v>2418</v>
      </c>
      <c r="L52" s="2398"/>
      <c r="O52" s="2424" t="s">
        <v>2384</v>
      </c>
      <c r="P52" s="2422" t="s">
        <v>2385</v>
      </c>
      <c r="Q52" s="2425">
        <f>J52</f>
        <v>7.0000000000000007E-2</v>
      </c>
      <c r="R52" s="2426"/>
    </row>
    <row r="53" spans="1:18" s="2058" customFormat="1" ht="39.75" customHeight="1" thickBot="1">
      <c r="A53" s="786"/>
      <c r="B53" s="2518" t="s">
        <v>2573</v>
      </c>
      <c r="C53" s="2522"/>
      <c r="D53" s="2524"/>
      <c r="E53" s="2521"/>
      <c r="F53" s="800"/>
      <c r="I53" s="2385" t="s">
        <v>2346</v>
      </c>
      <c r="J53" s="2399">
        <f ca="1">IF(M47="住宅",J51,IF(D1="——",MIN(J51,L48),IF(D1="土地（套用方法）",MIN(J51,L48-'数据-取费表'!B20))))</f>
        <v>37.479999999999997</v>
      </c>
      <c r="K53" s="3464" t="s">
        <v>2967</v>
      </c>
      <c r="L53" s="3465"/>
      <c r="O53" s="2424" t="s">
        <v>2386</v>
      </c>
      <c r="P53" s="2422" t="s">
        <v>2387</v>
      </c>
      <c r="Q53" s="2423">
        <f ca="1">J53</f>
        <v>37.479999999999997</v>
      </c>
      <c r="R53" s="2422" t="s">
        <v>2388</v>
      </c>
    </row>
    <row r="54" spans="1:18" s="2058" customFormat="1" ht="18" customHeight="1" thickBot="1">
      <c r="A54" s="2560" t="s">
        <v>2467</v>
      </c>
      <c r="B54" s="2561" t="s">
        <v>2459</v>
      </c>
      <c r="C54" s="2562"/>
      <c r="D54" s="2524"/>
      <c r="E54" s="2521"/>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2389</v>
      </c>
      <c r="P54" s="2422" t="s">
        <v>2406</v>
      </c>
      <c r="Q54" s="2423">
        <f ca="1">Q48+Q49</f>
        <v>7351</v>
      </c>
      <c r="R54" s="2426" t="s">
        <v>2390</v>
      </c>
    </row>
    <row r="55" spans="1:18" s="2058" customFormat="1" ht="18" customHeight="1" thickTop="1" thickBot="1">
      <c r="A55" s="797">
        <v>2</v>
      </c>
      <c r="B55" s="798" t="s">
        <v>645</v>
      </c>
      <c r="C55" s="799">
        <f ca="1">C13</f>
        <v>0</v>
      </c>
      <c r="D55" s="795"/>
      <c r="E55" s="795"/>
      <c r="F55" s="800"/>
      <c r="I55" s="3128" t="s">
        <v>2353</v>
      </c>
      <c r="J55" s="3127" t="e">
        <f ca="1">ROUND(IF(J47="钢混",J57/J50,1-(1-2%)*(J50-J57)/J50),3)</f>
        <v>#VALUE!</v>
      </c>
      <c r="K55" s="2400" t="s">
        <v>2354</v>
      </c>
      <c r="L55" s="2401"/>
      <c r="O55" s="2427" t="s">
        <v>2409</v>
      </c>
      <c r="P55" s="1591"/>
      <c r="Q55" s="1603"/>
      <c r="R55" s="1591"/>
    </row>
    <row r="56" spans="1:18" s="2058" customFormat="1" ht="42.75" customHeight="1" thickBot="1">
      <c r="A56" s="1649"/>
      <c r="B56" s="2230" t="s">
        <v>2302</v>
      </c>
      <c r="C56" s="53">
        <f ca="1">C29</f>
        <v>4835</v>
      </c>
      <c r="D56" s="3168"/>
      <c r="E56" s="784"/>
      <c r="F56" s="809"/>
      <c r="I56" s="2402" t="s">
        <v>2355</v>
      </c>
      <c r="J56" s="3151" t="s">
        <v>1679</v>
      </c>
      <c r="K56" s="2382" t="s">
        <v>2360</v>
      </c>
      <c r="L56" s="2391" t="str">
        <f ca="1">IF(L48&lt;J51,"——",L48-J51)</f>
        <v>——</v>
      </c>
      <c r="O56" s="2418" t="s">
        <v>2373</v>
      </c>
      <c r="P56" s="2419" t="s">
        <v>2374</v>
      </c>
      <c r="Q56" s="2420" t="s">
        <v>2375</v>
      </c>
      <c r="R56" s="2419" t="s">
        <v>2376</v>
      </c>
    </row>
    <row r="57" spans="1:18" s="2058" customFormat="1" ht="28.5" customHeight="1" thickBot="1">
      <c r="A57" s="797" t="s">
        <v>1749</v>
      </c>
      <c r="B57" s="798" t="s">
        <v>652</v>
      </c>
      <c r="C57" s="799">
        <f ca="1">ROUND(C58+C63+C64+C65,0)</f>
        <v>120</v>
      </c>
      <c r="D57" s="26" t="s">
        <v>1751</v>
      </c>
      <c r="E57" s="3170"/>
      <c r="F57" s="56"/>
      <c r="I57" s="2403" t="s">
        <v>2356</v>
      </c>
      <c r="J57" s="2405" t="str">
        <f ca="1">IF(OR(M47="住宅",J51&lt;L48,J56="是"),"——",J51-L48)</f>
        <v>——</v>
      </c>
      <c r="K57" s="2382" t="s">
        <v>2361</v>
      </c>
      <c r="L57" s="2391" t="str">
        <f ca="1">IF(L48&lt;J51,"——",IF(L55="比较法",L49,IF(L55="基准地价",L50,L51)))</f>
        <v>——</v>
      </c>
      <c r="O57" s="2421" t="s">
        <v>2377</v>
      </c>
      <c r="P57" s="2422" t="s">
        <v>2407</v>
      </c>
      <c r="Q57" s="2423">
        <f ca="1">C40+J29</f>
        <v>7351</v>
      </c>
      <c r="R57" s="2422" t="s">
        <v>2378</v>
      </c>
    </row>
    <row r="58" spans="1:18" s="2058" customFormat="1" ht="28.5" customHeight="1" thickBot="1">
      <c r="A58" s="1648" t="s">
        <v>1825</v>
      </c>
      <c r="B58" s="784" t="s">
        <v>657</v>
      </c>
      <c r="C58" s="53">
        <f ca="1">ROUND(IF(项目基本情况!B11="自然人",C47*F58,C59+C60+C61),1)</f>
        <v>47.8</v>
      </c>
      <c r="D58" s="3167" t="s">
        <v>658</v>
      </c>
      <c r="E58" s="3168" t="s">
        <v>691</v>
      </c>
      <c r="F58" s="810" t="str">
        <f ca="1">IF(项目基本情况!B11="企业","",IF(INDIRECT("'数据-取费表'!c"&amp;$G$1)="住宅",5%,IF(F48*F49*F50/12/(1+'数据-取费表'!C42)&gt;20000,12%,7%)))</f>
        <v/>
      </c>
      <c r="I58" s="2403" t="s">
        <v>2357</v>
      </c>
      <c r="J58" s="3129" t="e">
        <f ca="1">IF(J55&lt;0.4,0.4,J55)</f>
        <v>#VALUE!</v>
      </c>
      <c r="K58" s="2382" t="s">
        <v>2362</v>
      </c>
      <c r="L58" s="2391" t="e">
        <f ca="1">ROUND(POWER(1+L52,L47-L48)*(POWER(1+L52,L48)-1)/(POWER(1+L52,L47)-1),4)</f>
        <v>#DIV/0!</v>
      </c>
      <c r="O58" s="2421" t="s">
        <v>2379</v>
      </c>
      <c r="P58" s="2422" t="s">
        <v>2410</v>
      </c>
      <c r="Q58" s="2423">
        <f ca="1">L60</f>
        <v>0</v>
      </c>
      <c r="R58" s="2426" t="s">
        <v>2412</v>
      </c>
    </row>
    <row r="59" spans="1:18" s="2058" customFormat="1" ht="28.5" customHeight="1" thickBot="1">
      <c r="A59" s="1647" t="s">
        <v>1832</v>
      </c>
      <c r="B59" s="784" t="s">
        <v>661</v>
      </c>
      <c r="C59" s="53">
        <f ca="1">ROUND(C47*F59/1.05,1)</f>
        <v>0</v>
      </c>
      <c r="D59" s="3168" t="s">
        <v>1757</v>
      </c>
      <c r="E59" s="784" t="s">
        <v>1748</v>
      </c>
      <c r="F59" s="809">
        <f t="shared" ref="F59:F65" si="0">F32</f>
        <v>6.1600000000000002E-2</v>
      </c>
      <c r="I59" s="2403" t="s">
        <v>2358</v>
      </c>
      <c r="J59" s="2405"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2381</v>
      </c>
      <c r="P59" s="2422" t="s">
        <v>2411</v>
      </c>
      <c r="Q59" s="2423">
        <f>IF(L55="比较法",L49,IF(L55="基准地价",L50,0))</f>
        <v>0</v>
      </c>
      <c r="R59" s="2422" t="s">
        <v>2378</v>
      </c>
    </row>
    <row r="60" spans="1:18" s="2058" customFormat="1" ht="18" customHeight="1" thickBot="1">
      <c r="A60" s="1647" t="s">
        <v>1833</v>
      </c>
      <c r="B60" s="784" t="s">
        <v>1759</v>
      </c>
      <c r="C60" s="53">
        <f ca="1">IF(D60="按租金收入计税",ROUND(C47*F60,1),IF(D60="按房产原值计税",ROUND(C56*F60*0.7,1),INDIRECT("'数据-取费表'!Aj"&amp;$G$1)))</f>
        <v>40.6</v>
      </c>
      <c r="D60" s="3168" t="str">
        <f>D33</f>
        <v>按房产原值计税</v>
      </c>
      <c r="E60" s="784" t="s">
        <v>1748</v>
      </c>
      <c r="F60" s="809">
        <f t="shared" si="0"/>
        <v>1.2E-2</v>
      </c>
      <c r="I60" s="2404" t="s">
        <v>2359</v>
      </c>
      <c r="J60" s="2406" t="str">
        <f ca="1">IF(OR(M47="住宅",J51&lt;L48,J56="是"),"0",ROUND(J59/(1+J52)^J53,0))</f>
        <v>0</v>
      </c>
      <c r="K60" s="2407" t="s">
        <v>2364</v>
      </c>
      <c r="L60" s="2406">
        <f ca="1">IF(OR(M47="住宅",L48&lt;J51),0,ROUND(L57*(L58/L59-1),0))</f>
        <v>0</v>
      </c>
      <c r="O60" s="2424" t="s">
        <v>2382</v>
      </c>
      <c r="P60" s="2422" t="s">
        <v>2391</v>
      </c>
      <c r="Q60" s="2425">
        <f>L52</f>
        <v>0</v>
      </c>
      <c r="R60" s="2426"/>
    </row>
    <row r="61" spans="1:18" s="2058" customFormat="1" ht="18" customHeight="1" thickBot="1">
      <c r="A61" s="1650" t="s">
        <v>1834</v>
      </c>
      <c r="B61" s="341" t="s">
        <v>669</v>
      </c>
      <c r="C61" s="54">
        <f ca="1">ROUND(F61*F62/10000,1)</f>
        <v>7.2</v>
      </c>
      <c r="D61" s="814" t="s">
        <v>670</v>
      </c>
      <c r="E61" s="784" t="s">
        <v>671</v>
      </c>
      <c r="F61" s="640">
        <f t="shared" si="0"/>
        <v>12</v>
      </c>
      <c r="K61" s="2085"/>
      <c r="O61" s="2424" t="s">
        <v>2384</v>
      </c>
      <c r="P61" s="2422" t="s">
        <v>2392</v>
      </c>
      <c r="Q61" s="2423" t="e">
        <f ca="1">L58</f>
        <v>#DIV/0!</v>
      </c>
      <c r="R61" s="2426" t="s">
        <v>2393</v>
      </c>
    </row>
    <row r="62" spans="1:18" s="2058" customFormat="1" ht="15.75" thickBot="1">
      <c r="A62" s="815"/>
      <c r="B62" s="793"/>
      <c r="C62" s="69"/>
      <c r="D62" s="816"/>
      <c r="E62" s="784" t="s">
        <v>675</v>
      </c>
      <c r="F62" s="785">
        <f t="shared" ca="1" si="0"/>
        <v>5999.97</v>
      </c>
      <c r="I62" s="2408" t="s">
        <v>2365</v>
      </c>
      <c r="J62" s="2409" t="s">
        <v>2366</v>
      </c>
      <c r="K62" s="2409" t="s">
        <v>2367</v>
      </c>
      <c r="L62" s="2409" t="s">
        <v>2348</v>
      </c>
      <c r="M62" s="3130" t="s">
        <v>2942</v>
      </c>
      <c r="O62" s="2424" t="s">
        <v>2386</v>
      </c>
      <c r="P62" s="2422" t="str">
        <f>K59</f>
        <v>建设期及建筑物耐用年限下的土地年期修正系数Kn</v>
      </c>
      <c r="Q62" s="2423" t="e">
        <f ca="1">L59</f>
        <v>#DIV/0!</v>
      </c>
      <c r="R62" s="2426" t="s">
        <v>2395</v>
      </c>
    </row>
    <row r="63" spans="1:18" s="2058" customFormat="1" ht="15.75" thickBot="1">
      <c r="A63" s="1648" t="s">
        <v>1890</v>
      </c>
      <c r="B63" s="784" t="s">
        <v>677</v>
      </c>
      <c r="C63" s="53">
        <f ca="1">ROUND(C56*F63,1)</f>
        <v>72.5</v>
      </c>
      <c r="D63" s="3168" t="s">
        <v>1804</v>
      </c>
      <c r="E63" s="784" t="s">
        <v>1748</v>
      </c>
      <c r="F63" s="817">
        <f t="shared" ca="1" si="0"/>
        <v>1.4999999999999999E-2</v>
      </c>
      <c r="I63" s="2408" t="s">
        <v>2368</v>
      </c>
      <c r="J63" s="2409">
        <v>70</v>
      </c>
      <c r="K63" s="2409">
        <v>50</v>
      </c>
      <c r="L63" s="2409">
        <v>80</v>
      </c>
      <c r="M63" s="3131">
        <v>0.02</v>
      </c>
      <c r="O63" s="2421" t="s">
        <v>2389</v>
      </c>
      <c r="P63" s="2422" t="s">
        <v>2406</v>
      </c>
      <c r="Q63" s="2423">
        <f ca="1">Q57+Q58</f>
        <v>7351</v>
      </c>
      <c r="R63" s="2426" t="s">
        <v>2390</v>
      </c>
    </row>
    <row r="64" spans="1:18" s="2058" customFormat="1" ht="16.5" thickBot="1">
      <c r="A64" s="1648" t="s">
        <v>1891</v>
      </c>
      <c r="B64" s="784" t="s">
        <v>680</v>
      </c>
      <c r="C64" s="53">
        <f ca="1">ROUND(C55*F64,1)</f>
        <v>0</v>
      </c>
      <c r="D64" s="3168" t="s">
        <v>681</v>
      </c>
      <c r="E64" s="784" t="s">
        <v>1748</v>
      </c>
      <c r="F64" s="818">
        <f t="shared" ca="1" si="0"/>
        <v>2E-3</v>
      </c>
      <c r="I64" s="2408" t="s">
        <v>2369</v>
      </c>
      <c r="J64" s="2409">
        <v>50</v>
      </c>
      <c r="K64" s="2409">
        <v>35</v>
      </c>
      <c r="L64" s="2409">
        <v>60</v>
      </c>
      <c r="M64" s="3132">
        <v>0</v>
      </c>
      <c r="O64" s="2427" t="s">
        <v>2413</v>
      </c>
      <c r="P64" s="1591"/>
      <c r="Q64" s="1603"/>
      <c r="R64" s="1591"/>
    </row>
    <row r="65" spans="1:18" s="2058" customFormat="1" ht="15.75" thickBot="1">
      <c r="A65" s="1648" t="s">
        <v>1892</v>
      </c>
      <c r="B65" s="784" t="s">
        <v>667</v>
      </c>
      <c r="C65" s="53">
        <f ca="1">ROUND(C47*F65,1)</f>
        <v>0</v>
      </c>
      <c r="D65" s="3168" t="s">
        <v>684</v>
      </c>
      <c r="E65" s="784" t="s">
        <v>1748</v>
      </c>
      <c r="F65" s="794">
        <f t="shared" ca="1" si="0"/>
        <v>0.02</v>
      </c>
      <c r="I65" s="2408" t="s">
        <v>2370</v>
      </c>
      <c r="J65" s="2409">
        <v>40</v>
      </c>
      <c r="K65" s="2409">
        <v>30</v>
      </c>
      <c r="L65" s="2409">
        <v>50</v>
      </c>
      <c r="M65" s="3131">
        <v>0.02</v>
      </c>
      <c r="O65" s="2418" t="s">
        <v>2373</v>
      </c>
      <c r="P65" s="2419" t="s">
        <v>2374</v>
      </c>
      <c r="Q65" s="2420" t="s">
        <v>2375</v>
      </c>
      <c r="R65" s="2419" t="s">
        <v>2376</v>
      </c>
    </row>
    <row r="66" spans="1:18" s="2058" customFormat="1" ht="24.75" thickBot="1">
      <c r="A66" s="797" t="s">
        <v>1777</v>
      </c>
      <c r="B66" s="3036" t="s">
        <v>2823</v>
      </c>
      <c r="C66" s="799">
        <f ca="1">C47-C57</f>
        <v>-120</v>
      </c>
      <c r="D66" s="3167" t="s">
        <v>701</v>
      </c>
      <c r="E66" s="3165"/>
      <c r="F66" s="820"/>
      <c r="K66" s="2085"/>
      <c r="O66" s="2421" t="s">
        <v>2377</v>
      </c>
      <c r="P66" s="2422" t="s">
        <v>2407</v>
      </c>
      <c r="Q66" s="2423">
        <f ca="1">C40+J29</f>
        <v>7351</v>
      </c>
      <c r="R66" s="2422" t="s">
        <v>2378</v>
      </c>
    </row>
    <row r="67" spans="1:18" s="2058" customFormat="1" ht="20.25" thickBot="1">
      <c r="A67" s="781" t="s">
        <v>1781</v>
      </c>
      <c r="B67" s="2231" t="s">
        <v>2301</v>
      </c>
      <c r="C67" s="783">
        <f ca="1">ROUND(C66*(1-((1+F69)/(1+F67))^F68)/(F67-F69),0)</f>
        <v>-2014</v>
      </c>
      <c r="D67" s="814" t="s">
        <v>705</v>
      </c>
      <c r="E67" s="784" t="s">
        <v>706</v>
      </c>
      <c r="F67" s="794">
        <f ca="1">F40</f>
        <v>0.05</v>
      </c>
      <c r="K67" s="2085"/>
      <c r="O67" s="2421" t="s">
        <v>2379</v>
      </c>
      <c r="P67" s="2422" t="s">
        <v>2410</v>
      </c>
      <c r="Q67" s="2423">
        <f ca="1">L60</f>
        <v>0</v>
      </c>
      <c r="R67" s="2426" t="s">
        <v>2412</v>
      </c>
    </row>
    <row r="68" spans="1:18" ht="21.75" thickBot="1">
      <c r="A68" s="786"/>
      <c r="B68" s="787"/>
      <c r="C68" s="788"/>
      <c r="D68" s="821" t="s">
        <v>1809</v>
      </c>
      <c r="E68" s="784" t="s">
        <v>1785</v>
      </c>
      <c r="F68" s="822">
        <f ca="1">F41</f>
        <v>37.479999999999997</v>
      </c>
      <c r="O68" s="2424" t="s">
        <v>2381</v>
      </c>
      <c r="P68" s="2422" t="s">
        <v>2411</v>
      </c>
      <c r="Q68" s="2428">
        <f ca="1">L51</f>
        <v>5685</v>
      </c>
      <c r="R68" s="2429" t="s">
        <v>2414</v>
      </c>
    </row>
    <row r="69" spans="1:18" ht="20.25" thickBot="1">
      <c r="A69" s="790"/>
      <c r="B69" s="791"/>
      <c r="C69" s="792"/>
      <c r="D69" s="816"/>
      <c r="E69" s="784" t="s">
        <v>711</v>
      </c>
      <c r="F69" s="2370"/>
      <c r="O69" s="2424" t="s">
        <v>2382</v>
      </c>
      <c r="P69" s="2430" t="s">
        <v>2396</v>
      </c>
      <c r="Q69" s="2423">
        <f ca="1">ROUND(Q70-Q71*Q72,0)</f>
        <v>309</v>
      </c>
      <c r="R69" s="2426"/>
    </row>
    <row r="70" spans="1:18" ht="15.75" thickBot="1">
      <c r="A70" s="823" t="s">
        <v>1788</v>
      </c>
      <c r="B70" s="824" t="s">
        <v>1811</v>
      </c>
      <c r="C70" s="825">
        <f ca="1">ROUND(C67*10000/F70,0)</f>
        <v>-1343</v>
      </c>
      <c r="D70" s="826" t="s">
        <v>1812</v>
      </c>
      <c r="E70" s="827" t="s">
        <v>1813</v>
      </c>
      <c r="F70" s="828">
        <f ca="1">F43</f>
        <v>15000</v>
      </c>
      <c r="O70" s="2424" t="s">
        <v>2397</v>
      </c>
      <c r="P70" s="2430" t="s">
        <v>2398</v>
      </c>
      <c r="Q70" s="2423">
        <f ca="1">C39</f>
        <v>309</v>
      </c>
      <c r="R70" s="2422" t="s">
        <v>2378</v>
      </c>
    </row>
    <row r="71" spans="1:18" ht="15.75" thickBot="1">
      <c r="O71" s="2424" t="s">
        <v>2399</v>
      </c>
      <c r="P71" s="2430" t="s">
        <v>2400</v>
      </c>
      <c r="Q71" s="2423">
        <f ca="1">C13</f>
        <v>0</v>
      </c>
      <c r="R71" s="2422" t="s">
        <v>2378</v>
      </c>
    </row>
    <row r="72" spans="1:18" ht="15.75" thickBot="1">
      <c r="O72" s="2424" t="s">
        <v>2401</v>
      </c>
      <c r="P72" s="2430" t="s">
        <v>2402</v>
      </c>
      <c r="Q72" s="2425">
        <f ca="1">J36</f>
        <v>0.08</v>
      </c>
      <c r="R72" s="2426"/>
    </row>
    <row r="73" spans="1:18" ht="15.75" thickBot="1">
      <c r="O73" s="2424" t="s">
        <v>2384</v>
      </c>
      <c r="P73" s="2422" t="s">
        <v>2391</v>
      </c>
      <c r="Q73" s="2425">
        <f>L52</f>
        <v>0</v>
      </c>
      <c r="R73" s="2426"/>
    </row>
    <row r="74" spans="1:18" ht="20.25" thickBot="1">
      <c r="O74" s="2424" t="s">
        <v>2386</v>
      </c>
      <c r="P74" s="2422" t="s">
        <v>2392</v>
      </c>
      <c r="Q74" s="2423" t="e">
        <f ca="1">L58</f>
        <v>#DIV/0!</v>
      </c>
      <c r="R74" s="2426" t="s">
        <v>2393</v>
      </c>
    </row>
    <row r="75" spans="1:18" ht="15.75" thickBot="1">
      <c r="O75" s="2424" t="s">
        <v>2415</v>
      </c>
      <c r="P75" s="2422" t="str">
        <f>K59</f>
        <v>建设期及建筑物耐用年限下的土地年期修正系数Kn</v>
      </c>
      <c r="Q75" s="2423" t="e">
        <f ca="1">L59</f>
        <v>#DIV/0!</v>
      </c>
      <c r="R75" s="2426" t="s">
        <v>2395</v>
      </c>
    </row>
    <row r="76" spans="1:18" ht="15.75" thickBot="1">
      <c r="O76" s="2421" t="s">
        <v>2389</v>
      </c>
      <c r="P76" s="2422" t="s">
        <v>2406</v>
      </c>
      <c r="Q76" s="2423">
        <f ca="1">Q66+Q67</f>
        <v>7351</v>
      </c>
      <c r="R76" s="2426"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6" priority="7">
      <formula>$L$48&gt;$J$51</formula>
    </cfRule>
  </conditionalFormatting>
  <conditionalFormatting sqref="I55">
    <cfRule type="expression" dxfId="65" priority="6">
      <formula>$J$51&gt;$L$48</formula>
    </cfRule>
  </conditionalFormatting>
  <conditionalFormatting sqref="I60">
    <cfRule type="expression" dxfId="64" priority="5">
      <formula>$J$51&gt;$L$48</formula>
    </cfRule>
  </conditionalFormatting>
  <conditionalFormatting sqref="K60">
    <cfRule type="expression" dxfId="63" priority="4">
      <formula>$L$48&gt;$J$51</formula>
    </cfRule>
  </conditionalFormatting>
  <conditionalFormatting sqref="C11">
    <cfRule type="expression" dxfId="62" priority="3">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sheetPr codeName="Sheet24">
    <tabColor rgb="FF92D050"/>
    <pageSetUpPr fitToPage="1"/>
  </sheetPr>
  <dimension ref="A1:AC853"/>
  <sheetViews>
    <sheetView topLeftCell="A3" zoomScale="80" zoomScaleNormal="80" workbookViewId="0">
      <selection activeCell="M15" sqref="M15"/>
    </sheetView>
  </sheetViews>
  <sheetFormatPr defaultRowHeight="14.25"/>
  <cols>
    <col min="1" max="1" width="10.5" style="1336" customWidth="1"/>
    <col min="2" max="2" width="15.75" style="1336" customWidth="1"/>
    <col min="3" max="3" width="16" style="1336" customWidth="1"/>
    <col min="4" max="4" width="12.25" style="1336" customWidth="1"/>
    <col min="5" max="5" width="16.625" style="1336" customWidth="1"/>
    <col min="6" max="6" width="12.25" style="1336" customWidth="1"/>
    <col min="7" max="7" width="15.75" style="1336" customWidth="1"/>
    <col min="8" max="8" width="12.25" style="1336" customWidth="1"/>
    <col min="9" max="9" width="16.7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778</v>
      </c>
      <c r="C1" s="504" t="s">
        <v>721</v>
      </c>
      <c r="D1" s="849" t="s">
        <v>1678</v>
      </c>
      <c r="E1" s="506"/>
      <c r="F1" s="2832" t="s">
        <v>3071</v>
      </c>
      <c r="G1" s="1600" t="s">
        <v>722</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467</v>
      </c>
      <c r="B2" s="850">
        <f>ROUND(B3*D3/10000,0)</f>
        <v>10029</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520</v>
      </c>
      <c r="B3" s="510">
        <f>C50</f>
        <v>6686</v>
      </c>
      <c r="C3" s="852" t="s">
        <v>723</v>
      </c>
      <c r="D3" s="851">
        <f>SUMIF('数据-汇总表'!$C19:$C33,D1,'数据-汇总表'!$E19:$E33)</f>
        <v>15000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522</v>
      </c>
      <c r="B4" s="513"/>
      <c r="C4" s="3373" t="s">
        <v>523</v>
      </c>
      <c r="D4" s="3374"/>
      <c r="E4" s="3410" t="s">
        <v>524</v>
      </c>
      <c r="F4" s="3411"/>
      <c r="G4" s="3373" t="s">
        <v>525</v>
      </c>
      <c r="H4" s="3374"/>
      <c r="I4" s="3373" t="s">
        <v>526</v>
      </c>
      <c r="J4" s="3374"/>
      <c r="K4" s="514" t="s">
        <v>527</v>
      </c>
      <c r="L4" s="2132"/>
      <c r="M4" s="2133"/>
      <c r="N4" s="2133"/>
      <c r="O4" s="2133"/>
      <c r="P4" s="3494" t="s">
        <v>528</v>
      </c>
      <c r="Q4" s="3376"/>
      <c r="R4" s="3381" t="s">
        <v>524</v>
      </c>
      <c r="S4" s="3382"/>
      <c r="T4" s="3381" t="s">
        <v>525</v>
      </c>
      <c r="U4" s="3382"/>
      <c r="V4" s="3368" t="s">
        <v>526</v>
      </c>
      <c r="W4" s="3368"/>
      <c r="X4" s="1566"/>
      <c r="Y4" s="3381" t="s">
        <v>528</v>
      </c>
      <c r="Z4" s="3382"/>
      <c r="AA4" s="3370" t="s">
        <v>524</v>
      </c>
      <c r="AB4" s="3370" t="s">
        <v>525</v>
      </c>
      <c r="AC4" s="3370" t="s">
        <v>526</v>
      </c>
    </row>
    <row r="5" spans="1:29" ht="15">
      <c r="A5" s="515"/>
      <c r="B5" s="516"/>
      <c r="C5" s="3391" t="s">
        <v>2927</v>
      </c>
      <c r="D5" s="3390"/>
      <c r="E5" s="3463" t="s">
        <v>3115</v>
      </c>
      <c r="F5" s="3413"/>
      <c r="G5" s="3389" t="s">
        <v>3142</v>
      </c>
      <c r="H5" s="3390"/>
      <c r="I5" s="3389" t="s">
        <v>3150</v>
      </c>
      <c r="J5" s="3390"/>
      <c r="K5" s="514"/>
      <c r="L5" s="2132"/>
      <c r="M5" s="2133"/>
      <c r="N5" s="2133"/>
      <c r="O5" s="2133"/>
      <c r="P5" s="3495"/>
      <c r="Q5" s="3378"/>
      <c r="R5" s="3383"/>
      <c r="S5" s="3384"/>
      <c r="T5" s="3383"/>
      <c r="U5" s="3384"/>
      <c r="V5" s="3368"/>
      <c r="W5" s="3368"/>
      <c r="X5" s="1566"/>
      <c r="Y5" s="3383"/>
      <c r="Z5" s="3384"/>
      <c r="AA5" s="3371"/>
      <c r="AB5" s="3371"/>
      <c r="AC5" s="3371"/>
    </row>
    <row r="6" spans="1:29" ht="15.75" thickBot="1">
      <c r="A6" s="517"/>
      <c r="B6" s="518"/>
      <c r="C6" s="3407" t="s">
        <v>2931</v>
      </c>
      <c r="D6" s="3388"/>
      <c r="E6" s="3462" t="s">
        <v>3141</v>
      </c>
      <c r="F6" s="3409"/>
      <c r="G6" s="3387" t="s">
        <v>3143</v>
      </c>
      <c r="H6" s="3388"/>
      <c r="I6" s="3387" t="s">
        <v>3151</v>
      </c>
      <c r="J6" s="3388"/>
      <c r="K6" s="514" t="s">
        <v>529</v>
      </c>
      <c r="L6" s="2132"/>
      <c r="M6" s="2133"/>
      <c r="N6" s="2133"/>
      <c r="O6" s="2133"/>
      <c r="P6" s="3496"/>
      <c r="Q6" s="3380"/>
      <c r="R6" s="3383"/>
      <c r="S6" s="3384"/>
      <c r="T6" s="3385"/>
      <c r="U6" s="3386"/>
      <c r="V6" s="3368"/>
      <c r="W6" s="3368"/>
      <c r="X6" s="1566"/>
      <c r="Y6" s="3385"/>
      <c r="Z6" s="3386"/>
      <c r="AA6" s="3372"/>
      <c r="AB6" s="3372"/>
      <c r="AC6" s="3372"/>
    </row>
    <row r="7" spans="1:29" s="1219" customFormat="1" ht="15.75" thickBot="1">
      <c r="A7" s="2937"/>
      <c r="B7" s="2944" t="s">
        <v>530</v>
      </c>
      <c r="C7" s="519">
        <f>'数据-取费表'!B2</f>
        <v>43068</v>
      </c>
      <c r="D7" s="520">
        <v>100</v>
      </c>
      <c r="E7" s="521">
        <f>C7</f>
        <v>43068</v>
      </c>
      <c r="F7" s="522">
        <f>SUMIF(59:59,YEAR(E7)&amp;"-"&amp;MONTH(E7),60:60)</f>
        <v>100</v>
      </c>
      <c r="G7" s="521">
        <f>C7</f>
        <v>43068</v>
      </c>
      <c r="H7" s="520">
        <f>SUMIF(59:59,YEAR(G7)&amp;"-"&amp;MONTH(G7),60:60)</f>
        <v>100</v>
      </c>
      <c r="I7" s="521">
        <f>C7</f>
        <v>43068</v>
      </c>
      <c r="J7" s="520">
        <f>SUMIF(59:59,YEAR(I7)&amp;"-"&amp;MONTH(I7),60:60)</f>
        <v>100</v>
      </c>
      <c r="K7" s="524"/>
      <c r="L7" s="2134"/>
      <c r="M7" s="2135"/>
      <c r="N7" s="2135"/>
      <c r="O7" s="2135"/>
      <c r="P7" s="3402" t="s">
        <v>531</v>
      </c>
      <c r="Q7" s="3402"/>
      <c r="R7" s="1567" t="s">
        <v>8</v>
      </c>
      <c r="S7" s="1568">
        <f t="shared" ref="S7:S15" si="0">F7</f>
        <v>100</v>
      </c>
      <c r="T7" s="1567" t="s">
        <v>8</v>
      </c>
      <c r="U7" s="1568">
        <f t="shared" ref="U7:U15" si="1">H7</f>
        <v>100</v>
      </c>
      <c r="V7" s="1567" t="s">
        <v>8</v>
      </c>
      <c r="W7" s="1568">
        <f t="shared" ref="W7:W15" si="2">J7</f>
        <v>100</v>
      </c>
      <c r="X7" s="1569"/>
      <c r="Y7" s="3400" t="s">
        <v>531</v>
      </c>
      <c r="Z7" s="3401"/>
      <c r="AA7" s="1570">
        <f>D7/F7</f>
        <v>1</v>
      </c>
      <c r="AB7" s="1570">
        <f>D7/H7</f>
        <v>1</v>
      </c>
      <c r="AC7" s="1570">
        <f>D7/J7</f>
        <v>1</v>
      </c>
    </row>
    <row r="8" spans="1:29" s="1219" customFormat="1" ht="15.75" thickBot="1">
      <c r="A8" s="2938"/>
      <c r="B8" s="2945" t="s">
        <v>532</v>
      </c>
      <c r="C8" s="525" t="s">
        <v>577</v>
      </c>
      <c r="D8" s="520">
        <v>100</v>
      </c>
      <c r="E8" s="525" t="s">
        <v>3024</v>
      </c>
      <c r="F8" s="522">
        <f>SUMIF(62:62,E8,63:63)-SUMIF(62:62,C8,63:63)+100</f>
        <v>100</v>
      </c>
      <c r="G8" s="525" t="s">
        <v>3024</v>
      </c>
      <c r="H8" s="520">
        <f>SUMIF(62:62,G8,63:63)-SUMIF(62:62,C8,63:63)+100</f>
        <v>100</v>
      </c>
      <c r="I8" s="525" t="s">
        <v>3024</v>
      </c>
      <c r="J8" s="520">
        <f>SUMIF(62:62,I8,63:63)-SUMIF(62:62,C8,63:63)+100</f>
        <v>100</v>
      </c>
      <c r="K8" s="524"/>
      <c r="L8" s="2134"/>
      <c r="M8" s="2135"/>
      <c r="N8" s="2135"/>
      <c r="O8" s="2135"/>
      <c r="P8" s="3402" t="s">
        <v>534</v>
      </c>
      <c r="Q8" s="3401"/>
      <c r="R8" s="1567" t="s">
        <v>8</v>
      </c>
      <c r="S8" s="1568">
        <f t="shared" si="0"/>
        <v>100</v>
      </c>
      <c r="T8" s="1567" t="s">
        <v>8</v>
      </c>
      <c r="U8" s="1568">
        <f t="shared" si="1"/>
        <v>100</v>
      </c>
      <c r="V8" s="1567" t="s">
        <v>8</v>
      </c>
      <c r="W8" s="1568">
        <f t="shared" si="2"/>
        <v>100</v>
      </c>
      <c r="X8" s="1569"/>
      <c r="Y8" s="3400" t="s">
        <v>534</v>
      </c>
      <c r="Z8" s="3401"/>
      <c r="AA8" s="1570">
        <f t="shared" ref="AA8:AA47" si="3">D8/F8</f>
        <v>1</v>
      </c>
      <c r="AB8" s="1570">
        <f t="shared" ref="AB8:AB47" si="4">D8/H8</f>
        <v>1</v>
      </c>
      <c r="AC8" s="1570">
        <f t="shared" ref="AC8:AC47" si="5">D8/J8</f>
        <v>1</v>
      </c>
    </row>
    <row r="9" spans="1:29" s="1219" customFormat="1" ht="15">
      <c r="A9" s="2939"/>
      <c r="B9" s="2946" t="s">
        <v>2757</v>
      </c>
      <c r="C9" s="3189" t="s">
        <v>3152</v>
      </c>
      <c r="D9" s="254">
        <v>100</v>
      </c>
      <c r="E9" s="860" t="s">
        <v>3003</v>
      </c>
      <c r="F9" s="254">
        <f>SUMIF(64:64,E9,65:65)-SUMIF(64:64,C9,65:65)+100</f>
        <v>100</v>
      </c>
      <c r="G9" s="858" t="s">
        <v>3003</v>
      </c>
      <c r="H9" s="254">
        <f>SUMIF(64:64,G9,65:65)-SUMIF(64:64,C9,65:65)+100</f>
        <v>100</v>
      </c>
      <c r="I9" s="858" t="s">
        <v>3003</v>
      </c>
      <c r="J9" s="254">
        <f>SUMIF(64:64,I9,65:65)-SUMIF(64:64,C9,65:65)+100</f>
        <v>100</v>
      </c>
      <c r="K9" s="524"/>
      <c r="L9" s="2134"/>
      <c r="M9" s="2135"/>
      <c r="N9" s="2135"/>
      <c r="O9" s="2135"/>
      <c r="P9" s="3367" t="s">
        <v>536</v>
      </c>
      <c r="Q9" s="1150" t="str">
        <f t="shared" ref="Q9:Q15" si="6">B9</f>
        <v>用途</v>
      </c>
      <c r="R9" s="1567" t="s">
        <v>8</v>
      </c>
      <c r="S9" s="1568">
        <f t="shared" si="0"/>
        <v>100</v>
      </c>
      <c r="T9" s="1567" t="s">
        <v>8</v>
      </c>
      <c r="U9" s="1568">
        <f t="shared" si="1"/>
        <v>100</v>
      </c>
      <c r="V9" s="1567" t="s">
        <v>8</v>
      </c>
      <c r="W9" s="1568">
        <f t="shared" si="2"/>
        <v>100</v>
      </c>
      <c r="X9" s="1569"/>
      <c r="Y9" s="3313" t="s">
        <v>537</v>
      </c>
      <c r="Z9" s="1149" t="str">
        <f t="shared" ref="Z9:Z15" si="7">Q9</f>
        <v>用途</v>
      </c>
      <c r="AA9" s="1570">
        <f t="shared" si="3"/>
        <v>1</v>
      </c>
      <c r="AB9" s="1570">
        <f t="shared" si="4"/>
        <v>1</v>
      </c>
      <c r="AC9" s="1570">
        <f t="shared" si="5"/>
        <v>1</v>
      </c>
    </row>
    <row r="10" spans="1:29" s="1337" customFormat="1" ht="27">
      <c r="A10" s="2940"/>
      <c r="B10" s="2945" t="s">
        <v>2758</v>
      </c>
      <c r="C10" s="861" t="s">
        <v>3117</v>
      </c>
      <c r="D10" s="255">
        <v>100</v>
      </c>
      <c r="E10" s="861" t="s">
        <v>3117</v>
      </c>
      <c r="F10" s="255">
        <f>SUMIF(66:66,E10,67:67)-SUMIF(66:66,C10,67:67)+100</f>
        <v>100</v>
      </c>
      <c r="G10" s="862" t="s">
        <v>3117</v>
      </c>
      <c r="H10" s="255">
        <f>SUMIF(66:66,G10,67:67)-SUMIF(66:66,C10,67:67)+100</f>
        <v>100</v>
      </c>
      <c r="I10" s="861" t="s">
        <v>3117</v>
      </c>
      <c r="J10" s="255">
        <f>SUMIF(66:66,I10,67:67)-SUMIF(66:66,C10,67:67)+100</f>
        <v>100</v>
      </c>
      <c r="K10" s="584"/>
      <c r="L10" s="2137"/>
      <c r="M10" s="2177"/>
      <c r="N10" s="2177"/>
      <c r="O10" s="2177"/>
      <c r="P10" s="3367"/>
      <c r="Q10" s="1150" t="str">
        <f t="shared" si="6"/>
        <v>土地使用年限（年）</v>
      </c>
      <c r="R10" s="1567" t="s">
        <v>8</v>
      </c>
      <c r="S10" s="1568">
        <f t="shared" si="0"/>
        <v>100</v>
      </c>
      <c r="T10" s="1567" t="s">
        <v>8</v>
      </c>
      <c r="U10" s="1568">
        <f t="shared" si="1"/>
        <v>100</v>
      </c>
      <c r="V10" s="1567" t="s">
        <v>8</v>
      </c>
      <c r="W10" s="1568">
        <f t="shared" si="2"/>
        <v>100</v>
      </c>
      <c r="X10" s="1569"/>
      <c r="Y10" s="3313"/>
      <c r="Z10" s="1149" t="str">
        <f t="shared" si="7"/>
        <v>土地使用年限（年）</v>
      </c>
      <c r="AA10" s="1570">
        <f t="shared" si="3"/>
        <v>1</v>
      </c>
      <c r="AB10" s="1570">
        <f t="shared" si="4"/>
        <v>1</v>
      </c>
      <c r="AC10" s="1570">
        <f t="shared" si="5"/>
        <v>1</v>
      </c>
    </row>
    <row r="11" spans="1:29" ht="15.75" thickBot="1">
      <c r="A11" s="2941"/>
      <c r="B11" s="2945" t="s">
        <v>2759</v>
      </c>
      <c r="C11" s="533">
        <v>2.5</v>
      </c>
      <c r="D11" s="255">
        <v>100</v>
      </c>
      <c r="E11" s="533">
        <v>3.96</v>
      </c>
      <c r="F11" s="255">
        <f>LOOKUP(E11,69:69,70:70)-LOOKUP(C11,69:69,70:70)+100</f>
        <v>100</v>
      </c>
      <c r="G11" s="534">
        <v>3.5</v>
      </c>
      <c r="H11" s="255">
        <f>LOOKUP(G11,69:69,70:70)-LOOKUP(C11,69:69,70:70)+100</f>
        <v>100</v>
      </c>
      <c r="I11" s="533">
        <v>3.5</v>
      </c>
      <c r="J11" s="255">
        <f>LOOKUP(I11,69:69,70:70)-LOOKUP(C11,69:69,70:70)+100</f>
        <v>100</v>
      </c>
      <c r="K11" s="584">
        <v>1</v>
      </c>
      <c r="L11" s="2139"/>
      <c r="M11" s="2133"/>
      <c r="N11" s="2133"/>
      <c r="O11" s="2133"/>
      <c r="P11" s="3367"/>
      <c r="Q11" s="1150" t="str">
        <f t="shared" si="6"/>
        <v>容积率</v>
      </c>
      <c r="R11" s="1567" t="s">
        <v>8</v>
      </c>
      <c r="S11" s="1568">
        <f t="shared" si="0"/>
        <v>100</v>
      </c>
      <c r="T11" s="1567" t="s">
        <v>8</v>
      </c>
      <c r="U11" s="1568">
        <f t="shared" si="1"/>
        <v>100</v>
      </c>
      <c r="V11" s="1567" t="s">
        <v>8</v>
      </c>
      <c r="W11" s="1568">
        <f t="shared" si="2"/>
        <v>100</v>
      </c>
      <c r="X11" s="1569"/>
      <c r="Y11" s="3313"/>
      <c r="Z11" s="1149" t="str">
        <f t="shared" si="7"/>
        <v>容积率</v>
      </c>
      <c r="AA11" s="1570">
        <f t="shared" si="3"/>
        <v>1</v>
      </c>
      <c r="AB11" s="1570">
        <f t="shared" si="4"/>
        <v>1</v>
      </c>
      <c r="AC11" s="1570">
        <f t="shared" si="5"/>
        <v>1</v>
      </c>
    </row>
    <row r="12" spans="1:29" s="1219" customFormat="1" ht="15" hidden="1">
      <c r="A12" s="2942"/>
      <c r="B12" s="2948">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367"/>
      <c r="Q12" s="1150">
        <f t="shared" si="6"/>
        <v>111</v>
      </c>
      <c r="R12" s="1567" t="s">
        <v>8</v>
      </c>
      <c r="S12" s="1568">
        <f t="shared" si="0"/>
        <v>100</v>
      </c>
      <c r="T12" s="1567" t="s">
        <v>8</v>
      </c>
      <c r="U12" s="1568">
        <f t="shared" si="1"/>
        <v>100</v>
      </c>
      <c r="V12" s="1567" t="s">
        <v>8</v>
      </c>
      <c r="W12" s="1568">
        <f t="shared" si="2"/>
        <v>100</v>
      </c>
      <c r="X12" s="1569"/>
      <c r="Y12" s="3313"/>
      <c r="Z12" s="1149">
        <f t="shared" si="7"/>
        <v>111</v>
      </c>
      <c r="AA12" s="1570">
        <f>D12/F12</f>
        <v>1</v>
      </c>
      <c r="AB12" s="1570">
        <f>D12/H12</f>
        <v>1</v>
      </c>
      <c r="AC12" s="1570">
        <f>D12/J12</f>
        <v>1</v>
      </c>
    </row>
    <row r="13" spans="1:29" ht="15" hidden="1">
      <c r="A13" s="2942"/>
      <c r="B13" s="2948">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367"/>
      <c r="Q13" s="1150">
        <f t="shared" si="6"/>
        <v>111</v>
      </c>
      <c r="R13" s="1567" t="s">
        <v>8</v>
      </c>
      <c r="S13" s="1568">
        <f t="shared" si="0"/>
        <v>100</v>
      </c>
      <c r="T13" s="1567" t="s">
        <v>8</v>
      </c>
      <c r="U13" s="1568">
        <f t="shared" si="1"/>
        <v>100</v>
      </c>
      <c r="V13" s="1567" t="s">
        <v>8</v>
      </c>
      <c r="W13" s="1568">
        <f t="shared" si="2"/>
        <v>100</v>
      </c>
      <c r="X13" s="1569"/>
      <c r="Y13" s="3313"/>
      <c r="Z13" s="1149">
        <f t="shared" si="7"/>
        <v>111</v>
      </c>
      <c r="AA13" s="1570">
        <f t="shared" si="3"/>
        <v>1</v>
      </c>
      <c r="AB13" s="1570">
        <f t="shared" si="4"/>
        <v>1</v>
      </c>
      <c r="AC13" s="1570">
        <f t="shared" si="5"/>
        <v>1</v>
      </c>
    </row>
    <row r="14" spans="1:29" ht="15.75" hidden="1" thickBot="1">
      <c r="A14" s="2943"/>
      <c r="B14" s="2949">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367"/>
      <c r="Q14" s="1150">
        <f t="shared" si="6"/>
        <v>111</v>
      </c>
      <c r="R14" s="1567" t="s">
        <v>8</v>
      </c>
      <c r="S14" s="1568">
        <f t="shared" si="0"/>
        <v>100</v>
      </c>
      <c r="T14" s="1567" t="s">
        <v>8</v>
      </c>
      <c r="U14" s="1568">
        <f t="shared" si="1"/>
        <v>100</v>
      </c>
      <c r="V14" s="1567" t="s">
        <v>8</v>
      </c>
      <c r="W14" s="1568">
        <f t="shared" si="2"/>
        <v>100</v>
      </c>
      <c r="X14" s="1569"/>
      <c r="Y14" s="3313"/>
      <c r="Z14" s="1149">
        <f t="shared" si="7"/>
        <v>111</v>
      </c>
      <c r="AA14" s="1570">
        <f t="shared" si="3"/>
        <v>1</v>
      </c>
      <c r="AB14" s="1570">
        <f t="shared" si="4"/>
        <v>1</v>
      </c>
      <c r="AC14" s="1570">
        <f t="shared" si="5"/>
        <v>1</v>
      </c>
    </row>
    <row r="15" spans="1:29" ht="71.25">
      <c r="A15" s="2935" t="s">
        <v>2755</v>
      </c>
      <c r="B15" s="547" t="s">
        <v>543</v>
      </c>
      <c r="C15" s="548" t="str">
        <f>估价对象房地状况!C5</f>
        <v>估价对象位于XX商圈，周边办公楼项目较多，入驻率高，办公集聚程度较好</v>
      </c>
      <c r="D15" s="549">
        <v>100</v>
      </c>
      <c r="E15" s="552"/>
      <c r="F15" s="549">
        <f>SUMIF(77:77,E16,78:78)-SUMIF(77:77,C16,78:78)+100</f>
        <v>102</v>
      </c>
      <c r="G15" s="550"/>
      <c r="H15" s="549">
        <f>SUMIF(77:77,G16,78:78)-SUMIF(77:77,C16,78:78)+100</f>
        <v>102</v>
      </c>
      <c r="I15" s="550"/>
      <c r="J15" s="549">
        <f>SUMIF(77:77,I16,78:78)-SUMIF(77:77,C16,78:78)+100</f>
        <v>102</v>
      </c>
      <c r="K15" s="898">
        <v>2</v>
      </c>
      <c r="L15" s="2141"/>
      <c r="M15" s="2133"/>
      <c r="N15" s="2133"/>
      <c r="O15" s="2133"/>
      <c r="P15" s="3403" t="s">
        <v>541</v>
      </c>
      <c r="Q15" s="1571" t="str">
        <f t="shared" si="6"/>
        <v>办公集聚程度</v>
      </c>
      <c r="R15" s="1572" t="s">
        <v>8</v>
      </c>
      <c r="S15" s="1573">
        <f t="shared" si="0"/>
        <v>102</v>
      </c>
      <c r="T15" s="1572" t="s">
        <v>8</v>
      </c>
      <c r="U15" s="1573">
        <f t="shared" si="1"/>
        <v>102</v>
      </c>
      <c r="V15" s="1572" t="s">
        <v>8</v>
      </c>
      <c r="W15" s="1573">
        <f t="shared" si="2"/>
        <v>102</v>
      </c>
      <c r="X15" s="1566"/>
      <c r="Y15" s="3403" t="s">
        <v>541</v>
      </c>
      <c r="Z15" s="1574" t="str">
        <f t="shared" si="7"/>
        <v>办公集聚程度</v>
      </c>
      <c r="AA15" s="1575">
        <f t="shared" si="3"/>
        <v>0.98039215686274506</v>
      </c>
      <c r="AB15" s="1575">
        <f t="shared" si="4"/>
        <v>0.98039215686274506</v>
      </c>
      <c r="AC15" s="1575">
        <f t="shared" si="5"/>
        <v>0.98039215686274506</v>
      </c>
    </row>
    <row r="16" spans="1:29" ht="15">
      <c r="A16" s="532"/>
      <c r="B16" s="553"/>
      <c r="C16" s="554" t="s">
        <v>3043</v>
      </c>
      <c r="D16" s="555"/>
      <c r="E16" s="576" t="s">
        <v>3041</v>
      </c>
      <c r="F16" s="555"/>
      <c r="G16" s="554" t="s">
        <v>3041</v>
      </c>
      <c r="H16" s="559"/>
      <c r="I16" s="576" t="s">
        <v>3041</v>
      </c>
      <c r="J16" s="555"/>
      <c r="K16" s="899"/>
      <c r="L16" s="2141"/>
      <c r="M16" s="2133"/>
      <c r="N16" s="2133"/>
      <c r="O16" s="2133"/>
      <c r="P16" s="3404"/>
      <c r="Q16" s="1571"/>
      <c r="R16" s="1572"/>
      <c r="S16" s="1573"/>
      <c r="T16" s="1572"/>
      <c r="U16" s="1573"/>
      <c r="V16" s="1572"/>
      <c r="W16" s="1573"/>
      <c r="X16" s="1566"/>
      <c r="Y16" s="3404"/>
      <c r="Z16" s="1574"/>
      <c r="AA16" s="1575">
        <v>1</v>
      </c>
      <c r="AB16" s="1575">
        <v>1</v>
      </c>
      <c r="AC16" s="1575">
        <v>1</v>
      </c>
    </row>
    <row r="17" spans="1:29" ht="71.2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1"/>
      <c r="M17" s="2133"/>
      <c r="N17" s="2133"/>
      <c r="O17" s="2133"/>
      <c r="P17" s="3404"/>
      <c r="Q17" s="1571" t="str">
        <f>B17</f>
        <v>交通便捷度</v>
      </c>
      <c r="R17" s="1572" t="s">
        <v>8</v>
      </c>
      <c r="S17" s="1573">
        <f>F17</f>
        <v>100</v>
      </c>
      <c r="T17" s="1572" t="s">
        <v>8</v>
      </c>
      <c r="U17" s="1573">
        <f>H17</f>
        <v>100</v>
      </c>
      <c r="V17" s="1572" t="s">
        <v>8</v>
      </c>
      <c r="W17" s="1573">
        <f>J17</f>
        <v>100</v>
      </c>
      <c r="X17" s="1566"/>
      <c r="Y17" s="3404"/>
      <c r="Z17" s="1574" t="str">
        <f>Q17</f>
        <v>交通便捷度</v>
      </c>
      <c r="AA17" s="1575">
        <f t="shared" si="3"/>
        <v>1</v>
      </c>
      <c r="AB17" s="1575">
        <f t="shared" si="4"/>
        <v>1</v>
      </c>
      <c r="AC17" s="1575">
        <f t="shared" si="5"/>
        <v>1</v>
      </c>
    </row>
    <row r="18" spans="1:29" ht="15">
      <c r="A18" s="532"/>
      <c r="B18" s="566"/>
      <c r="C18" s="567" t="s">
        <v>3041</v>
      </c>
      <c r="D18" s="559"/>
      <c r="E18" s="569" t="s">
        <v>3041</v>
      </c>
      <c r="F18" s="559"/>
      <c r="G18" s="568" t="s">
        <v>3041</v>
      </c>
      <c r="H18" s="555"/>
      <c r="I18" s="568" t="s">
        <v>3041</v>
      </c>
      <c r="J18" s="555"/>
      <c r="K18" s="899"/>
      <c r="L18" s="2141"/>
      <c r="M18" s="2133"/>
      <c r="N18" s="2133"/>
      <c r="O18" s="2133"/>
      <c r="P18" s="3404"/>
      <c r="Q18" s="1571"/>
      <c r="R18" s="1572"/>
      <c r="S18" s="1573"/>
      <c r="T18" s="1572"/>
      <c r="U18" s="1573"/>
      <c r="V18" s="1572"/>
      <c r="W18" s="1573"/>
      <c r="X18" s="1566"/>
      <c r="Y18" s="3404"/>
      <c r="Z18" s="1574"/>
      <c r="AA18" s="1575">
        <v>1</v>
      </c>
      <c r="AB18" s="1575">
        <v>1</v>
      </c>
      <c r="AC18" s="1575">
        <v>1</v>
      </c>
    </row>
    <row r="19" spans="1:29" ht="42.75">
      <c r="A19" s="532"/>
      <c r="B19" s="2626" t="s">
        <v>2546</v>
      </c>
      <c r="C19" s="573" t="str">
        <f>估价对象房地状况!C7</f>
        <v>估价对象所在区域公共配套设施齐备情况</v>
      </c>
      <c r="D19" s="565">
        <v>100</v>
      </c>
      <c r="E19" s="572"/>
      <c r="F19" s="565">
        <f>SUMIF(81:81,E20,82:82)-SUMIF(81:81,C20,82:82)+100</f>
        <v>104</v>
      </c>
      <c r="G19" s="570"/>
      <c r="H19" s="559">
        <f>SUMIF(81:81,G20,82:82)-SUMIF(81:81,C20,82:82)+100</f>
        <v>102</v>
      </c>
      <c r="I19" s="570"/>
      <c r="J19" s="559">
        <f>SUMIF(81:81,I20,82:82)-SUMIF(81:81,C20,82:82)+100</f>
        <v>104</v>
      </c>
      <c r="K19" s="898">
        <v>2</v>
      </c>
      <c r="L19" s="2141"/>
      <c r="M19" s="2133"/>
      <c r="N19" s="2133"/>
      <c r="O19" s="2133"/>
      <c r="P19" s="3404"/>
      <c r="Q19" s="1571" t="str">
        <f>B19</f>
        <v>公共配套设施</v>
      </c>
      <c r="R19" s="1572" t="s">
        <v>8</v>
      </c>
      <c r="S19" s="1573">
        <f>F19</f>
        <v>104</v>
      </c>
      <c r="T19" s="1572" t="s">
        <v>8</v>
      </c>
      <c r="U19" s="1573">
        <f>H19</f>
        <v>102</v>
      </c>
      <c r="V19" s="1572" t="s">
        <v>8</v>
      </c>
      <c r="W19" s="1573">
        <f>J19</f>
        <v>104</v>
      </c>
      <c r="X19" s="1566"/>
      <c r="Y19" s="3404"/>
      <c r="Z19" s="1574" t="str">
        <f>Q19</f>
        <v>公共配套设施</v>
      </c>
      <c r="AA19" s="1575">
        <f t="shared" si="3"/>
        <v>0.96153846153846156</v>
      </c>
      <c r="AB19" s="1575">
        <f t="shared" si="4"/>
        <v>0.98039215686274506</v>
      </c>
      <c r="AC19" s="1575">
        <f t="shared" si="5"/>
        <v>0.96153846153846156</v>
      </c>
    </row>
    <row r="20" spans="1:29" ht="15">
      <c r="A20" s="532"/>
      <c r="B20" s="566"/>
      <c r="C20" s="554" t="s">
        <v>3043</v>
      </c>
      <c r="D20" s="555"/>
      <c r="E20" s="558" t="s">
        <v>3039</v>
      </c>
      <c r="F20" s="555"/>
      <c r="G20" s="556" t="s">
        <v>3041</v>
      </c>
      <c r="H20" s="555"/>
      <c r="I20" s="556" t="s">
        <v>3039</v>
      </c>
      <c r="J20" s="555"/>
      <c r="K20" s="899"/>
      <c r="L20" s="2141"/>
      <c r="M20" s="2133"/>
      <c r="N20" s="2133"/>
      <c r="O20" s="2133"/>
      <c r="P20" s="3404"/>
      <c r="Q20" s="1571"/>
      <c r="R20" s="1572"/>
      <c r="S20" s="1573"/>
      <c r="T20" s="1572"/>
      <c r="U20" s="1573"/>
      <c r="V20" s="1572"/>
      <c r="W20" s="1573"/>
      <c r="X20" s="1566"/>
      <c r="Y20" s="3404"/>
      <c r="Z20" s="1574"/>
      <c r="AA20" s="1575">
        <v>1</v>
      </c>
      <c r="AB20" s="1575">
        <v>1</v>
      </c>
      <c r="AC20" s="1575">
        <v>1</v>
      </c>
    </row>
    <row r="21" spans="1:29" ht="28.5">
      <c r="A21" s="532"/>
      <c r="B21" s="2614"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1"/>
      <c r="M21" s="2133"/>
      <c r="N21" s="2133"/>
      <c r="O21" s="2133"/>
      <c r="P21" s="3404"/>
      <c r="Q21" s="2602" t="str">
        <f>B21</f>
        <v>基础设施水平</v>
      </c>
      <c r="R21" s="1572" t="s">
        <v>8</v>
      </c>
      <c r="S21" s="1573">
        <f>F21</f>
        <v>100</v>
      </c>
      <c r="T21" s="1572" t="s">
        <v>8</v>
      </c>
      <c r="U21" s="1573">
        <f>H21</f>
        <v>100</v>
      </c>
      <c r="V21" s="1572" t="s">
        <v>8</v>
      </c>
      <c r="W21" s="1573">
        <f>J21</f>
        <v>100</v>
      </c>
      <c r="X21" s="2604"/>
      <c r="Y21" s="3404"/>
      <c r="Z21" s="2603" t="str">
        <f>Q21</f>
        <v>基础设施水平</v>
      </c>
      <c r="AA21" s="1575">
        <f t="shared" ref="AA21" si="8">D21/F21</f>
        <v>1</v>
      </c>
      <c r="AB21" s="1575">
        <f t="shared" ref="AB21" si="9">D21/H21</f>
        <v>1</v>
      </c>
      <c r="AC21" s="1575">
        <f t="shared" ref="AC21" si="10">D21/J21</f>
        <v>1</v>
      </c>
    </row>
    <row r="22" spans="1:29" ht="15">
      <c r="A22" s="532"/>
      <c r="B22" s="578"/>
      <c r="C22" s="567" t="s">
        <v>3048</v>
      </c>
      <c r="D22" s="555"/>
      <c r="E22" s="576" t="s">
        <v>3048</v>
      </c>
      <c r="F22" s="555"/>
      <c r="G22" s="554" t="s">
        <v>3048</v>
      </c>
      <c r="H22" s="555"/>
      <c r="I22" s="554" t="s">
        <v>3048</v>
      </c>
      <c r="J22" s="555"/>
      <c r="K22" s="2625"/>
      <c r="L22" s="2141"/>
      <c r="M22" s="2133"/>
      <c r="N22" s="2133"/>
      <c r="O22" s="2133"/>
      <c r="P22" s="3404"/>
      <c r="Q22" s="2602"/>
      <c r="R22" s="1572"/>
      <c r="S22" s="1573"/>
      <c r="T22" s="1572"/>
      <c r="U22" s="1573"/>
      <c r="V22" s="1572"/>
      <c r="W22" s="1573"/>
      <c r="X22" s="2604"/>
      <c r="Y22" s="3404"/>
      <c r="Z22" s="2603"/>
      <c r="AA22" s="1575">
        <v>1</v>
      </c>
      <c r="AB22" s="1575">
        <v>1</v>
      </c>
      <c r="AC22" s="1575">
        <v>1</v>
      </c>
    </row>
    <row r="23" spans="1:29" ht="42.75">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1"/>
      <c r="M23" s="2133"/>
      <c r="N23" s="2133"/>
      <c r="O23" s="2133"/>
      <c r="P23" s="3404"/>
      <c r="Q23" s="1571" t="str">
        <f>B23</f>
        <v>环境质量</v>
      </c>
      <c r="R23" s="1572" t="s">
        <v>8</v>
      </c>
      <c r="S23" s="1573">
        <f>F23</f>
        <v>100</v>
      </c>
      <c r="T23" s="1572" t="s">
        <v>8</v>
      </c>
      <c r="U23" s="1573">
        <f>H23</f>
        <v>100</v>
      </c>
      <c r="V23" s="1572" t="s">
        <v>8</v>
      </c>
      <c r="W23" s="1573">
        <f>J23</f>
        <v>100</v>
      </c>
      <c r="X23" s="1566"/>
      <c r="Y23" s="3404"/>
      <c r="Z23" s="1574" t="str">
        <f>Q23</f>
        <v>环境质量</v>
      </c>
      <c r="AA23" s="1575">
        <f t="shared" si="3"/>
        <v>1</v>
      </c>
      <c r="AB23" s="1575">
        <f t="shared" si="4"/>
        <v>1</v>
      </c>
      <c r="AC23" s="1575">
        <f t="shared" si="5"/>
        <v>1</v>
      </c>
    </row>
    <row r="24" spans="1:29" ht="15">
      <c r="A24" s="532"/>
      <c r="B24" s="578"/>
      <c r="C24" s="554" t="s">
        <v>3041</v>
      </c>
      <c r="D24" s="555"/>
      <c r="E24" s="558" t="s">
        <v>3041</v>
      </c>
      <c r="F24" s="555"/>
      <c r="G24" s="556" t="s">
        <v>3041</v>
      </c>
      <c r="H24" s="555"/>
      <c r="I24" s="556" t="s">
        <v>3041</v>
      </c>
      <c r="J24" s="555"/>
      <c r="K24" s="899"/>
      <c r="L24" s="2141"/>
      <c r="M24" s="2133"/>
      <c r="N24" s="2133"/>
      <c r="O24" s="2133"/>
      <c r="P24" s="3404"/>
      <c r="Q24" s="1571"/>
      <c r="R24" s="1572"/>
      <c r="S24" s="1573"/>
      <c r="T24" s="1572"/>
      <c r="U24" s="1573"/>
      <c r="V24" s="1572"/>
      <c r="W24" s="1573"/>
      <c r="X24" s="1566"/>
      <c r="Y24" s="3404"/>
      <c r="Z24" s="1574"/>
      <c r="AA24" s="1575">
        <v>1</v>
      </c>
      <c r="AB24" s="1575">
        <v>1</v>
      </c>
      <c r="AC24" s="1575">
        <v>1</v>
      </c>
    </row>
    <row r="25" spans="1:29" ht="27">
      <c r="A25" s="515"/>
      <c r="B25" s="560" t="s">
        <v>549</v>
      </c>
      <c r="C25" s="3198" t="s">
        <v>3154</v>
      </c>
      <c r="D25" s="540">
        <v>100</v>
      </c>
      <c r="E25" s="539"/>
      <c r="F25" s="540">
        <f>SUMIF(87:87,E26,88:88)-SUMIF(87:87,C26,88:88)+100</f>
        <v>100</v>
      </c>
      <c r="G25" s="911"/>
      <c r="H25" s="540">
        <f>SUMIF(87:87,G26,88:88)-SUMIF(87:87,C26,88:88)+100</f>
        <v>100</v>
      </c>
      <c r="I25" s="539"/>
      <c r="J25" s="540">
        <f>SUMIF(87:87,I26,88:88)-SUMIF(87:87,C26,88:88)+100</f>
        <v>100</v>
      </c>
      <c r="K25" s="898"/>
      <c r="L25" s="2141"/>
      <c r="M25" s="2133"/>
      <c r="N25" s="2133"/>
      <c r="O25" s="2133"/>
      <c r="P25" s="3404"/>
      <c r="Q25" s="1571" t="str">
        <f>B25</f>
        <v>毗邻道路的类型与等级</v>
      </c>
      <c r="R25" s="1572" t="s">
        <v>8</v>
      </c>
      <c r="S25" s="1573">
        <f>F25</f>
        <v>100</v>
      </c>
      <c r="T25" s="1572" t="s">
        <v>8</v>
      </c>
      <c r="U25" s="1573">
        <f>H25</f>
        <v>100</v>
      </c>
      <c r="V25" s="1572" t="s">
        <v>8</v>
      </c>
      <c r="W25" s="1573">
        <f>J25</f>
        <v>100</v>
      </c>
      <c r="X25" s="1566"/>
      <c r="Y25" s="3404"/>
      <c r="Z25" s="1574" t="str">
        <f>Q25</f>
        <v>毗邻道路的类型与等级</v>
      </c>
      <c r="AA25" s="1575">
        <f t="shared" si="3"/>
        <v>1</v>
      </c>
      <c r="AB25" s="1575">
        <f t="shared" si="4"/>
        <v>1</v>
      </c>
      <c r="AC25" s="1575">
        <f t="shared" si="5"/>
        <v>1</v>
      </c>
    </row>
    <row r="26" spans="1:29" ht="15.75" thickBot="1">
      <c r="A26" s="515"/>
      <c r="B26" s="566"/>
      <c r="C26" s="580" t="s">
        <v>3029</v>
      </c>
      <c r="D26" s="540"/>
      <c r="E26" s="583" t="s">
        <v>3029</v>
      </c>
      <c r="F26" s="540"/>
      <c r="G26" s="580" t="s">
        <v>3029</v>
      </c>
      <c r="H26" s="540"/>
      <c r="I26" s="583" t="s">
        <v>3029</v>
      </c>
      <c r="J26" s="540"/>
      <c r="K26" s="899"/>
      <c r="L26" s="2141"/>
      <c r="M26" s="2133"/>
      <c r="N26" s="2133"/>
      <c r="O26" s="2133"/>
      <c r="P26" s="3404"/>
      <c r="Q26" s="1571"/>
      <c r="R26" s="1572"/>
      <c r="S26" s="1573"/>
      <c r="T26" s="1572"/>
      <c r="U26" s="1573"/>
      <c r="V26" s="1572"/>
      <c r="W26" s="1573"/>
      <c r="X26" s="1566"/>
      <c r="Y26" s="3404"/>
      <c r="Z26" s="1574"/>
      <c r="AA26" s="1575">
        <v>1</v>
      </c>
      <c r="AB26" s="1575">
        <v>1</v>
      </c>
      <c r="AC26" s="1575">
        <v>1</v>
      </c>
    </row>
    <row r="27" spans="1:29" ht="15.75" hidden="1" thickBot="1">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04"/>
      <c r="Q27" s="1571" t="str">
        <f t="shared" ref="Q27:Q47" si="11">B27</f>
        <v>楼层</v>
      </c>
      <c r="R27" s="1572" t="s">
        <v>8</v>
      </c>
      <c r="S27" s="1573">
        <f>F27</f>
        <v>100</v>
      </c>
      <c r="T27" s="1572" t="s">
        <v>8</v>
      </c>
      <c r="U27" s="1573">
        <f>H27</f>
        <v>100</v>
      </c>
      <c r="V27" s="1572" t="s">
        <v>8</v>
      </c>
      <c r="W27" s="1573">
        <f>J27</f>
        <v>100</v>
      </c>
      <c r="X27" s="1566"/>
      <c r="Y27" s="3404"/>
      <c r="Z27" s="1574" t="str">
        <f>Q27</f>
        <v>楼层</v>
      </c>
      <c r="AA27" s="1575">
        <f t="shared" si="3"/>
        <v>1</v>
      </c>
      <c r="AB27" s="1575">
        <f t="shared" si="4"/>
        <v>1</v>
      </c>
      <c r="AC27" s="1575">
        <f t="shared" si="5"/>
        <v>1</v>
      </c>
    </row>
    <row r="28" spans="1:29" s="1219" customFormat="1" ht="15" hidden="1">
      <c r="A28" s="536"/>
      <c r="B28" s="560" t="s">
        <v>780</v>
      </c>
      <c r="C28" s="912"/>
      <c r="D28" s="875">
        <v>100</v>
      </c>
      <c r="E28" s="901"/>
      <c r="F28" s="875">
        <f>SUMIF(91:91,E28,92:92)-SUMIF(91:91,C28,92:92)+100</f>
        <v>100</v>
      </c>
      <c r="G28" s="912"/>
      <c r="H28" s="875">
        <f>SUMIF(91:91,G28,92:92)-SUMIF(91:91,C28,92:92)+100</f>
        <v>100</v>
      </c>
      <c r="I28" s="901"/>
      <c r="J28" s="875">
        <f>SUMIF(91:91,I28,92:92)-SUMIF(91:91,C28,92:92)+100</f>
        <v>100</v>
      </c>
      <c r="K28" s="584"/>
      <c r="L28" s="2134"/>
      <c r="M28" s="2135"/>
      <c r="N28" s="2135"/>
      <c r="O28" s="2135"/>
      <c r="P28" s="3404"/>
      <c r="Q28" s="1150" t="str">
        <f t="shared" si="11"/>
        <v>朝向</v>
      </c>
      <c r="R28" s="1567" t="s">
        <v>8</v>
      </c>
      <c r="S28" s="1568">
        <f>F28</f>
        <v>100</v>
      </c>
      <c r="T28" s="1567" t="s">
        <v>8</v>
      </c>
      <c r="U28" s="1568">
        <f>H28</f>
        <v>100</v>
      </c>
      <c r="V28" s="1567" t="s">
        <v>8</v>
      </c>
      <c r="W28" s="1568">
        <f>J28</f>
        <v>100</v>
      </c>
      <c r="X28" s="1569"/>
      <c r="Y28" s="3404"/>
      <c r="Z28" s="1149" t="str">
        <f>Q28</f>
        <v>朝向</v>
      </c>
      <c r="AA28" s="1575">
        <f>D28/F28</f>
        <v>1</v>
      </c>
      <c r="AB28" s="1575">
        <f>D28/H28</f>
        <v>1</v>
      </c>
      <c r="AC28" s="1575">
        <f>D28/J28</f>
        <v>1</v>
      </c>
    </row>
    <row r="29" spans="1:29" ht="15" hidden="1">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04"/>
      <c r="Q29" s="1571">
        <f t="shared" si="11"/>
        <v>111</v>
      </c>
      <c r="R29" s="1572" t="s">
        <v>8</v>
      </c>
      <c r="S29" s="1573">
        <f t="shared" ref="S29:S47" si="12">F29</f>
        <v>100</v>
      </c>
      <c r="T29" s="1572" t="s">
        <v>8</v>
      </c>
      <c r="U29" s="1573">
        <f t="shared" ref="U29:U47" si="13">H29</f>
        <v>100</v>
      </c>
      <c r="V29" s="1572" t="s">
        <v>8</v>
      </c>
      <c r="W29" s="1573">
        <f t="shared" ref="W29:W47" si="14">J29</f>
        <v>100</v>
      </c>
      <c r="X29" s="1566"/>
      <c r="Y29" s="3404"/>
      <c r="Z29" s="1574">
        <f t="shared" ref="Z29:Z47" si="15">Q29</f>
        <v>111</v>
      </c>
      <c r="AA29" s="1575">
        <f t="shared" si="3"/>
        <v>1</v>
      </c>
      <c r="AB29" s="1575">
        <f t="shared" si="4"/>
        <v>1</v>
      </c>
      <c r="AC29" s="1575">
        <f t="shared" si="5"/>
        <v>1</v>
      </c>
    </row>
    <row r="30" spans="1:29" ht="15" hidden="1">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04"/>
      <c r="Q30" s="1571">
        <f t="shared" si="11"/>
        <v>111</v>
      </c>
      <c r="R30" s="1572" t="s">
        <v>8</v>
      </c>
      <c r="S30" s="1573">
        <f t="shared" si="12"/>
        <v>100</v>
      </c>
      <c r="T30" s="1572" t="s">
        <v>8</v>
      </c>
      <c r="U30" s="1573">
        <f t="shared" si="13"/>
        <v>100</v>
      </c>
      <c r="V30" s="1572" t="s">
        <v>8</v>
      </c>
      <c r="W30" s="1573">
        <f t="shared" si="14"/>
        <v>100</v>
      </c>
      <c r="X30" s="1566"/>
      <c r="Y30" s="3404"/>
      <c r="Z30" s="1574">
        <f t="shared" si="15"/>
        <v>111</v>
      </c>
      <c r="AA30" s="1575">
        <f t="shared" si="3"/>
        <v>1</v>
      </c>
      <c r="AB30" s="1575">
        <f t="shared" si="4"/>
        <v>1</v>
      </c>
      <c r="AC30" s="1575">
        <f t="shared" si="5"/>
        <v>1</v>
      </c>
    </row>
    <row r="31" spans="1:29" ht="15" hidden="1">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04"/>
      <c r="Q31" s="1571">
        <f t="shared" si="11"/>
        <v>111</v>
      </c>
      <c r="R31" s="1572" t="s">
        <v>8</v>
      </c>
      <c r="S31" s="1573">
        <f t="shared" si="12"/>
        <v>100</v>
      </c>
      <c r="T31" s="1572" t="s">
        <v>8</v>
      </c>
      <c r="U31" s="1573">
        <f t="shared" si="13"/>
        <v>100</v>
      </c>
      <c r="V31" s="1572" t="s">
        <v>8</v>
      </c>
      <c r="W31" s="1573">
        <f t="shared" si="14"/>
        <v>100</v>
      </c>
      <c r="X31" s="1566"/>
      <c r="Y31" s="3404"/>
      <c r="Z31" s="1574">
        <f t="shared" si="15"/>
        <v>111</v>
      </c>
      <c r="AA31" s="1575">
        <f t="shared" si="3"/>
        <v>1</v>
      </c>
      <c r="AB31" s="1575">
        <f t="shared" si="4"/>
        <v>1</v>
      </c>
      <c r="AC31" s="1575">
        <f t="shared" si="5"/>
        <v>1</v>
      </c>
    </row>
    <row r="32" spans="1:29" ht="15.75" hidden="1"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04"/>
      <c r="Q32" s="1571">
        <f t="shared" si="11"/>
        <v>111</v>
      </c>
      <c r="R32" s="1572" t="s">
        <v>8</v>
      </c>
      <c r="S32" s="1573">
        <f t="shared" si="12"/>
        <v>100</v>
      </c>
      <c r="T32" s="1572" t="s">
        <v>8</v>
      </c>
      <c r="U32" s="1573">
        <f t="shared" si="13"/>
        <v>100</v>
      </c>
      <c r="V32" s="1572" t="s">
        <v>8</v>
      </c>
      <c r="W32" s="1573">
        <f t="shared" si="14"/>
        <v>100</v>
      </c>
      <c r="X32" s="1566"/>
      <c r="Y32" s="3404"/>
      <c r="Z32" s="1574">
        <f t="shared" si="15"/>
        <v>111</v>
      </c>
      <c r="AA32" s="1575">
        <f t="shared" si="3"/>
        <v>1</v>
      </c>
      <c r="AB32" s="1575">
        <f t="shared" si="4"/>
        <v>1</v>
      </c>
      <c r="AC32" s="1575">
        <f t="shared" si="5"/>
        <v>1</v>
      </c>
    </row>
    <row r="33" spans="1:29" ht="15">
      <c r="A33" s="2932" t="s">
        <v>2756</v>
      </c>
      <c r="B33" s="172" t="s">
        <v>781</v>
      </c>
      <c r="C33" s="915" t="s">
        <v>3078</v>
      </c>
      <c r="D33" s="597">
        <v>100</v>
      </c>
      <c r="E33" s="915" t="s">
        <v>3078</v>
      </c>
      <c r="F33" s="575">
        <f>SUMIF(101:101,E33,102:102)-SUMIF(101:101,C33,102:102)+100</f>
        <v>100</v>
      </c>
      <c r="G33" s="915" t="s">
        <v>3078</v>
      </c>
      <c r="H33" s="540">
        <f>SUMIF(101:101,G33,102:102)-SUMIF(101:101,C33,102:102)+100</f>
        <v>100</v>
      </c>
      <c r="I33" s="915" t="s">
        <v>3078</v>
      </c>
      <c r="J33" s="597">
        <f>SUMIF(101:101,I33,102:102)-SUMIF(101:101,C33,102:102)+100</f>
        <v>100</v>
      </c>
      <c r="K33" s="584"/>
      <c r="L33" s="2141"/>
      <c r="M33" s="2133"/>
      <c r="N33" s="2133"/>
      <c r="O33" s="2133"/>
      <c r="P33" s="3405" t="s">
        <v>551</v>
      </c>
      <c r="Q33" s="1571" t="str">
        <f t="shared" si="11"/>
        <v>建筑类型</v>
      </c>
      <c r="R33" s="1572" t="s">
        <v>8</v>
      </c>
      <c r="S33" s="1573">
        <f t="shared" si="12"/>
        <v>100</v>
      </c>
      <c r="T33" s="1572" t="s">
        <v>8</v>
      </c>
      <c r="U33" s="1573">
        <f t="shared" si="13"/>
        <v>100</v>
      </c>
      <c r="V33" s="1572" t="s">
        <v>8</v>
      </c>
      <c r="W33" s="1573">
        <f t="shared" si="14"/>
        <v>100</v>
      </c>
      <c r="X33" s="1566"/>
      <c r="Y33" s="3406" t="s">
        <v>551</v>
      </c>
      <c r="Z33" s="1574" t="str">
        <f t="shared" si="15"/>
        <v>建筑类型</v>
      </c>
      <c r="AA33" s="1575">
        <f t="shared" si="3"/>
        <v>1</v>
      </c>
      <c r="AB33" s="1575">
        <f t="shared" si="4"/>
        <v>1</v>
      </c>
      <c r="AC33" s="1575">
        <f t="shared" si="5"/>
        <v>1</v>
      </c>
    </row>
    <row r="34" spans="1:29" s="1338" customFormat="1" ht="15">
      <c r="A34" s="603"/>
      <c r="B34" s="527" t="s">
        <v>727</v>
      </c>
      <c r="C34" s="880">
        <f>'不动产比较法-商业'!C33</f>
        <v>204632.7</v>
      </c>
      <c r="D34" s="255">
        <v>100</v>
      </c>
      <c r="E34" s="534">
        <f>'不动产比较法-商业'!E33</f>
        <v>902600</v>
      </c>
      <c r="F34" s="863">
        <f>LOOKUP(E34,104:104,105:105)-LOOKUP(C34,104:104,105:105)+100</f>
        <v>103</v>
      </c>
      <c r="G34" s="533">
        <f>'不动产比较法-商业'!G33</f>
        <v>1000000</v>
      </c>
      <c r="H34" s="255">
        <f>LOOKUP(G34,104:104,105:105)-LOOKUP(C34,104:104,105:105)+100</f>
        <v>103</v>
      </c>
      <c r="I34" s="533">
        <v>136667</v>
      </c>
      <c r="J34" s="255">
        <f>LOOKUP(I34,104:104,105:105)-LOOKUP(C34,104:104,105:105)+100</f>
        <v>99</v>
      </c>
      <c r="K34" s="581"/>
      <c r="L34" s="2139"/>
      <c r="M34" s="2170"/>
      <c r="N34" s="2170"/>
      <c r="O34" s="2170"/>
      <c r="P34" s="3406"/>
      <c r="Q34" s="1604" t="str">
        <f t="shared" si="11"/>
        <v>项目建筑规模</v>
      </c>
      <c r="R34" s="1576" t="s">
        <v>8</v>
      </c>
      <c r="S34" s="1577">
        <f t="shared" si="12"/>
        <v>103</v>
      </c>
      <c r="T34" s="1576" t="s">
        <v>8</v>
      </c>
      <c r="U34" s="1577">
        <f t="shared" si="13"/>
        <v>103</v>
      </c>
      <c r="V34" s="1576" t="s">
        <v>8</v>
      </c>
      <c r="W34" s="1577">
        <f t="shared" si="14"/>
        <v>99</v>
      </c>
      <c r="X34" s="1578"/>
      <c r="Y34" s="3406"/>
      <c r="Z34" s="1579" t="str">
        <f t="shared" si="15"/>
        <v>项目建筑规模</v>
      </c>
      <c r="AA34" s="1575">
        <f t="shared" si="3"/>
        <v>0.970873786407767</v>
      </c>
      <c r="AB34" s="1575">
        <f t="shared" si="4"/>
        <v>0.970873786407767</v>
      </c>
      <c r="AC34" s="1575">
        <f t="shared" si="5"/>
        <v>1.0101010101010102</v>
      </c>
    </row>
    <row r="35" spans="1:29" ht="15">
      <c r="A35" s="594"/>
      <c r="B35" s="527" t="s">
        <v>728</v>
      </c>
      <c r="C35" s="574" t="s">
        <v>3078</v>
      </c>
      <c r="D35" s="540">
        <v>100</v>
      </c>
      <c r="E35" s="574" t="s">
        <v>3078</v>
      </c>
      <c r="F35" s="575">
        <f>SUMIF(106:106,E35,107:107)-SUMIF(106:106,C35,107:107)+100</f>
        <v>100</v>
      </c>
      <c r="G35" s="574" t="s">
        <v>3078</v>
      </c>
      <c r="H35" s="540">
        <f>SUMIF(106:106,G35,107:107)-SUMIF(106:106,C35,107:107)+100</f>
        <v>100</v>
      </c>
      <c r="I35" s="574" t="s">
        <v>3078</v>
      </c>
      <c r="J35" s="540">
        <f>SUMIF(106:106,I35,107:107)-SUMIF(106:106,C35,107:107)+100</f>
        <v>100</v>
      </c>
      <c r="K35" s="584"/>
      <c r="L35" s="2141"/>
      <c r="M35" s="2133"/>
      <c r="N35" s="2133"/>
      <c r="O35" s="2133"/>
      <c r="P35" s="3406"/>
      <c r="Q35" s="1571" t="str">
        <f t="shared" si="11"/>
        <v>建筑结构</v>
      </c>
      <c r="R35" s="1572" t="s">
        <v>8</v>
      </c>
      <c r="S35" s="1573">
        <f t="shared" si="12"/>
        <v>100</v>
      </c>
      <c r="T35" s="1572" t="s">
        <v>8</v>
      </c>
      <c r="U35" s="1573">
        <f t="shared" si="13"/>
        <v>100</v>
      </c>
      <c r="V35" s="1572" t="s">
        <v>8</v>
      </c>
      <c r="W35" s="1573">
        <f t="shared" si="14"/>
        <v>100</v>
      </c>
      <c r="X35" s="1566"/>
      <c r="Y35" s="3406"/>
      <c r="Z35" s="1574" t="str">
        <f t="shared" si="15"/>
        <v>建筑结构</v>
      </c>
      <c r="AA35" s="1575">
        <f t="shared" si="3"/>
        <v>1</v>
      </c>
      <c r="AB35" s="1575">
        <f t="shared" si="4"/>
        <v>1</v>
      </c>
      <c r="AC35" s="1575">
        <f t="shared" si="5"/>
        <v>1</v>
      </c>
    </row>
    <row r="36" spans="1:29" ht="15">
      <c r="A36" s="594"/>
      <c r="B36" s="527" t="s">
        <v>764</v>
      </c>
      <c r="C36" s="574" t="s">
        <v>3086</v>
      </c>
      <c r="D36" s="540">
        <v>100</v>
      </c>
      <c r="E36" s="574" t="s">
        <v>3086</v>
      </c>
      <c r="F36" s="575">
        <f>SUMIF(108:108,E36,109:109)-SUMIF(108:108,C36,109:109)+100</f>
        <v>100</v>
      </c>
      <c r="G36" s="574" t="s">
        <v>3086</v>
      </c>
      <c r="H36" s="540">
        <f>SUMIF(108:108,G36,109:109)-SUMIF(108:108,C36,109:109)+100</f>
        <v>100</v>
      </c>
      <c r="I36" s="574" t="s">
        <v>3086</v>
      </c>
      <c r="J36" s="540">
        <f>SUMIF(108:108,I36,109:109)-SUMIF(108:108,C36,109:109)+100</f>
        <v>100</v>
      </c>
      <c r="K36" s="584"/>
      <c r="L36" s="2141"/>
      <c r="M36" s="2133"/>
      <c r="N36" s="2133"/>
      <c r="O36" s="2133"/>
      <c r="P36" s="3406"/>
      <c r="Q36" s="1571" t="str">
        <f t="shared" si="11"/>
        <v>公共部分装修</v>
      </c>
      <c r="R36" s="1572" t="s">
        <v>8</v>
      </c>
      <c r="S36" s="1573">
        <f t="shared" si="12"/>
        <v>100</v>
      </c>
      <c r="T36" s="1572" t="s">
        <v>8</v>
      </c>
      <c r="U36" s="1573">
        <f t="shared" si="13"/>
        <v>100</v>
      </c>
      <c r="V36" s="1572" t="s">
        <v>8</v>
      </c>
      <c r="W36" s="1573">
        <f t="shared" si="14"/>
        <v>100</v>
      </c>
      <c r="X36" s="1566"/>
      <c r="Y36" s="3406"/>
      <c r="Z36" s="1574" t="str">
        <f t="shared" si="15"/>
        <v>公共部分装修</v>
      </c>
      <c r="AA36" s="1575">
        <f t="shared" si="3"/>
        <v>1</v>
      </c>
      <c r="AB36" s="1575">
        <f t="shared" si="4"/>
        <v>1</v>
      </c>
      <c r="AC36" s="1575">
        <f t="shared" si="5"/>
        <v>1</v>
      </c>
    </row>
    <row r="37" spans="1:29" ht="15">
      <c r="A37" s="594"/>
      <c r="B37" s="527" t="s">
        <v>765</v>
      </c>
      <c r="C37" s="883">
        <v>1</v>
      </c>
      <c r="D37" s="540">
        <v>100</v>
      </c>
      <c r="E37" s="883">
        <v>1</v>
      </c>
      <c r="F37" s="575">
        <f>LOOKUP(E37,111:111,112:112)-LOOKUP(C37,111:111,112:112)+100</f>
        <v>100</v>
      </c>
      <c r="G37" s="883">
        <v>1</v>
      </c>
      <c r="H37" s="575">
        <f>LOOKUP(G37,111:111,112:112)-LOOKUP(C37,111:111,112:112)+100</f>
        <v>100</v>
      </c>
      <c r="I37" s="883">
        <v>1</v>
      </c>
      <c r="J37" s="540">
        <f>LOOKUP(I37,111:111,112:112)-LOOKUP(C37,111:111,112:112)+100</f>
        <v>100</v>
      </c>
      <c r="K37" s="584"/>
      <c r="L37" s="2141"/>
      <c r="M37" s="2133"/>
      <c r="N37" s="2133"/>
      <c r="O37" s="2133"/>
      <c r="P37" s="3406"/>
      <c r="Q37" s="1571" t="str">
        <f t="shared" si="11"/>
        <v>成新度</v>
      </c>
      <c r="R37" s="1572" t="s">
        <v>8</v>
      </c>
      <c r="S37" s="1573">
        <f t="shared" si="12"/>
        <v>100</v>
      </c>
      <c r="T37" s="1572" t="s">
        <v>8</v>
      </c>
      <c r="U37" s="1573">
        <f t="shared" si="13"/>
        <v>100</v>
      </c>
      <c r="V37" s="1572" t="s">
        <v>8</v>
      </c>
      <c r="W37" s="1573">
        <f t="shared" si="14"/>
        <v>100</v>
      </c>
      <c r="X37" s="1566"/>
      <c r="Y37" s="3406"/>
      <c r="Z37" s="1574" t="str">
        <f t="shared" si="15"/>
        <v>成新度</v>
      </c>
      <c r="AA37" s="1575">
        <f t="shared" si="3"/>
        <v>1</v>
      </c>
      <c r="AB37" s="1575">
        <f t="shared" si="4"/>
        <v>1</v>
      </c>
      <c r="AC37" s="1575">
        <f t="shared" si="5"/>
        <v>1</v>
      </c>
    </row>
    <row r="38" spans="1:29" s="1219" customFormat="1" ht="15" hidden="1">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06"/>
      <c r="Q38" s="1150" t="str">
        <f t="shared" si="11"/>
        <v>写字楼等级</v>
      </c>
      <c r="R38" s="1567" t="s">
        <v>8</v>
      </c>
      <c r="S38" s="1568">
        <f t="shared" si="12"/>
        <v>100</v>
      </c>
      <c r="T38" s="1567" t="s">
        <v>8</v>
      </c>
      <c r="U38" s="1568">
        <f t="shared" si="13"/>
        <v>100</v>
      </c>
      <c r="V38" s="1567" t="s">
        <v>8</v>
      </c>
      <c r="W38" s="1568">
        <f t="shared" si="14"/>
        <v>100</v>
      </c>
      <c r="X38" s="1569"/>
      <c r="Y38" s="3406"/>
      <c r="Z38" s="1149" t="str">
        <f t="shared" si="15"/>
        <v>写字楼等级</v>
      </c>
      <c r="AA38" s="1570">
        <f t="shared" si="3"/>
        <v>1</v>
      </c>
      <c r="AB38" s="1570">
        <f t="shared" si="4"/>
        <v>1</v>
      </c>
      <c r="AC38" s="1570">
        <f t="shared" si="5"/>
        <v>1</v>
      </c>
    </row>
    <row r="39" spans="1:29" ht="15">
      <c r="A39" s="594"/>
      <c r="B39" s="527" t="s">
        <v>783</v>
      </c>
      <c r="C39" s="574" t="s">
        <v>3092</v>
      </c>
      <c r="D39" s="540">
        <v>100</v>
      </c>
      <c r="E39" s="574" t="s">
        <v>3092</v>
      </c>
      <c r="F39" s="575">
        <f>SUMIF(115:115,E39,116:116)-SUMIF(115:115,C39,116:116)+100</f>
        <v>100</v>
      </c>
      <c r="G39" s="574" t="s">
        <v>3092</v>
      </c>
      <c r="H39" s="540">
        <f>SUMIF(115:115,G39,116:116)-SUMIF(115:115,C39,116:116)+100</f>
        <v>100</v>
      </c>
      <c r="I39" s="574" t="s">
        <v>3092</v>
      </c>
      <c r="J39" s="540">
        <f>SUMIF(115:115,I39,116:116)-SUMIF(115:115,C39,116:116)+100</f>
        <v>100</v>
      </c>
      <c r="K39" s="584"/>
      <c r="L39" s="2141"/>
      <c r="M39" s="2133"/>
      <c r="N39" s="2133"/>
      <c r="O39" s="2133"/>
      <c r="P39" s="3406" t="s">
        <v>551</v>
      </c>
      <c r="Q39" s="1571" t="str">
        <f t="shared" si="11"/>
        <v>物业管理</v>
      </c>
      <c r="R39" s="1572" t="s">
        <v>8</v>
      </c>
      <c r="S39" s="1573">
        <f t="shared" si="12"/>
        <v>100</v>
      </c>
      <c r="T39" s="1572" t="s">
        <v>8</v>
      </c>
      <c r="U39" s="1573">
        <f t="shared" si="13"/>
        <v>100</v>
      </c>
      <c r="V39" s="1572" t="s">
        <v>8</v>
      </c>
      <c r="W39" s="1573">
        <f t="shared" si="14"/>
        <v>100</v>
      </c>
      <c r="X39" s="1566"/>
      <c r="Y39" s="3406" t="s">
        <v>551</v>
      </c>
      <c r="Z39" s="1574" t="str">
        <f t="shared" si="15"/>
        <v>物业管理</v>
      </c>
      <c r="AA39" s="1575">
        <f t="shared" si="3"/>
        <v>1</v>
      </c>
      <c r="AB39" s="1575">
        <f t="shared" si="4"/>
        <v>1</v>
      </c>
      <c r="AC39" s="1575">
        <f t="shared" si="5"/>
        <v>1</v>
      </c>
    </row>
    <row r="40" spans="1:29" ht="15">
      <c r="A40" s="594"/>
      <c r="B40" s="1894" t="s">
        <v>2565</v>
      </c>
      <c r="C40" s="574" t="s">
        <v>3048</v>
      </c>
      <c r="D40" s="540">
        <v>100</v>
      </c>
      <c r="E40" s="574" t="s">
        <v>3048</v>
      </c>
      <c r="F40" s="575">
        <f>SUMIF(117:117,E40,118:118)-SUMIF(117:117,C40,118:118)+100</f>
        <v>100</v>
      </c>
      <c r="G40" s="574" t="s">
        <v>3048</v>
      </c>
      <c r="H40" s="540">
        <f>SUMIF(117:117,G40,118:118)-SUMIF(117:117,C40,118:118)+100</f>
        <v>100</v>
      </c>
      <c r="I40" s="574" t="s">
        <v>3048</v>
      </c>
      <c r="J40" s="540">
        <f>SUMIF(117:117,I40,118:118)-SUMIF(117:117,C40,118:118)+100</f>
        <v>100</v>
      </c>
      <c r="K40" s="584"/>
      <c r="L40" s="2141"/>
      <c r="M40" s="2133"/>
      <c r="N40" s="2133"/>
      <c r="O40" s="2133"/>
      <c r="P40" s="3406"/>
      <c r="Q40" s="1571" t="str">
        <f t="shared" si="11"/>
        <v>市政基础设施</v>
      </c>
      <c r="R40" s="1572" t="s">
        <v>8</v>
      </c>
      <c r="S40" s="1573">
        <f t="shared" si="12"/>
        <v>100</v>
      </c>
      <c r="T40" s="1572" t="s">
        <v>8</v>
      </c>
      <c r="U40" s="1573">
        <f t="shared" si="13"/>
        <v>100</v>
      </c>
      <c r="V40" s="1572" t="s">
        <v>8</v>
      </c>
      <c r="W40" s="1573">
        <f t="shared" si="14"/>
        <v>100</v>
      </c>
      <c r="X40" s="1566"/>
      <c r="Y40" s="3406"/>
      <c r="Z40" s="1574" t="str">
        <f t="shared" si="15"/>
        <v>市政基础设施</v>
      </c>
      <c r="AA40" s="1575">
        <f t="shared" si="3"/>
        <v>1</v>
      </c>
      <c r="AB40" s="1575">
        <f t="shared" si="4"/>
        <v>1</v>
      </c>
      <c r="AC40" s="1575">
        <f t="shared" si="5"/>
        <v>1</v>
      </c>
    </row>
    <row r="41" spans="1:29" ht="15">
      <c r="A41" s="594"/>
      <c r="B41" s="527" t="s">
        <v>768</v>
      </c>
      <c r="C41" s="583" t="s">
        <v>3132</v>
      </c>
      <c r="D41" s="540">
        <v>100</v>
      </c>
      <c r="E41" s="583" t="s">
        <v>3132</v>
      </c>
      <c r="F41" s="575">
        <f>SUMIF(119:119,E41,120:120)-SUMIF(119:119,C41,120:120)+100</f>
        <v>100</v>
      </c>
      <c r="G41" s="583" t="s">
        <v>3132</v>
      </c>
      <c r="H41" s="540">
        <f>SUMIF(119:119,G41,120:120)-SUMIF(119:119,C41,120:120)+100</f>
        <v>100</v>
      </c>
      <c r="I41" s="583" t="s">
        <v>3132</v>
      </c>
      <c r="J41" s="540">
        <f>SUMIF(119:119,I41,120:120)-SUMIF(119:119,C41,120:120)+100</f>
        <v>100</v>
      </c>
      <c r="K41" s="584"/>
      <c r="L41" s="2141"/>
      <c r="M41" s="2133"/>
      <c r="N41" s="2133"/>
      <c r="O41" s="2133"/>
      <c r="P41" s="3406"/>
      <c r="Q41" s="1571" t="str">
        <f t="shared" si="11"/>
        <v>层高</v>
      </c>
      <c r="R41" s="1572" t="s">
        <v>8</v>
      </c>
      <c r="S41" s="1573">
        <f t="shared" si="12"/>
        <v>100</v>
      </c>
      <c r="T41" s="1572" t="s">
        <v>8</v>
      </c>
      <c r="U41" s="1573">
        <f t="shared" si="13"/>
        <v>100</v>
      </c>
      <c r="V41" s="1572" t="s">
        <v>8</v>
      </c>
      <c r="W41" s="1573">
        <f t="shared" si="14"/>
        <v>100</v>
      </c>
      <c r="X41" s="1566"/>
      <c r="Y41" s="3406"/>
      <c r="Z41" s="1574" t="str">
        <f t="shared" si="15"/>
        <v>层高</v>
      </c>
      <c r="AA41" s="1575">
        <f t="shared" si="3"/>
        <v>1</v>
      </c>
      <c r="AB41" s="1575">
        <f t="shared" si="4"/>
        <v>1</v>
      </c>
      <c r="AC41" s="1575">
        <f t="shared" si="5"/>
        <v>1</v>
      </c>
    </row>
    <row r="42" spans="1:29" s="1338" customFormat="1" ht="15" hidden="1">
      <c r="A42" s="603"/>
      <c r="B42" s="903"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06"/>
      <c r="Q42" s="1604" t="str">
        <f t="shared" si="11"/>
        <v>单套建筑面积</v>
      </c>
      <c r="R42" s="1576" t="s">
        <v>8</v>
      </c>
      <c r="S42" s="1577">
        <f t="shared" si="12"/>
        <v>100</v>
      </c>
      <c r="T42" s="1576" t="s">
        <v>8</v>
      </c>
      <c r="U42" s="1577">
        <f t="shared" si="13"/>
        <v>100</v>
      </c>
      <c r="V42" s="1576" t="s">
        <v>8</v>
      </c>
      <c r="W42" s="1577">
        <f t="shared" si="14"/>
        <v>100</v>
      </c>
      <c r="X42" s="1578"/>
      <c r="Y42" s="3406"/>
      <c r="Z42" s="1579" t="str">
        <f t="shared" si="15"/>
        <v>单套建筑面积</v>
      </c>
      <c r="AA42" s="1575">
        <f t="shared" si="3"/>
        <v>1</v>
      </c>
      <c r="AB42" s="1575">
        <f t="shared" si="4"/>
        <v>1</v>
      </c>
      <c r="AC42" s="1575">
        <f t="shared" si="5"/>
        <v>1</v>
      </c>
    </row>
    <row r="43" spans="1:29" ht="15">
      <c r="A43" s="594"/>
      <c r="B43" s="527" t="s">
        <v>771</v>
      </c>
      <c r="C43" s="574" t="s">
        <v>3088</v>
      </c>
      <c r="D43" s="540">
        <v>100</v>
      </c>
      <c r="E43" s="574" t="s">
        <v>3088</v>
      </c>
      <c r="F43" s="575">
        <f>SUMIF(123:123,E43,124:124)-SUMIF(123:123,C43,124:124)+100</f>
        <v>100</v>
      </c>
      <c r="G43" s="574" t="s">
        <v>3088</v>
      </c>
      <c r="H43" s="540">
        <f>SUMIF(123:123,G43,124:124)-SUMIF(123:123,C43,124:124)+100</f>
        <v>100</v>
      </c>
      <c r="I43" s="574" t="s">
        <v>3088</v>
      </c>
      <c r="J43" s="540">
        <f>SUMIF(123:123,I43,124:124)-SUMIF(123:123,C43,124:124)+100</f>
        <v>100</v>
      </c>
      <c r="K43" s="584"/>
      <c r="L43" s="2141"/>
      <c r="M43" s="2133"/>
      <c r="N43" s="2133"/>
      <c r="O43" s="2133"/>
      <c r="P43" s="3406"/>
      <c r="Q43" s="1571" t="str">
        <f t="shared" si="11"/>
        <v>内部装修</v>
      </c>
      <c r="R43" s="1572" t="s">
        <v>8</v>
      </c>
      <c r="S43" s="1573">
        <f t="shared" si="12"/>
        <v>100</v>
      </c>
      <c r="T43" s="1572" t="s">
        <v>8</v>
      </c>
      <c r="U43" s="1573">
        <f t="shared" si="13"/>
        <v>100</v>
      </c>
      <c r="V43" s="1572" t="s">
        <v>8</v>
      </c>
      <c r="W43" s="1573">
        <f t="shared" si="14"/>
        <v>100</v>
      </c>
      <c r="X43" s="1566"/>
      <c r="Y43" s="3406"/>
      <c r="Z43" s="1574" t="str">
        <f t="shared" si="15"/>
        <v>内部装修</v>
      </c>
      <c r="AA43" s="1575">
        <f t="shared" si="3"/>
        <v>1</v>
      </c>
      <c r="AB43" s="1575">
        <f t="shared" si="4"/>
        <v>1</v>
      </c>
      <c r="AC43" s="1575">
        <f t="shared" si="5"/>
        <v>1</v>
      </c>
    </row>
    <row r="44" spans="1:29" ht="27.75" thickBot="1">
      <c r="A44" s="594"/>
      <c r="B44" s="527" t="s">
        <v>736</v>
      </c>
      <c r="C44" s="574" t="s">
        <v>3041</v>
      </c>
      <c r="D44" s="540">
        <v>100</v>
      </c>
      <c r="E44" s="599" t="s">
        <v>3041</v>
      </c>
      <c r="F44" s="575">
        <f>SUMIF(125:125,E44,126:126)-SUMIF(125:125,C44,126:126)+100</f>
        <v>100</v>
      </c>
      <c r="G44" s="599" t="s">
        <v>3041</v>
      </c>
      <c r="H44" s="540">
        <f>SUMIF(125:125,G44,126:126)-SUMIF(125:125,C44,126:126)+100</f>
        <v>100</v>
      </c>
      <c r="I44" s="599" t="s">
        <v>3041</v>
      </c>
      <c r="J44" s="540">
        <f>SUMIF(125:125,I44,126:126)-SUMIF(125:125,C44,126:126)+100</f>
        <v>100</v>
      </c>
      <c r="K44" s="584"/>
      <c r="L44" s="2141"/>
      <c r="M44" s="2133"/>
      <c r="N44" s="2133"/>
      <c r="O44" s="2133"/>
      <c r="P44" s="3406"/>
      <c r="Q44" s="1571" t="str">
        <f t="shared" si="11"/>
        <v>内部装修维护情况</v>
      </c>
      <c r="R44" s="1572" t="s">
        <v>8</v>
      </c>
      <c r="S44" s="1573">
        <f t="shared" si="12"/>
        <v>100</v>
      </c>
      <c r="T44" s="1572" t="s">
        <v>8</v>
      </c>
      <c r="U44" s="1573">
        <f t="shared" si="13"/>
        <v>100</v>
      </c>
      <c r="V44" s="1572" t="s">
        <v>8</v>
      </c>
      <c r="W44" s="1573">
        <f t="shared" si="14"/>
        <v>100</v>
      </c>
      <c r="X44" s="1566"/>
      <c r="Y44" s="3406"/>
      <c r="Z44" s="1574" t="str">
        <f t="shared" si="15"/>
        <v>内部装修维护情况</v>
      </c>
      <c r="AA44" s="1575">
        <f t="shared" si="3"/>
        <v>1</v>
      </c>
      <c r="AB44" s="1575">
        <f t="shared" si="4"/>
        <v>1</v>
      </c>
      <c r="AC44" s="1575">
        <f t="shared" si="5"/>
        <v>1</v>
      </c>
    </row>
    <row r="45" spans="1:29" s="1219" customFormat="1" ht="15" hidden="1">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06"/>
      <c r="Q45" s="1150">
        <f t="shared" si="11"/>
        <v>111</v>
      </c>
      <c r="R45" s="1567" t="s">
        <v>8</v>
      </c>
      <c r="S45" s="1568">
        <f t="shared" si="12"/>
        <v>100</v>
      </c>
      <c r="T45" s="1567" t="s">
        <v>8</v>
      </c>
      <c r="U45" s="1568">
        <f t="shared" si="13"/>
        <v>100</v>
      </c>
      <c r="V45" s="1567" t="s">
        <v>8</v>
      </c>
      <c r="W45" s="1568">
        <f t="shared" si="14"/>
        <v>100</v>
      </c>
      <c r="X45" s="1569"/>
      <c r="Y45" s="3406"/>
      <c r="Z45" s="1149">
        <f t="shared" si="15"/>
        <v>111</v>
      </c>
      <c r="AA45" s="1570">
        <f t="shared" si="3"/>
        <v>1</v>
      </c>
      <c r="AB45" s="1570">
        <f t="shared" si="4"/>
        <v>1</v>
      </c>
      <c r="AC45" s="1570">
        <f t="shared" si="5"/>
        <v>1</v>
      </c>
    </row>
    <row r="46" spans="1:29" ht="15" hidden="1">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06"/>
      <c r="Q46" s="1571">
        <f t="shared" si="11"/>
        <v>111</v>
      </c>
      <c r="R46" s="1572" t="s">
        <v>8</v>
      </c>
      <c r="S46" s="1573">
        <f t="shared" si="12"/>
        <v>100</v>
      </c>
      <c r="T46" s="1572" t="s">
        <v>8</v>
      </c>
      <c r="U46" s="1573">
        <f t="shared" si="13"/>
        <v>100</v>
      </c>
      <c r="V46" s="1572" t="s">
        <v>8</v>
      </c>
      <c r="W46" s="1573">
        <f t="shared" si="14"/>
        <v>100</v>
      </c>
      <c r="X46" s="1566"/>
      <c r="Y46" s="3406"/>
      <c r="Z46" s="1574">
        <f t="shared" si="15"/>
        <v>111</v>
      </c>
      <c r="AA46" s="1575">
        <f t="shared" si="3"/>
        <v>1</v>
      </c>
      <c r="AB46" s="1575">
        <f t="shared" si="4"/>
        <v>1</v>
      </c>
      <c r="AC46" s="1575">
        <f t="shared" si="5"/>
        <v>1</v>
      </c>
    </row>
    <row r="47" spans="1:29" ht="15.75" hidden="1"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61"/>
      <c r="Q47" s="1571">
        <f t="shared" si="11"/>
        <v>111</v>
      </c>
      <c r="R47" s="1572" t="s">
        <v>8</v>
      </c>
      <c r="S47" s="1573">
        <f t="shared" si="12"/>
        <v>100</v>
      </c>
      <c r="T47" s="1572" t="s">
        <v>8</v>
      </c>
      <c r="U47" s="1573">
        <f t="shared" si="13"/>
        <v>100</v>
      </c>
      <c r="V47" s="1572" t="s">
        <v>8</v>
      </c>
      <c r="W47" s="1573">
        <f t="shared" si="14"/>
        <v>100</v>
      </c>
      <c r="X47" s="1566"/>
      <c r="Y47" s="3461"/>
      <c r="Z47" s="1574">
        <f t="shared" si="15"/>
        <v>111</v>
      </c>
      <c r="AA47" s="1575">
        <f t="shared" si="3"/>
        <v>1</v>
      </c>
      <c r="AB47" s="1575">
        <f t="shared" si="4"/>
        <v>1</v>
      </c>
      <c r="AC47" s="1575">
        <f t="shared" si="5"/>
        <v>1</v>
      </c>
    </row>
    <row r="48" spans="1:29" ht="15">
      <c r="A48" s="607" t="s">
        <v>737</v>
      </c>
      <c r="B48" s="887"/>
      <c r="C48" s="2650" t="s">
        <v>1</v>
      </c>
      <c r="D48" s="2651"/>
      <c r="E48" s="2652">
        <v>7500</v>
      </c>
      <c r="F48" s="2653"/>
      <c r="G48" s="2654">
        <v>7200</v>
      </c>
      <c r="H48" s="2655"/>
      <c r="I48" s="2652">
        <v>6800</v>
      </c>
      <c r="J48" s="2655"/>
      <c r="K48" s="1610"/>
      <c r="L48" s="2143"/>
      <c r="M48" s="2133"/>
      <c r="N48" s="2133"/>
      <c r="O48" s="2133"/>
      <c r="P48" s="3365" t="str">
        <f>A48</f>
        <v>成交单价（元/平方米）</v>
      </c>
      <c r="Q48" s="3367"/>
      <c r="R48" s="3460">
        <f>E48</f>
        <v>7500</v>
      </c>
      <c r="S48" s="3460"/>
      <c r="T48" s="3460">
        <f>G48</f>
        <v>7200</v>
      </c>
      <c r="U48" s="3460"/>
      <c r="V48" s="3460">
        <f>I48</f>
        <v>6800</v>
      </c>
      <c r="W48" s="3460"/>
      <c r="X48" s="1558"/>
      <c r="Y48" s="1580"/>
      <c r="Z48" s="1558"/>
      <c r="AA48" s="1558"/>
      <c r="AB48" s="1558"/>
      <c r="AC48" s="1558"/>
    </row>
    <row r="49" spans="1:29" ht="15.75" thickBot="1">
      <c r="A49" s="615" t="s">
        <v>2761</v>
      </c>
      <c r="B49" s="888"/>
      <c r="C49" s="2656">
        <f>R50</f>
        <v>6686</v>
      </c>
      <c r="D49" s="2657"/>
      <c r="E49" s="2658">
        <f>R49</f>
        <v>6864</v>
      </c>
      <c r="F49" s="2658"/>
      <c r="G49" s="2656">
        <f>T49</f>
        <v>6719</v>
      </c>
      <c r="H49" s="2657"/>
      <c r="I49" s="2658">
        <f>V49</f>
        <v>6475</v>
      </c>
      <c r="J49" s="2657"/>
      <c r="K49" s="1611"/>
      <c r="L49" s="2143"/>
      <c r="M49" s="2133"/>
      <c r="N49" s="2133"/>
      <c r="O49" s="2133"/>
      <c r="P49" s="3365" t="str">
        <f>A49</f>
        <v>比较价格（元/平方米）</v>
      </c>
      <c r="Q49" s="3367"/>
      <c r="R49" s="3460">
        <f>IF(F1="售价",ROUND(PRODUCT(R48,AA7:AA47),0),ROUND(PRODUCT(R48,AA7:AA47),1))</f>
        <v>6864</v>
      </c>
      <c r="S49" s="3460"/>
      <c r="T49" s="3460">
        <f>IF(F1="售价",ROUND(PRODUCT(T48,AB7:AB47),0),ROUND(PRODUCT(T48,AB7:AB47),1))</f>
        <v>6719</v>
      </c>
      <c r="U49" s="3460"/>
      <c r="V49" s="3460">
        <f>IF(F1="售价",ROUND(PRODUCT(V48,AC7:AC47),0),ROUND(PRODUCT(V48,AC7:AC47),1))</f>
        <v>6475</v>
      </c>
      <c r="W49" s="3460"/>
      <c r="X49" s="1558"/>
      <c r="Y49" s="1558"/>
      <c r="Z49" s="1558"/>
      <c r="AA49" s="1558"/>
      <c r="AB49" s="1558"/>
      <c r="AC49" s="1558"/>
    </row>
    <row r="50" spans="1:29" ht="15.75" thickBot="1">
      <c r="A50" s="621" t="s">
        <v>2933</v>
      </c>
      <c r="B50" s="622"/>
      <c r="C50" s="2659">
        <f>R50</f>
        <v>6686</v>
      </c>
      <c r="D50" s="2659"/>
      <c r="E50" s="2659"/>
      <c r="F50" s="2659"/>
      <c r="G50" s="2659"/>
      <c r="H50" s="2659"/>
      <c r="I50" s="2659"/>
      <c r="J50" s="2659"/>
      <c r="K50" s="1612"/>
      <c r="L50" s="2143"/>
      <c r="M50" s="2133"/>
      <c r="N50" s="2133"/>
      <c r="O50" s="2133"/>
      <c r="P50" s="3493" t="str">
        <f>A50</f>
        <v>估价对象XX用房的比较价格（楼面单价，元/平方米）</v>
      </c>
      <c r="Q50" s="3365"/>
      <c r="R50" s="3459">
        <f>IF(F1="售价",ROUND(AVERAGE(R49:V49),0),ROUND(AVERAGE(R49:V49),1))</f>
        <v>6686</v>
      </c>
      <c r="S50" s="3459"/>
      <c r="T50" s="3459"/>
      <c r="U50" s="3459"/>
      <c r="V50" s="3459"/>
      <c r="W50" s="3459"/>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558</v>
      </c>
      <c r="D53" s="625"/>
      <c r="E53" s="626">
        <f>IF(E48&lt;E49,E49/E48-1,E48/E49-1)</f>
        <v>9.2657342657342712E-2</v>
      </c>
      <c r="F53" s="627" t="str">
        <f>IF(OR(E53&gt;=0.3,E53&lt;=-0.3),"超过30%","")</f>
        <v/>
      </c>
      <c r="G53" s="626">
        <f>IF(G48&lt;G49,G49/G48-1,G48/G49-1)</f>
        <v>7.1588033933621009E-2</v>
      </c>
      <c r="H53" s="627" t="str">
        <f>IF(OR(G53&gt;=0.3,G53&lt;=-0.3),"超过30%","")</f>
        <v/>
      </c>
      <c r="I53" s="626">
        <f>IF(I48&lt;I49,I49/I48-1,I48/I49-1)</f>
        <v>5.0193050193050093E-2</v>
      </c>
      <c r="J53" s="627" t="str">
        <f>IF(OR(I53&gt;=0.3,I53&lt;=-0.3),"超过30%","")</f>
        <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559</v>
      </c>
      <c r="D54" s="628"/>
      <c r="E54" s="626">
        <f>IF(E49&lt;G49,G49/E49-1,E49/G49-1)</f>
        <v>2.1580592350052052E-2</v>
      </c>
      <c r="F54" s="627" t="str">
        <f>IF(OR(E54&gt;=0.2,E54&lt;=-0.2),"超过20%","")</f>
        <v/>
      </c>
      <c r="G54" s="626">
        <f>IF(G49&lt;I49,I49/G49-1,G49/I49-1)</f>
        <v>3.7683397683397679E-2</v>
      </c>
      <c r="H54" s="627" t="str">
        <f>IF(OR(G54&gt;=0.2,G54&lt;=-0.2),"超过20%","")</f>
        <v/>
      </c>
      <c r="I54" s="626">
        <f>IF(I49&lt;E49,E49/I49-1,I49/E49-1)</f>
        <v>6.0077220077220161E-2</v>
      </c>
      <c r="J54" s="627" t="str">
        <f>IF(OR(I54&gt;=0.2,I54&lt;=-0.2),"超过20%","")</f>
        <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560</v>
      </c>
      <c r="D55" s="628"/>
      <c r="E55" s="626">
        <f>IF(E48&lt;G48,G48/E48-1,E48/G48-1)</f>
        <v>4.1666666666666741E-2</v>
      </c>
      <c r="F55" s="627" t="str">
        <f>IF(OR(E55&gt;=0.3,E55&lt;=-0.3),"超过30%","")</f>
        <v/>
      </c>
      <c r="G55" s="626">
        <f>IF(G48&lt;I48,I48/G48-1,G48/I48-1)</f>
        <v>5.8823529411764719E-2</v>
      </c>
      <c r="H55" s="627" t="str">
        <f>IF(OR(G55&gt;=0.3,G55&lt;=-0.3),"超过30%","")</f>
        <v/>
      </c>
      <c r="I55" s="626">
        <f>IF(I48&lt;E48,E48/I48-1,I48/E48-1)</f>
        <v>0.10294117647058831</v>
      </c>
      <c r="J55" s="627" t="str">
        <f>IF(OR(I55&gt;=0.3,I55&lt;=-0.3),"超过30%","")</f>
        <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575</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5" t="s">
        <v>530</v>
      </c>
      <c r="B59" s="646"/>
      <c r="C59" s="2827" t="str">
        <f>YEAR(C7)&amp;"-"&amp;MONTH(C7)</f>
        <v>2017-11</v>
      </c>
      <c r="D59" s="2829">
        <f>EDATE(C59,-1)</f>
        <v>43009</v>
      </c>
      <c r="E59" s="2829">
        <f t="shared" ref="E59:O59" si="16">EDATE(D59,-1)</f>
        <v>42979</v>
      </c>
      <c r="F59" s="2829">
        <f t="shared" si="16"/>
        <v>42948</v>
      </c>
      <c r="G59" s="2829">
        <f t="shared" si="16"/>
        <v>42917</v>
      </c>
      <c r="H59" s="2829">
        <f t="shared" si="16"/>
        <v>42887</v>
      </c>
      <c r="I59" s="2829">
        <f t="shared" si="16"/>
        <v>42856</v>
      </c>
      <c r="J59" s="2829">
        <f t="shared" si="16"/>
        <v>42826</v>
      </c>
      <c r="K59" s="2829">
        <f t="shared" si="16"/>
        <v>42795</v>
      </c>
      <c r="L59" s="2829">
        <f t="shared" si="16"/>
        <v>42767</v>
      </c>
      <c r="M59" s="2829">
        <f t="shared" si="16"/>
        <v>42736</v>
      </c>
      <c r="N59" s="2829">
        <f t="shared" si="16"/>
        <v>42705</v>
      </c>
      <c r="O59" s="2829">
        <f t="shared" si="16"/>
        <v>42675</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576</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532</v>
      </c>
      <c r="B62" s="648"/>
      <c r="C62" s="660" t="s">
        <v>577</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9">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578</v>
      </c>
      <c r="B64" s="665" t="s">
        <v>535</v>
      </c>
      <c r="C64" s="704" t="str">
        <f>C9</f>
        <v>办公</v>
      </c>
      <c r="D64" s="3175" t="s">
        <v>3153</v>
      </c>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v>100</v>
      </c>
      <c r="D65" s="671">
        <v>100</v>
      </c>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539</v>
      </c>
      <c r="C68" s="682" t="str">
        <f>C69&amp;"（含）"&amp;"-"&amp;D69</f>
        <v>0（含）-2</v>
      </c>
      <c r="D68" s="682" t="str">
        <f t="shared" ref="D68:L68" si="17">D69&amp;"（含）"&amp;"-"&amp;E69</f>
        <v>2（含）-4</v>
      </c>
      <c r="E68" s="682" t="str">
        <f t="shared" si="17"/>
        <v>4（含）-6</v>
      </c>
      <c r="F68" s="682" t="str">
        <f t="shared" si="17"/>
        <v>6（含）-8</v>
      </c>
      <c r="G68" s="682" t="str">
        <f t="shared" si="17"/>
        <v>8（含）-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v>0</v>
      </c>
      <c r="D69" s="541">
        <v>2</v>
      </c>
      <c r="E69" s="541">
        <v>4</v>
      </c>
      <c r="F69" s="541">
        <v>6</v>
      </c>
      <c r="G69" s="541">
        <v>8</v>
      </c>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99</v>
      </c>
      <c r="E70" s="679">
        <f t="shared" si="18"/>
        <v>98</v>
      </c>
      <c r="F70" s="679">
        <f t="shared" si="18"/>
        <v>97</v>
      </c>
      <c r="G70" s="679">
        <f t="shared" si="18"/>
        <v>96</v>
      </c>
      <c r="H70" s="679">
        <f t="shared" si="18"/>
        <v>95</v>
      </c>
      <c r="I70" s="679">
        <f t="shared" si="18"/>
        <v>94</v>
      </c>
      <c r="J70" s="679">
        <f t="shared" si="18"/>
        <v>93</v>
      </c>
      <c r="K70" s="679">
        <f t="shared" si="18"/>
        <v>92</v>
      </c>
      <c r="L70" s="679">
        <f t="shared" si="18"/>
        <v>91</v>
      </c>
      <c r="M70" s="680">
        <f t="shared" si="18"/>
        <v>90</v>
      </c>
      <c r="N70" s="2165"/>
      <c r="O70" s="2165"/>
      <c r="P70" s="2213"/>
      <c r="Q70" s="2157"/>
      <c r="R70" s="2144"/>
      <c r="S70" s="2144"/>
      <c r="T70" s="2144"/>
      <c r="U70" s="2144"/>
      <c r="V70" s="2144"/>
      <c r="W70" s="2144"/>
      <c r="X70" s="2144"/>
      <c r="Y70" s="2144"/>
      <c r="Z70" s="2144"/>
      <c r="AA70" s="2144"/>
      <c r="AB70" s="2144"/>
      <c r="AC70" s="2144"/>
    </row>
    <row r="71" spans="1:29" s="1338" customFormat="1" ht="15.75" hidden="1"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hidden="1"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hidden="1"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hidden="1"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hidden="1"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hidden="1"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ht="15" thickTop="1">
      <c r="A77" s="664" t="s">
        <v>540</v>
      </c>
      <c r="B77" s="665" t="s">
        <v>586</v>
      </c>
      <c r="C77" s="703" t="s">
        <v>580</v>
      </c>
      <c r="D77" s="703" t="s">
        <v>581</v>
      </c>
      <c r="E77" s="703" t="s">
        <v>582</v>
      </c>
      <c r="F77" s="703" t="s">
        <v>583</v>
      </c>
      <c r="G77" s="703" t="s">
        <v>584</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98</v>
      </c>
      <c r="E78" s="679">
        <f>D78-$K15</f>
        <v>96</v>
      </c>
      <c r="F78" s="679">
        <f>E78-$K15</f>
        <v>94</v>
      </c>
      <c r="G78" s="679">
        <f>F78-$K15</f>
        <v>92</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587</v>
      </c>
      <c r="C79" s="708" t="s">
        <v>580</v>
      </c>
      <c r="D79" s="708" t="s">
        <v>581</v>
      </c>
      <c r="E79" s="708" t="s">
        <v>582</v>
      </c>
      <c r="F79" s="708" t="s">
        <v>583</v>
      </c>
      <c r="G79" s="708" t="s">
        <v>584</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2557</v>
      </c>
      <c r="C81" s="708" t="s">
        <v>580</v>
      </c>
      <c r="D81" s="708" t="s">
        <v>581</v>
      </c>
      <c r="E81" s="708" t="s">
        <v>582</v>
      </c>
      <c r="F81" s="708" t="s">
        <v>583</v>
      </c>
      <c r="G81" s="708" t="s">
        <v>584</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98</v>
      </c>
      <c r="E82" s="679">
        <f>D82-$K19</f>
        <v>96</v>
      </c>
      <c r="F82" s="679">
        <f>E82-$K19</f>
        <v>94</v>
      </c>
      <c r="G82" s="679">
        <f>F82-$K19</f>
        <v>92</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620" t="s">
        <v>2558</v>
      </c>
      <c r="C83" s="2621" t="s">
        <v>2559</v>
      </c>
      <c r="D83" s="2621" t="s">
        <v>2560</v>
      </c>
      <c r="E83" s="2621" t="s">
        <v>2561</v>
      </c>
      <c r="F83" s="2621" t="s">
        <v>2562</v>
      </c>
      <c r="G83" s="2621" t="s">
        <v>2563</v>
      </c>
      <c r="H83" s="674"/>
      <c r="I83" s="674"/>
      <c r="J83" s="674"/>
      <c r="K83" s="674"/>
      <c r="L83" s="674"/>
      <c r="M83" s="2624"/>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785</v>
      </c>
      <c r="C85" s="708" t="s">
        <v>580</v>
      </c>
      <c r="D85" s="708" t="s">
        <v>581</v>
      </c>
      <c r="E85" s="708" t="s">
        <v>582</v>
      </c>
      <c r="F85" s="708" t="s">
        <v>583</v>
      </c>
      <c r="G85" s="708" t="s">
        <v>584</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786</v>
      </c>
      <c r="C87" s="3176" t="s">
        <v>3155</v>
      </c>
      <c r="D87" s="3176" t="s">
        <v>3156</v>
      </c>
      <c r="E87" s="3176" t="s">
        <v>3157</v>
      </c>
      <c r="F87" s="3176" t="s">
        <v>3158</v>
      </c>
      <c r="G87" s="3176" t="s">
        <v>3159</v>
      </c>
      <c r="H87" s="688"/>
      <c r="I87" s="688"/>
      <c r="J87" s="688"/>
      <c r="K87" s="688"/>
      <c r="L87" s="890"/>
      <c r="M87" s="891"/>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hidden="1" thickTop="1">
      <c r="A89" s="709"/>
      <c r="B89" s="673" t="str">
        <f>B27</f>
        <v>楼层</v>
      </c>
      <c r="C89" s="688"/>
      <c r="D89" s="688"/>
      <c r="E89" s="688"/>
      <c r="F89" s="892"/>
      <c r="G89" s="688"/>
      <c r="H89" s="688"/>
      <c r="I89" s="688"/>
      <c r="J89" s="688"/>
      <c r="K89" s="688"/>
      <c r="L89" s="688"/>
      <c r="M89" s="891"/>
      <c r="N89" s="2161"/>
      <c r="O89" s="2161"/>
      <c r="P89" s="2213"/>
      <c r="Q89" s="2157"/>
      <c r="R89" s="1992"/>
      <c r="S89" s="1992"/>
      <c r="T89" s="1992"/>
      <c r="U89" s="1992"/>
      <c r="V89" s="1992"/>
      <c r="W89" s="1992"/>
      <c r="X89" s="1992"/>
      <c r="Y89" s="1992"/>
      <c r="Z89" s="1992"/>
      <c r="AA89" s="1992"/>
      <c r="AB89" s="1992"/>
      <c r="AC89" s="1992"/>
    </row>
    <row r="90" spans="1:29" s="1219" customFormat="1" ht="15.75" hidden="1"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hidden="1"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hidden="1"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hidden="1" thickTop="1">
      <c r="A93" s="669"/>
      <c r="B93" s="673">
        <f>B29</f>
        <v>111</v>
      </c>
      <c r="C93" s="688"/>
      <c r="D93" s="688"/>
      <c r="E93" s="688"/>
      <c r="F93" s="688"/>
      <c r="G93" s="688"/>
      <c r="H93" s="688"/>
      <c r="I93" s="688"/>
      <c r="J93" s="688"/>
      <c r="K93" s="688"/>
      <c r="L93" s="890"/>
      <c r="M93" s="891"/>
      <c r="N93" s="2163"/>
      <c r="O93" s="2163"/>
      <c r="P93" s="2213"/>
      <c r="Q93" s="2157"/>
      <c r="R93" s="2144"/>
      <c r="S93" s="2144"/>
      <c r="T93" s="2144"/>
      <c r="U93" s="2144"/>
      <c r="V93" s="2144"/>
      <c r="W93" s="2144"/>
      <c r="X93" s="2144"/>
      <c r="Y93" s="2144"/>
      <c r="Z93" s="2144"/>
      <c r="AA93" s="2144"/>
      <c r="AB93" s="2144"/>
      <c r="AC93" s="2144"/>
    </row>
    <row r="94" spans="1:29" ht="15.75" hidden="1"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hidden="1"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hidden="1"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hidden="1"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hidden="1"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hidden="1"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hidden="1" thickBot="1">
      <c r="A100" s="893"/>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ht="15" thickTop="1">
      <c r="A101" s="664" t="s">
        <v>552</v>
      </c>
      <c r="B101" s="665" t="s">
        <v>748</v>
      </c>
      <c r="C101" s="3175" t="s">
        <v>3160</v>
      </c>
      <c r="D101" s="3175" t="s">
        <v>3161</v>
      </c>
      <c r="E101" s="3175" t="s">
        <v>3162</v>
      </c>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29.25" thickTop="1">
      <c r="A103" s="669"/>
      <c r="B103" s="673" t="s">
        <v>749</v>
      </c>
      <c r="C103" s="708" t="str">
        <f>C104&amp;"(含)"&amp;"-"&amp;D104</f>
        <v>0(含)-100000</v>
      </c>
      <c r="D103" s="708" t="str">
        <f t="shared" ref="D103:L103" si="23">D104&amp;"(含)"&amp;"-"&amp;E104</f>
        <v>100000(含)-200000</v>
      </c>
      <c r="E103" s="708" t="str">
        <f t="shared" si="23"/>
        <v>200000(含)-300000</v>
      </c>
      <c r="F103" s="708" t="str">
        <f t="shared" si="23"/>
        <v>300000(含)-400000</v>
      </c>
      <c r="G103" s="708" t="str">
        <f t="shared" si="23"/>
        <v>400000(含)-500000</v>
      </c>
      <c r="H103" s="708" t="str">
        <f t="shared" si="23"/>
        <v>500000(含)-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v>0</v>
      </c>
      <c r="D104" s="730">
        <v>100000</v>
      </c>
      <c r="E104" s="730">
        <v>200000</v>
      </c>
      <c r="F104" s="730">
        <v>300000</v>
      </c>
      <c r="G104" s="730">
        <v>400000</v>
      </c>
      <c r="H104" s="730">
        <v>500000</v>
      </c>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v>100</v>
      </c>
      <c r="D105" s="671">
        <v>101</v>
      </c>
      <c r="E105" s="671">
        <v>102</v>
      </c>
      <c r="F105" s="671">
        <v>103</v>
      </c>
      <c r="G105" s="671">
        <v>104</v>
      </c>
      <c r="H105" s="671">
        <v>105</v>
      </c>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750</v>
      </c>
      <c r="C106" s="3176" t="s">
        <v>3160</v>
      </c>
      <c r="D106" s="3176" t="s">
        <v>3161</v>
      </c>
      <c r="E106" s="3177" t="s">
        <v>3163</v>
      </c>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752</v>
      </c>
      <c r="C108" s="3176" t="s">
        <v>3164</v>
      </c>
      <c r="D108" s="3176" t="s">
        <v>3165</v>
      </c>
      <c r="E108" s="3176" t="s">
        <v>3166</v>
      </c>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4">
        <v>0.5</v>
      </c>
      <c r="D111" s="894">
        <v>0.6</v>
      </c>
      <c r="E111" s="894">
        <v>0.7</v>
      </c>
      <c r="F111" s="894">
        <v>0.8</v>
      </c>
      <c r="G111" s="894">
        <v>0.9</v>
      </c>
      <c r="H111" s="894">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hidden="1" thickTop="1">
      <c r="A113" s="728"/>
      <c r="B113" s="673" t="s">
        <v>787</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hidden="1"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754</v>
      </c>
      <c r="C115" s="3176" t="s">
        <v>3167</v>
      </c>
      <c r="D115" s="3176" t="s">
        <v>3168</v>
      </c>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2556</v>
      </c>
      <c r="C117" s="3176" t="s">
        <v>3169</v>
      </c>
      <c r="D117" s="3176" t="s">
        <v>3170</v>
      </c>
      <c r="E117" s="3176" t="s">
        <v>3171</v>
      </c>
      <c r="F117" s="3176" t="s">
        <v>3172</v>
      </c>
      <c r="G117" s="3176" t="s">
        <v>3173</v>
      </c>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788</v>
      </c>
      <c r="C119" s="3177" t="s">
        <v>3174</v>
      </c>
      <c r="D119" s="3177" t="s">
        <v>3175</v>
      </c>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776</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756</v>
      </c>
      <c r="C123" s="3176" t="s">
        <v>3164</v>
      </c>
      <c r="D123" s="3176" t="s">
        <v>3165</v>
      </c>
      <c r="E123" s="3176" t="s">
        <v>3166</v>
      </c>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hidden="1"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hidden="1"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hidden="1"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hidden="1"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hidden="1"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hidden="1" thickBot="1">
      <c r="A132" s="893"/>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ht="15" thickTop="1">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789</v>
      </c>
      <c r="C1" s="504" t="s">
        <v>721</v>
      </c>
      <c r="D1" s="849"/>
      <c r="E1" s="506"/>
      <c r="F1" s="2832"/>
      <c r="G1" s="1600" t="s">
        <v>722</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520</v>
      </c>
      <c r="B3" s="510" t="e">
        <f>C43</f>
        <v>#DIV/0!</v>
      </c>
      <c r="C3" s="852" t="s">
        <v>723</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522</v>
      </c>
      <c r="B4" s="513"/>
      <c r="C4" s="3373" t="s">
        <v>523</v>
      </c>
      <c r="D4" s="3374"/>
      <c r="E4" s="3410" t="s">
        <v>524</v>
      </c>
      <c r="F4" s="3411"/>
      <c r="G4" s="3373" t="s">
        <v>525</v>
      </c>
      <c r="H4" s="3374"/>
      <c r="I4" s="3373" t="s">
        <v>526</v>
      </c>
      <c r="J4" s="3374"/>
      <c r="K4" s="514" t="s">
        <v>527</v>
      </c>
      <c r="L4" s="2132"/>
      <c r="M4" s="2133"/>
      <c r="N4" s="2133"/>
      <c r="O4" s="2133"/>
      <c r="P4" s="3375" t="s">
        <v>528</v>
      </c>
      <c r="Q4" s="3376"/>
      <c r="R4" s="3381" t="s">
        <v>524</v>
      </c>
      <c r="S4" s="3382"/>
      <c r="T4" s="3381" t="s">
        <v>525</v>
      </c>
      <c r="U4" s="3382"/>
      <c r="V4" s="3368" t="s">
        <v>526</v>
      </c>
      <c r="W4" s="3368"/>
      <c r="X4" s="1566"/>
      <c r="Y4" s="3381" t="s">
        <v>528</v>
      </c>
      <c r="Z4" s="3382"/>
      <c r="AA4" s="3370" t="s">
        <v>524</v>
      </c>
      <c r="AB4" s="3371" t="s">
        <v>525</v>
      </c>
      <c r="AC4" s="3370" t="s">
        <v>526</v>
      </c>
    </row>
    <row r="5" spans="1:29" ht="15">
      <c r="A5" s="515"/>
      <c r="B5" s="516"/>
      <c r="C5" s="3391" t="s">
        <v>2927</v>
      </c>
      <c r="D5" s="3390"/>
      <c r="E5" s="3412" t="s">
        <v>2928</v>
      </c>
      <c r="F5" s="3413"/>
      <c r="G5" s="3391" t="s">
        <v>2929</v>
      </c>
      <c r="H5" s="3390"/>
      <c r="I5" s="3391" t="s">
        <v>2930</v>
      </c>
      <c r="J5" s="3390"/>
      <c r="K5" s="514"/>
      <c r="L5" s="2132"/>
      <c r="M5" s="2133"/>
      <c r="N5" s="2133"/>
      <c r="O5" s="2133"/>
      <c r="P5" s="3377"/>
      <c r="Q5" s="3378"/>
      <c r="R5" s="3383"/>
      <c r="S5" s="3384"/>
      <c r="T5" s="3383"/>
      <c r="U5" s="3384"/>
      <c r="V5" s="3368"/>
      <c r="W5" s="3368"/>
      <c r="X5" s="1566"/>
      <c r="Y5" s="3383"/>
      <c r="Z5" s="3384"/>
      <c r="AA5" s="3371"/>
      <c r="AB5" s="3371"/>
      <c r="AC5" s="3371"/>
    </row>
    <row r="6" spans="1:29" ht="15.75" thickBot="1">
      <c r="A6" s="517"/>
      <c r="B6" s="518"/>
      <c r="C6" s="3407" t="s">
        <v>2931</v>
      </c>
      <c r="D6" s="3388"/>
      <c r="E6" s="3408" t="s">
        <v>2931</v>
      </c>
      <c r="F6" s="3409"/>
      <c r="G6" s="3407" t="s">
        <v>2931</v>
      </c>
      <c r="H6" s="3388"/>
      <c r="I6" s="3407" t="s">
        <v>2931</v>
      </c>
      <c r="J6" s="3388"/>
      <c r="K6" s="514" t="s">
        <v>529</v>
      </c>
      <c r="L6" s="2132"/>
      <c r="M6" s="2133"/>
      <c r="N6" s="2133"/>
      <c r="O6" s="2133"/>
      <c r="P6" s="3379"/>
      <c r="Q6" s="3380"/>
      <c r="R6" s="3383"/>
      <c r="S6" s="3384"/>
      <c r="T6" s="3385"/>
      <c r="U6" s="3386"/>
      <c r="V6" s="3368"/>
      <c r="W6" s="3368"/>
      <c r="X6" s="1566"/>
      <c r="Y6" s="3385"/>
      <c r="Z6" s="3386"/>
      <c r="AA6" s="3372"/>
      <c r="AB6" s="3372"/>
      <c r="AC6" s="3372"/>
    </row>
    <row r="7" spans="1:29" s="1219" customFormat="1" ht="15.75" thickBot="1">
      <c r="A7" s="2937"/>
      <c r="B7" s="2944" t="s">
        <v>530</v>
      </c>
      <c r="C7" s="519">
        <f>'数据-取费表'!B2</f>
        <v>43068</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00" t="s">
        <v>531</v>
      </c>
      <c r="Q7" s="3402"/>
      <c r="R7" s="1567" t="s">
        <v>8</v>
      </c>
      <c r="S7" s="1568">
        <f t="shared" ref="S7:S15" si="0">F7</f>
        <v>0</v>
      </c>
      <c r="T7" s="1567" t="s">
        <v>8</v>
      </c>
      <c r="U7" s="1568">
        <f t="shared" ref="U7:U15" si="1">H7</f>
        <v>0</v>
      </c>
      <c r="V7" s="1567" t="s">
        <v>8</v>
      </c>
      <c r="W7" s="1568">
        <f t="shared" ref="W7:W15" si="2">J7</f>
        <v>0</v>
      </c>
      <c r="X7" s="1569"/>
      <c r="Y7" s="3400" t="s">
        <v>531</v>
      </c>
      <c r="Z7" s="3401"/>
      <c r="AA7" s="1570" t="e">
        <f>D7/F7</f>
        <v>#DIV/0!</v>
      </c>
      <c r="AB7" s="1570" t="e">
        <f>D7/H7</f>
        <v>#DIV/0!</v>
      </c>
      <c r="AC7" s="1570" t="e">
        <f>D7/J7</f>
        <v>#DIV/0!</v>
      </c>
    </row>
    <row r="8" spans="1:29" s="1219" customFormat="1" ht="15.75" thickBot="1">
      <c r="A8" s="2938"/>
      <c r="B8" s="2945" t="s">
        <v>532</v>
      </c>
      <c r="C8" s="525" t="s">
        <v>577</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00" t="s">
        <v>534</v>
      </c>
      <c r="Q8" s="3401"/>
      <c r="R8" s="1567" t="s">
        <v>8</v>
      </c>
      <c r="S8" s="1568">
        <f t="shared" si="0"/>
        <v>0</v>
      </c>
      <c r="T8" s="1567" t="s">
        <v>8</v>
      </c>
      <c r="U8" s="1568">
        <f t="shared" si="1"/>
        <v>0</v>
      </c>
      <c r="V8" s="1567" t="s">
        <v>8</v>
      </c>
      <c r="W8" s="1568">
        <f t="shared" si="2"/>
        <v>0</v>
      </c>
      <c r="X8" s="1569"/>
      <c r="Y8" s="3400" t="s">
        <v>534</v>
      </c>
      <c r="Z8" s="3401"/>
      <c r="AA8" s="1570" t="e">
        <f t="shared" ref="AA8:AA40" si="3">D8/F8</f>
        <v>#DIV/0!</v>
      </c>
      <c r="AB8" s="1570" t="e">
        <f t="shared" ref="AB8:AB40" si="4">D8/H8</f>
        <v>#DIV/0!</v>
      </c>
      <c r="AC8" s="1570" t="e">
        <f t="shared" ref="AC8:AC40" si="5">D8/J8</f>
        <v>#DIV/0!</v>
      </c>
    </row>
    <row r="9" spans="1:29" s="1219" customFormat="1" ht="15">
      <c r="A9" s="2939"/>
      <c r="B9" s="2946" t="s">
        <v>2757</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67" t="s">
        <v>536</v>
      </c>
      <c r="Q9" s="1150" t="str">
        <f t="shared" ref="Q9:Q15" si="6">B9</f>
        <v>用途</v>
      </c>
      <c r="R9" s="1567" t="s">
        <v>8</v>
      </c>
      <c r="S9" s="1568">
        <f t="shared" si="0"/>
        <v>100</v>
      </c>
      <c r="T9" s="1567" t="s">
        <v>8</v>
      </c>
      <c r="U9" s="1568">
        <f t="shared" si="1"/>
        <v>100</v>
      </c>
      <c r="V9" s="1567" t="s">
        <v>8</v>
      </c>
      <c r="W9" s="1568">
        <f t="shared" si="2"/>
        <v>100</v>
      </c>
      <c r="X9" s="1569"/>
      <c r="Y9" s="3313" t="s">
        <v>537</v>
      </c>
      <c r="Z9" s="1149" t="str">
        <f t="shared" ref="Z9:Z15" si="7">Q9</f>
        <v>用途</v>
      </c>
      <c r="AA9" s="1570">
        <f t="shared" si="3"/>
        <v>1</v>
      </c>
      <c r="AB9" s="1570">
        <f t="shared" si="4"/>
        <v>1</v>
      </c>
      <c r="AC9" s="1570">
        <f t="shared" si="5"/>
        <v>1</v>
      </c>
    </row>
    <row r="10" spans="1:29" s="1337" customFormat="1" ht="27">
      <c r="A10" s="2940"/>
      <c r="B10" s="2945" t="s">
        <v>2758</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67"/>
      <c r="Q10" s="1150" t="str">
        <f t="shared" si="6"/>
        <v>土地使用年限（年）</v>
      </c>
      <c r="R10" s="1567" t="s">
        <v>8</v>
      </c>
      <c r="S10" s="1568">
        <f t="shared" si="0"/>
        <v>100</v>
      </c>
      <c r="T10" s="1567" t="s">
        <v>8</v>
      </c>
      <c r="U10" s="1568">
        <f t="shared" si="1"/>
        <v>100</v>
      </c>
      <c r="V10" s="1567" t="s">
        <v>8</v>
      </c>
      <c r="W10" s="1568">
        <f t="shared" si="2"/>
        <v>100</v>
      </c>
      <c r="X10" s="1569"/>
      <c r="Y10" s="3313"/>
      <c r="Z10" s="1149" t="str">
        <f t="shared" si="7"/>
        <v>土地使用年限（年）</v>
      </c>
      <c r="AA10" s="1570">
        <f t="shared" si="3"/>
        <v>1</v>
      </c>
      <c r="AB10" s="1570">
        <f t="shared" si="4"/>
        <v>1</v>
      </c>
      <c r="AC10" s="1570">
        <f t="shared" si="5"/>
        <v>1</v>
      </c>
    </row>
    <row r="11" spans="1:29" ht="15">
      <c r="A11" s="2941"/>
      <c r="B11" s="2945"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67"/>
      <c r="Q11" s="1150" t="str">
        <f t="shared" si="6"/>
        <v>容积率</v>
      </c>
      <c r="R11" s="1567" t="s">
        <v>8</v>
      </c>
      <c r="S11" s="1568" t="e">
        <f t="shared" si="0"/>
        <v>#N/A</v>
      </c>
      <c r="T11" s="1567" t="s">
        <v>8</v>
      </c>
      <c r="U11" s="1568" t="e">
        <f t="shared" si="1"/>
        <v>#N/A</v>
      </c>
      <c r="V11" s="1567" t="s">
        <v>8</v>
      </c>
      <c r="W11" s="1568" t="e">
        <f t="shared" si="2"/>
        <v>#N/A</v>
      </c>
      <c r="X11" s="1569"/>
      <c r="Y11" s="3313"/>
      <c r="Z11" s="1149" t="str">
        <f t="shared" si="7"/>
        <v>容积率</v>
      </c>
      <c r="AA11" s="1570" t="e">
        <f t="shared" si="3"/>
        <v>#N/A</v>
      </c>
      <c r="AB11" s="1570" t="e">
        <f t="shared" si="4"/>
        <v>#N/A</v>
      </c>
      <c r="AC11" s="1570" t="e">
        <f t="shared" si="5"/>
        <v>#N/A</v>
      </c>
    </row>
    <row r="12" spans="1:29" s="1219" customFormat="1" ht="15">
      <c r="A12" s="2942"/>
      <c r="B12" s="2948">
        <v>111</v>
      </c>
      <c r="C12" s="528"/>
      <c r="D12" s="538">
        <v>100</v>
      </c>
      <c r="E12" s="539"/>
      <c r="F12" s="255">
        <f>SUMIF(64:64,E12,65:65)-SUMIF(64:64,C12,65:65)+100</f>
        <v>100</v>
      </c>
      <c r="G12" s="919"/>
      <c r="H12" s="255">
        <f>SUMIF(64:64,G12,65:65)-SUMIF(64:64,C12,65:65)+100</f>
        <v>100</v>
      </c>
      <c r="I12" s="880"/>
      <c r="J12" s="255">
        <f>SUMIF(64:64,I12,65:65)-SUMIF(64:64,C12,65:65)+100</f>
        <v>100</v>
      </c>
      <c r="K12" s="581"/>
      <c r="L12" s="2134"/>
      <c r="M12" s="2135"/>
      <c r="N12" s="2135"/>
      <c r="O12" s="2136"/>
      <c r="P12" s="3367"/>
      <c r="Q12" s="1150">
        <f t="shared" si="6"/>
        <v>111</v>
      </c>
      <c r="R12" s="1567" t="s">
        <v>8</v>
      </c>
      <c r="S12" s="1568">
        <f t="shared" si="0"/>
        <v>100</v>
      </c>
      <c r="T12" s="1567" t="s">
        <v>8</v>
      </c>
      <c r="U12" s="1568">
        <f t="shared" si="1"/>
        <v>100</v>
      </c>
      <c r="V12" s="1567" t="s">
        <v>8</v>
      </c>
      <c r="W12" s="1568">
        <f t="shared" si="2"/>
        <v>100</v>
      </c>
      <c r="X12" s="1569"/>
      <c r="Y12" s="3313"/>
      <c r="Z12" s="1149">
        <f t="shared" si="7"/>
        <v>111</v>
      </c>
      <c r="AA12" s="1570">
        <f>D12/F12</f>
        <v>1</v>
      </c>
      <c r="AB12" s="1570">
        <f>D12/H12</f>
        <v>1</v>
      </c>
      <c r="AC12" s="1570">
        <f>D12/J12</f>
        <v>1</v>
      </c>
    </row>
    <row r="13" spans="1:29" ht="15">
      <c r="A13" s="2942"/>
      <c r="B13" s="2948">
        <v>111</v>
      </c>
      <c r="C13" s="539"/>
      <c r="D13" s="540">
        <v>100</v>
      </c>
      <c r="E13" s="539"/>
      <c r="F13" s="255">
        <f>SUMIF(66:66,E13,67:67)-SUMIF(66:66,C13,67:67)+100</f>
        <v>100</v>
      </c>
      <c r="G13" s="919"/>
      <c r="H13" s="540">
        <f>SUMIF(66:66,G13,67:67)-SUMIF(66:66,C13,67:67)+100</f>
        <v>100</v>
      </c>
      <c r="I13" s="880"/>
      <c r="J13" s="540">
        <f>SUMIF(66:66,I13,67:67)-SUMIF(66:66,C13,67:67)+100</f>
        <v>100</v>
      </c>
      <c r="K13" s="581"/>
      <c r="L13" s="2141"/>
      <c r="M13" s="2133"/>
      <c r="N13" s="2133"/>
      <c r="O13" s="2140"/>
      <c r="P13" s="3367"/>
      <c r="Q13" s="1150">
        <f t="shared" si="6"/>
        <v>111</v>
      </c>
      <c r="R13" s="1567" t="s">
        <v>8</v>
      </c>
      <c r="S13" s="1568">
        <f t="shared" si="0"/>
        <v>100</v>
      </c>
      <c r="T13" s="1567" t="s">
        <v>8</v>
      </c>
      <c r="U13" s="1568">
        <f t="shared" si="1"/>
        <v>100</v>
      </c>
      <c r="V13" s="1567" t="s">
        <v>8</v>
      </c>
      <c r="W13" s="1568">
        <f t="shared" si="2"/>
        <v>100</v>
      </c>
      <c r="X13" s="1569"/>
      <c r="Y13" s="3313"/>
      <c r="Z13" s="1149">
        <f t="shared" si="7"/>
        <v>111</v>
      </c>
      <c r="AA13" s="1570">
        <f t="shared" si="3"/>
        <v>1</v>
      </c>
      <c r="AB13" s="1570">
        <f t="shared" si="4"/>
        <v>1</v>
      </c>
      <c r="AC13" s="1570">
        <f t="shared" si="5"/>
        <v>1</v>
      </c>
    </row>
    <row r="14" spans="1:29" ht="15.75" thickBot="1">
      <c r="A14" s="2943"/>
      <c r="B14" s="2949">
        <v>111</v>
      </c>
      <c r="C14" s="545"/>
      <c r="D14" s="546">
        <v>100</v>
      </c>
      <c r="E14" s="545"/>
      <c r="F14" s="546">
        <f>SUMIF(68:68,E14,69:69)-SUMIF(68:68,C14,69:69)+100</f>
        <v>100</v>
      </c>
      <c r="G14" s="919"/>
      <c r="H14" s="546">
        <f>SUMIF(68:68,G14,69:69)-SUMIF(68:68,C14,69:69)+100</f>
        <v>100</v>
      </c>
      <c r="I14" s="880"/>
      <c r="J14" s="546">
        <f>SUMIF(68:68,I14,69:69)-SUMIF(68:68,C14,69:69)+100</f>
        <v>100</v>
      </c>
      <c r="K14" s="581"/>
      <c r="L14" s="2141"/>
      <c r="M14" s="2133"/>
      <c r="N14" s="2133"/>
      <c r="O14" s="2140"/>
      <c r="P14" s="3367"/>
      <c r="Q14" s="1150">
        <f t="shared" si="6"/>
        <v>111</v>
      </c>
      <c r="R14" s="1567" t="s">
        <v>8</v>
      </c>
      <c r="S14" s="1568">
        <f t="shared" si="0"/>
        <v>100</v>
      </c>
      <c r="T14" s="1567" t="s">
        <v>8</v>
      </c>
      <c r="U14" s="1568">
        <f t="shared" si="1"/>
        <v>100</v>
      </c>
      <c r="V14" s="1567" t="s">
        <v>8</v>
      </c>
      <c r="W14" s="1568">
        <f t="shared" si="2"/>
        <v>100</v>
      </c>
      <c r="X14" s="1569"/>
      <c r="Y14" s="3313"/>
      <c r="Z14" s="1149">
        <f t="shared" si="7"/>
        <v>111</v>
      </c>
      <c r="AA14" s="1570">
        <f t="shared" si="3"/>
        <v>1</v>
      </c>
      <c r="AB14" s="1570">
        <f t="shared" si="4"/>
        <v>1</v>
      </c>
      <c r="AC14" s="1570">
        <f t="shared" si="5"/>
        <v>1</v>
      </c>
    </row>
    <row r="15" spans="1:29" ht="57">
      <c r="A15" s="2935" t="s">
        <v>2755</v>
      </c>
      <c r="B15" s="166" t="s">
        <v>790</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1"/>
      <c r="M15" s="2133"/>
      <c r="N15" s="2133"/>
      <c r="O15" s="2140"/>
      <c r="P15" s="3403" t="s">
        <v>541</v>
      </c>
      <c r="Q15" s="1571" t="str">
        <f t="shared" si="6"/>
        <v>产业集聚程度</v>
      </c>
      <c r="R15" s="1572" t="s">
        <v>8</v>
      </c>
      <c r="S15" s="1573">
        <f t="shared" si="0"/>
        <v>100</v>
      </c>
      <c r="T15" s="1572" t="s">
        <v>8</v>
      </c>
      <c r="U15" s="1573">
        <f t="shared" si="1"/>
        <v>100</v>
      </c>
      <c r="V15" s="1572" t="s">
        <v>8</v>
      </c>
      <c r="W15" s="1573">
        <f t="shared" si="2"/>
        <v>100</v>
      </c>
      <c r="X15" s="1566"/>
      <c r="Y15" s="3403" t="s">
        <v>541</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1"/>
      <c r="M16" s="2133"/>
      <c r="N16" s="2133"/>
      <c r="O16" s="2140"/>
      <c r="P16" s="3404"/>
      <c r="Q16" s="1571"/>
      <c r="R16" s="1572"/>
      <c r="S16" s="1573"/>
      <c r="T16" s="1572"/>
      <c r="U16" s="1573"/>
      <c r="V16" s="1572"/>
      <c r="W16" s="1573"/>
      <c r="X16" s="1566"/>
      <c r="Y16" s="3404"/>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1"/>
      <c r="M17" s="2133"/>
      <c r="N17" s="2133"/>
      <c r="O17" s="2140"/>
      <c r="P17" s="3404"/>
      <c r="Q17" s="1571" t="str">
        <f>B17</f>
        <v>交通便捷度</v>
      </c>
      <c r="R17" s="1572" t="s">
        <v>8</v>
      </c>
      <c r="S17" s="1573">
        <f>F17</f>
        <v>100</v>
      </c>
      <c r="T17" s="1572" t="s">
        <v>8</v>
      </c>
      <c r="U17" s="1573">
        <f>H17</f>
        <v>100</v>
      </c>
      <c r="V17" s="1572" t="s">
        <v>8</v>
      </c>
      <c r="W17" s="1573">
        <f>J17</f>
        <v>100</v>
      </c>
      <c r="X17" s="1566"/>
      <c r="Y17" s="3404"/>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1"/>
      <c r="M18" s="2133"/>
      <c r="N18" s="2133"/>
      <c r="O18" s="2140"/>
      <c r="P18" s="3404"/>
      <c r="Q18" s="1571"/>
      <c r="R18" s="1572"/>
      <c r="S18" s="1573"/>
      <c r="T18" s="1572"/>
      <c r="U18" s="1573"/>
      <c r="V18" s="1572"/>
      <c r="W18" s="1573"/>
      <c r="X18" s="1566"/>
      <c r="Y18" s="3404"/>
      <c r="Z18" s="1574"/>
      <c r="AA18" s="1575">
        <v>1</v>
      </c>
      <c r="AB18" s="1575">
        <v>1</v>
      </c>
      <c r="AC18" s="1575">
        <v>1</v>
      </c>
    </row>
    <row r="19" spans="1:29" ht="42.75">
      <c r="A19" s="532"/>
      <c r="B19" s="2626"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1"/>
      <c r="M19" s="2133"/>
      <c r="N19" s="2133"/>
      <c r="O19" s="2140"/>
      <c r="P19" s="3404"/>
      <c r="Q19" s="1571" t="str">
        <f>B19</f>
        <v>公共配套设施</v>
      </c>
      <c r="R19" s="1572" t="s">
        <v>8</v>
      </c>
      <c r="S19" s="1573">
        <f>F19</f>
        <v>100</v>
      </c>
      <c r="T19" s="1572" t="s">
        <v>8</v>
      </c>
      <c r="U19" s="1573">
        <f>H19</f>
        <v>100</v>
      </c>
      <c r="V19" s="1572" t="s">
        <v>8</v>
      </c>
      <c r="W19" s="1573">
        <f>J19</f>
        <v>100</v>
      </c>
      <c r="X19" s="1566"/>
      <c r="Y19" s="3404"/>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1"/>
      <c r="M20" s="2133"/>
      <c r="N20" s="2133"/>
      <c r="O20" s="2140"/>
      <c r="P20" s="3404"/>
      <c r="Q20" s="1571"/>
      <c r="R20" s="1572"/>
      <c r="S20" s="1573"/>
      <c r="T20" s="1572"/>
      <c r="U20" s="1573"/>
      <c r="V20" s="1572"/>
      <c r="W20" s="1573"/>
      <c r="X20" s="1566"/>
      <c r="Y20" s="3404"/>
      <c r="Z20" s="1574"/>
      <c r="AA20" s="1575">
        <v>1</v>
      </c>
      <c r="AB20" s="1575">
        <v>1</v>
      </c>
      <c r="AC20" s="1575">
        <v>1</v>
      </c>
    </row>
    <row r="21" spans="1:29" ht="28.5">
      <c r="A21" s="532"/>
      <c r="B21" s="2614"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1"/>
      <c r="M21" s="2133"/>
      <c r="N21" s="2133"/>
      <c r="O21" s="2140"/>
      <c r="P21" s="3404"/>
      <c r="Q21" s="2602" t="str">
        <f>B21</f>
        <v>基础设施水平</v>
      </c>
      <c r="R21" s="1572" t="s">
        <v>8</v>
      </c>
      <c r="S21" s="1573">
        <f>F21</f>
        <v>100</v>
      </c>
      <c r="T21" s="1572" t="s">
        <v>8</v>
      </c>
      <c r="U21" s="1573">
        <f>H21</f>
        <v>100</v>
      </c>
      <c r="V21" s="1572" t="s">
        <v>8</v>
      </c>
      <c r="W21" s="1573">
        <f>J21</f>
        <v>100</v>
      </c>
      <c r="X21" s="2604"/>
      <c r="Y21" s="3404"/>
      <c r="Z21" s="2603"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5"/>
      <c r="L22" s="2141"/>
      <c r="M22" s="2133"/>
      <c r="N22" s="2133"/>
      <c r="O22" s="2140"/>
      <c r="P22" s="3404"/>
      <c r="Q22" s="2602"/>
      <c r="R22" s="1572"/>
      <c r="S22" s="1573"/>
      <c r="T22" s="1572"/>
      <c r="U22" s="1573"/>
      <c r="V22" s="1572"/>
      <c r="W22" s="1573"/>
      <c r="X22" s="2604"/>
      <c r="Y22" s="3404"/>
      <c r="Z22" s="2603"/>
      <c r="AA22" s="1575">
        <v>1</v>
      </c>
      <c r="AB22" s="1575">
        <v>1</v>
      </c>
      <c r="AC22" s="1575">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1"/>
      <c r="M23" s="2133"/>
      <c r="N23" s="2133"/>
      <c r="O23" s="2140"/>
      <c r="P23" s="3404"/>
      <c r="Q23" s="1571" t="str">
        <f>B23</f>
        <v>环境质量</v>
      </c>
      <c r="R23" s="1572" t="s">
        <v>8</v>
      </c>
      <c r="S23" s="1573">
        <f>F23</f>
        <v>100</v>
      </c>
      <c r="T23" s="1572" t="s">
        <v>8</v>
      </c>
      <c r="U23" s="1573">
        <f>H23</f>
        <v>100</v>
      </c>
      <c r="V23" s="1572" t="s">
        <v>8</v>
      </c>
      <c r="W23" s="1573">
        <f>J23</f>
        <v>100</v>
      </c>
      <c r="X23" s="1566"/>
      <c r="Y23" s="3404"/>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9"/>
      <c r="L24" s="2141"/>
      <c r="M24" s="2133"/>
      <c r="N24" s="2133"/>
      <c r="O24" s="2140"/>
      <c r="P24" s="3404"/>
      <c r="Q24" s="1571"/>
      <c r="R24" s="1572"/>
      <c r="S24" s="1573"/>
      <c r="T24" s="1572"/>
      <c r="U24" s="1573"/>
      <c r="V24" s="1572"/>
      <c r="W24" s="1573"/>
      <c r="X24" s="1566"/>
      <c r="Y24" s="3404"/>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04"/>
      <c r="Q25" s="1571">
        <f>B25</f>
        <v>111</v>
      </c>
      <c r="R25" s="1572" t="s">
        <v>8</v>
      </c>
      <c r="S25" s="1573">
        <f>F25</f>
        <v>100</v>
      </c>
      <c r="T25" s="1572" t="s">
        <v>8</v>
      </c>
      <c r="U25" s="1573">
        <f>H25</f>
        <v>100</v>
      </c>
      <c r="V25" s="1572" t="s">
        <v>8</v>
      </c>
      <c r="W25" s="1573">
        <f>J25</f>
        <v>100</v>
      </c>
      <c r="X25" s="1566"/>
      <c r="Y25" s="3404"/>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04"/>
      <c r="Q26" s="1571">
        <f t="shared" ref="Q26:Q40" si="11">B26</f>
        <v>111</v>
      </c>
      <c r="R26" s="1572" t="s">
        <v>8</v>
      </c>
      <c r="S26" s="1573">
        <f>F26</f>
        <v>100</v>
      </c>
      <c r="T26" s="1572" t="s">
        <v>8</v>
      </c>
      <c r="U26" s="1573">
        <f>H26</f>
        <v>100</v>
      </c>
      <c r="V26" s="1572" t="s">
        <v>8</v>
      </c>
      <c r="W26" s="1573">
        <f>J26</f>
        <v>100</v>
      </c>
      <c r="X26" s="1566"/>
      <c r="Y26" s="3404"/>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04"/>
      <c r="Q27" s="1150">
        <f t="shared" si="11"/>
        <v>111</v>
      </c>
      <c r="R27" s="1567" t="s">
        <v>8</v>
      </c>
      <c r="S27" s="1568">
        <f>F27</f>
        <v>100</v>
      </c>
      <c r="T27" s="1567" t="s">
        <v>8</v>
      </c>
      <c r="U27" s="1568">
        <f>H27</f>
        <v>100</v>
      </c>
      <c r="V27" s="1567" t="s">
        <v>8</v>
      </c>
      <c r="W27" s="1568">
        <f>J27</f>
        <v>100</v>
      </c>
      <c r="X27" s="1569"/>
      <c r="Y27" s="3404"/>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1"/>
      <c r="M28" s="2133"/>
      <c r="N28" s="2133"/>
      <c r="O28" s="2140"/>
      <c r="P28" s="3404"/>
      <c r="Q28" s="1571">
        <f t="shared" si="11"/>
        <v>111</v>
      </c>
      <c r="R28" s="1572" t="s">
        <v>8</v>
      </c>
      <c r="S28" s="1573">
        <f t="shared" ref="S28:S40" si="12">F28</f>
        <v>100</v>
      </c>
      <c r="T28" s="1572" t="s">
        <v>8</v>
      </c>
      <c r="U28" s="1573">
        <f t="shared" ref="U28:U40" si="13">H28</f>
        <v>100</v>
      </c>
      <c r="V28" s="1572" t="s">
        <v>8</v>
      </c>
      <c r="W28" s="1573">
        <f t="shared" ref="W28:W40" si="14">J28</f>
        <v>100</v>
      </c>
      <c r="X28" s="1566"/>
      <c r="Y28" s="3404"/>
      <c r="Z28" s="1574">
        <f t="shared" ref="Z28:Z40" si="15">Q28</f>
        <v>111</v>
      </c>
      <c r="AA28" s="1575">
        <f t="shared" si="3"/>
        <v>1</v>
      </c>
      <c r="AB28" s="1575">
        <f t="shared" si="4"/>
        <v>1</v>
      </c>
      <c r="AC28" s="1575">
        <f t="shared" si="5"/>
        <v>1</v>
      </c>
    </row>
    <row r="29" spans="1:29" ht="15">
      <c r="A29" s="2932" t="s">
        <v>2756</v>
      </c>
      <c r="B29" s="172" t="s">
        <v>781</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05" t="s">
        <v>551</v>
      </c>
      <c r="Q29" s="1571" t="str">
        <f t="shared" si="11"/>
        <v>建筑类型</v>
      </c>
      <c r="R29" s="1572" t="s">
        <v>8</v>
      </c>
      <c r="S29" s="1573">
        <f t="shared" si="12"/>
        <v>100</v>
      </c>
      <c r="T29" s="1572" t="s">
        <v>8</v>
      </c>
      <c r="U29" s="1573">
        <f t="shared" si="13"/>
        <v>100</v>
      </c>
      <c r="V29" s="1572" t="s">
        <v>8</v>
      </c>
      <c r="W29" s="1573">
        <f t="shared" si="14"/>
        <v>100</v>
      </c>
      <c r="X29" s="1566"/>
      <c r="Y29" s="3406" t="s">
        <v>551</v>
      </c>
      <c r="Z29" s="1574" t="str">
        <f t="shared" si="15"/>
        <v>建筑类型</v>
      </c>
      <c r="AA29" s="1575">
        <f t="shared" si="3"/>
        <v>1</v>
      </c>
      <c r="AB29" s="1575">
        <f t="shared" si="4"/>
        <v>1</v>
      </c>
      <c r="AC29" s="1575">
        <f t="shared" si="5"/>
        <v>1</v>
      </c>
    </row>
    <row r="30" spans="1:29" s="1338"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06"/>
      <c r="Q30" s="1604" t="str">
        <f t="shared" si="11"/>
        <v>项目建筑规模</v>
      </c>
      <c r="R30" s="1576" t="s">
        <v>8</v>
      </c>
      <c r="S30" s="1577" t="e">
        <f t="shared" si="12"/>
        <v>#N/A</v>
      </c>
      <c r="T30" s="1576" t="s">
        <v>8</v>
      </c>
      <c r="U30" s="1577" t="e">
        <f t="shared" si="13"/>
        <v>#N/A</v>
      </c>
      <c r="V30" s="1576" t="s">
        <v>8</v>
      </c>
      <c r="W30" s="1577" t="e">
        <f t="shared" si="14"/>
        <v>#N/A</v>
      </c>
      <c r="X30" s="1578"/>
      <c r="Y30" s="3406"/>
      <c r="Z30" s="1579" t="str">
        <f t="shared" si="15"/>
        <v>项目建筑规模</v>
      </c>
      <c r="AA30" s="1575" t="e">
        <f t="shared" si="3"/>
        <v>#N/A</v>
      </c>
      <c r="AB30" s="1575" t="e">
        <f t="shared" si="4"/>
        <v>#N/A</v>
      </c>
      <c r="AC30" s="1575"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06"/>
      <c r="Q31" s="1571" t="str">
        <f t="shared" si="11"/>
        <v>建筑结构</v>
      </c>
      <c r="R31" s="1572" t="s">
        <v>8</v>
      </c>
      <c r="S31" s="1573">
        <f t="shared" si="12"/>
        <v>100</v>
      </c>
      <c r="T31" s="1572" t="s">
        <v>8</v>
      </c>
      <c r="U31" s="1573">
        <f t="shared" si="13"/>
        <v>100</v>
      </c>
      <c r="V31" s="1572" t="s">
        <v>8</v>
      </c>
      <c r="W31" s="1573">
        <f t="shared" si="14"/>
        <v>100</v>
      </c>
      <c r="X31" s="1566"/>
      <c r="Y31" s="3406"/>
      <c r="Z31" s="1574" t="str">
        <f t="shared" si="15"/>
        <v>建筑结构</v>
      </c>
      <c r="AA31" s="1575">
        <f t="shared" si="3"/>
        <v>1</v>
      </c>
      <c r="AB31" s="1575">
        <f t="shared" si="4"/>
        <v>1</v>
      </c>
      <c r="AC31" s="1575">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06"/>
      <c r="Q32" s="1571" t="str">
        <f t="shared" si="11"/>
        <v>公共部分装修</v>
      </c>
      <c r="R32" s="1572" t="s">
        <v>8</v>
      </c>
      <c r="S32" s="1573">
        <f t="shared" si="12"/>
        <v>100</v>
      </c>
      <c r="T32" s="1572" t="s">
        <v>8</v>
      </c>
      <c r="U32" s="1573">
        <f t="shared" si="13"/>
        <v>100</v>
      </c>
      <c r="V32" s="1572" t="s">
        <v>8</v>
      </c>
      <c r="W32" s="1573">
        <f t="shared" si="14"/>
        <v>100</v>
      </c>
      <c r="X32" s="1566"/>
      <c r="Y32" s="3406"/>
      <c r="Z32" s="1574" t="str">
        <f t="shared" si="15"/>
        <v>公共部分装修</v>
      </c>
      <c r="AA32" s="1575">
        <f t="shared" si="3"/>
        <v>1</v>
      </c>
      <c r="AB32" s="1575">
        <f t="shared" si="4"/>
        <v>1</v>
      </c>
      <c r="AC32" s="1575">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1"/>
      <c r="M33" s="2133"/>
      <c r="N33" s="2133"/>
      <c r="O33" s="2140"/>
      <c r="P33" s="3406"/>
      <c r="Q33" s="1571" t="str">
        <f t="shared" si="11"/>
        <v>成新度</v>
      </c>
      <c r="R33" s="1572" t="s">
        <v>8</v>
      </c>
      <c r="S33" s="1573" t="e">
        <f t="shared" si="12"/>
        <v>#N/A</v>
      </c>
      <c r="T33" s="1572" t="s">
        <v>8</v>
      </c>
      <c r="U33" s="1573" t="e">
        <f t="shared" si="13"/>
        <v>#N/A</v>
      </c>
      <c r="V33" s="1572" t="s">
        <v>8</v>
      </c>
      <c r="W33" s="1573" t="e">
        <f t="shared" si="14"/>
        <v>#N/A</v>
      </c>
      <c r="X33" s="1566"/>
      <c r="Y33" s="3406"/>
      <c r="Z33" s="1574" t="str">
        <f t="shared" si="15"/>
        <v>成新度</v>
      </c>
      <c r="AA33" s="1575" t="e">
        <f t="shared" si="3"/>
        <v>#N/A</v>
      </c>
      <c r="AB33" s="1575" t="e">
        <f t="shared" si="4"/>
        <v>#N/A</v>
      </c>
      <c r="AC33" s="1575" t="e">
        <f t="shared" si="5"/>
        <v>#N/A</v>
      </c>
    </row>
    <row r="34" spans="1:29" s="1219"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06"/>
      <c r="Q34" s="1150" t="str">
        <f t="shared" si="11"/>
        <v>物业管理</v>
      </c>
      <c r="R34" s="1567" t="s">
        <v>8</v>
      </c>
      <c r="S34" s="1568">
        <f t="shared" si="12"/>
        <v>100</v>
      </c>
      <c r="T34" s="1567" t="s">
        <v>8</v>
      </c>
      <c r="U34" s="1568">
        <f t="shared" si="13"/>
        <v>100</v>
      </c>
      <c r="V34" s="1567" t="s">
        <v>8</v>
      </c>
      <c r="W34" s="1568">
        <f t="shared" si="14"/>
        <v>100</v>
      </c>
      <c r="X34" s="1569"/>
      <c r="Y34" s="3406"/>
      <c r="Z34" s="1149" t="str">
        <f t="shared" si="15"/>
        <v>物业管理</v>
      </c>
      <c r="AA34" s="1570">
        <f t="shared" si="3"/>
        <v>1</v>
      </c>
      <c r="AB34" s="1570">
        <f t="shared" si="4"/>
        <v>1</v>
      </c>
      <c r="AC34" s="1570">
        <f t="shared" si="5"/>
        <v>1</v>
      </c>
    </row>
    <row r="35" spans="1:29" ht="15">
      <c r="A35" s="594"/>
      <c r="B35" s="1894"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06" t="s">
        <v>551</v>
      </c>
      <c r="Q35" s="1571" t="str">
        <f t="shared" si="11"/>
        <v>市政基础设施</v>
      </c>
      <c r="R35" s="1572" t="s">
        <v>8</v>
      </c>
      <c r="S35" s="1573">
        <f t="shared" si="12"/>
        <v>100</v>
      </c>
      <c r="T35" s="1572" t="s">
        <v>8</v>
      </c>
      <c r="U35" s="1573">
        <f t="shared" si="13"/>
        <v>100</v>
      </c>
      <c r="V35" s="1572" t="s">
        <v>8</v>
      </c>
      <c r="W35" s="1573">
        <f t="shared" si="14"/>
        <v>100</v>
      </c>
      <c r="X35" s="1566"/>
      <c r="Y35" s="3406" t="s">
        <v>551</v>
      </c>
      <c r="Z35" s="1574" t="str">
        <f t="shared" si="15"/>
        <v>市政基础设施</v>
      </c>
      <c r="AA35" s="1575">
        <f t="shared" si="3"/>
        <v>1</v>
      </c>
      <c r="AB35" s="1575">
        <f t="shared" si="4"/>
        <v>1</v>
      </c>
      <c r="AC35" s="1575">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06"/>
      <c r="Q36" s="1571" t="str">
        <f t="shared" si="11"/>
        <v>内部装修</v>
      </c>
      <c r="R36" s="1572" t="s">
        <v>8</v>
      </c>
      <c r="S36" s="1573">
        <f t="shared" si="12"/>
        <v>100</v>
      </c>
      <c r="T36" s="1572" t="s">
        <v>8</v>
      </c>
      <c r="U36" s="1573">
        <f t="shared" si="13"/>
        <v>100</v>
      </c>
      <c r="V36" s="1572" t="s">
        <v>8</v>
      </c>
      <c r="W36" s="1573">
        <f t="shared" si="14"/>
        <v>100</v>
      </c>
      <c r="X36" s="1566"/>
      <c r="Y36" s="3406"/>
      <c r="Z36" s="1574" t="str">
        <f t="shared" si="15"/>
        <v>内部装修</v>
      </c>
      <c r="AA36" s="1575">
        <f t="shared" si="3"/>
        <v>1</v>
      </c>
      <c r="AB36" s="1575">
        <f t="shared" si="4"/>
        <v>1</v>
      </c>
      <c r="AC36" s="1575">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06"/>
      <c r="Q37" s="1571" t="str">
        <f t="shared" si="11"/>
        <v>内部装修状况</v>
      </c>
      <c r="R37" s="1572" t="s">
        <v>8</v>
      </c>
      <c r="S37" s="1573">
        <f t="shared" si="12"/>
        <v>100</v>
      </c>
      <c r="T37" s="1572" t="s">
        <v>8</v>
      </c>
      <c r="U37" s="1573">
        <f t="shared" si="13"/>
        <v>100</v>
      </c>
      <c r="V37" s="1572" t="s">
        <v>8</v>
      </c>
      <c r="W37" s="1573">
        <f t="shared" si="14"/>
        <v>100</v>
      </c>
      <c r="X37" s="1566"/>
      <c r="Y37" s="3406"/>
      <c r="Z37" s="1574" t="str">
        <f t="shared" si="15"/>
        <v>内部装修状况</v>
      </c>
      <c r="AA37" s="1575">
        <f t="shared" si="3"/>
        <v>1</v>
      </c>
      <c r="AB37" s="1575">
        <f t="shared" si="4"/>
        <v>1</v>
      </c>
      <c r="AC37" s="1575">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9"/>
      <c r="M38" s="2170"/>
      <c r="N38" s="2170"/>
      <c r="O38" s="2142"/>
      <c r="P38" s="3406"/>
      <c r="Q38" s="1604">
        <f t="shared" si="11"/>
        <v>111</v>
      </c>
      <c r="R38" s="1576" t="s">
        <v>8</v>
      </c>
      <c r="S38" s="1577">
        <f t="shared" si="12"/>
        <v>100</v>
      </c>
      <c r="T38" s="1576" t="s">
        <v>8</v>
      </c>
      <c r="U38" s="1577">
        <f t="shared" si="13"/>
        <v>100</v>
      </c>
      <c r="V38" s="1576" t="s">
        <v>8</v>
      </c>
      <c r="W38" s="1577">
        <f t="shared" si="14"/>
        <v>100</v>
      </c>
      <c r="X38" s="1578"/>
      <c r="Y38" s="3406"/>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1"/>
      <c r="M39" s="2133"/>
      <c r="N39" s="2133"/>
      <c r="O39" s="2140"/>
      <c r="P39" s="3406"/>
      <c r="Q39" s="1571">
        <f t="shared" si="11"/>
        <v>111</v>
      </c>
      <c r="R39" s="1572" t="s">
        <v>8</v>
      </c>
      <c r="S39" s="1573">
        <f t="shared" si="12"/>
        <v>100</v>
      </c>
      <c r="T39" s="1572" t="s">
        <v>8</v>
      </c>
      <c r="U39" s="1573">
        <f t="shared" si="13"/>
        <v>100</v>
      </c>
      <c r="V39" s="1572" t="s">
        <v>8</v>
      </c>
      <c r="W39" s="1573">
        <f t="shared" si="14"/>
        <v>100</v>
      </c>
      <c r="X39" s="1566"/>
      <c r="Y39" s="3406"/>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1"/>
      <c r="M40" s="2133"/>
      <c r="N40" s="2133"/>
      <c r="O40" s="2140"/>
      <c r="P40" s="3461"/>
      <c r="Q40" s="1571">
        <f t="shared" si="11"/>
        <v>111</v>
      </c>
      <c r="R40" s="1572" t="s">
        <v>8</v>
      </c>
      <c r="S40" s="1573">
        <f t="shared" si="12"/>
        <v>100</v>
      </c>
      <c r="T40" s="1572" t="s">
        <v>8</v>
      </c>
      <c r="U40" s="1573">
        <f t="shared" si="13"/>
        <v>100</v>
      </c>
      <c r="V40" s="1572" t="s">
        <v>8</v>
      </c>
      <c r="W40" s="1573">
        <f t="shared" si="14"/>
        <v>100</v>
      </c>
      <c r="X40" s="1566"/>
      <c r="Y40" s="3461"/>
      <c r="Z40" s="1574">
        <f t="shared" si="15"/>
        <v>111</v>
      </c>
      <c r="AA40" s="1575">
        <f t="shared" si="3"/>
        <v>1</v>
      </c>
      <c r="AB40" s="1575">
        <f t="shared" si="4"/>
        <v>1</v>
      </c>
      <c r="AC40" s="1575">
        <f t="shared" si="5"/>
        <v>1</v>
      </c>
    </row>
    <row r="41" spans="1:29" ht="15">
      <c r="A41" s="607" t="s">
        <v>737</v>
      </c>
      <c r="B41" s="887"/>
      <c r="C41" s="2650" t="s">
        <v>1</v>
      </c>
      <c r="D41" s="2651"/>
      <c r="E41" s="2652"/>
      <c r="F41" s="2653"/>
      <c r="G41" s="2654"/>
      <c r="H41" s="2655"/>
      <c r="I41" s="2652"/>
      <c r="J41" s="2655"/>
      <c r="K41" s="1610"/>
      <c r="L41" s="2143"/>
      <c r="M41" s="2144"/>
      <c r="N41" s="2133"/>
      <c r="O41" s="2144"/>
      <c r="P41" s="3367" t="str">
        <f>A41</f>
        <v>成交单价（元/平方米）</v>
      </c>
      <c r="Q41" s="3367"/>
      <c r="R41" s="3460">
        <f>E41</f>
        <v>0</v>
      </c>
      <c r="S41" s="3460"/>
      <c r="T41" s="3460">
        <f>G41</f>
        <v>0</v>
      </c>
      <c r="U41" s="3460"/>
      <c r="V41" s="3460">
        <f>I41</f>
        <v>0</v>
      </c>
      <c r="W41" s="3460"/>
      <c r="X41" s="1558"/>
      <c r="Y41" s="1580"/>
      <c r="Z41" s="1558"/>
      <c r="AA41" s="1558"/>
      <c r="AB41" s="1558"/>
      <c r="AC41" s="1558"/>
    </row>
    <row r="42" spans="1:29" ht="15.75" thickBot="1">
      <c r="A42" s="615" t="s">
        <v>2761</v>
      </c>
      <c r="B42" s="888"/>
      <c r="C42" s="2656" t="e">
        <f>R43</f>
        <v>#DIV/0!</v>
      </c>
      <c r="D42" s="2657"/>
      <c r="E42" s="2658" t="e">
        <f>R42</f>
        <v>#DIV/0!</v>
      </c>
      <c r="F42" s="2658"/>
      <c r="G42" s="2656" t="e">
        <f>T42</f>
        <v>#DIV/0!</v>
      </c>
      <c r="H42" s="2657"/>
      <c r="I42" s="2658" t="e">
        <f>V42</f>
        <v>#DIV/0!</v>
      </c>
      <c r="J42" s="2657"/>
      <c r="K42" s="1611"/>
      <c r="L42" s="2143"/>
      <c r="M42" s="2144"/>
      <c r="N42" s="2133"/>
      <c r="O42" s="2144"/>
      <c r="P42" s="3367" t="str">
        <f>A42</f>
        <v>比较价格（元/平方米）</v>
      </c>
      <c r="Q42" s="3367"/>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1558"/>
      <c r="Y42" s="1558"/>
      <c r="Z42" s="1558"/>
      <c r="AA42" s="1558"/>
      <c r="AB42" s="1558"/>
      <c r="AC42" s="1558"/>
    </row>
    <row r="43" spans="1:29" ht="15.75" thickBot="1">
      <c r="A43" s="621" t="s">
        <v>2933</v>
      </c>
      <c r="B43" s="622"/>
      <c r="C43" s="2659" t="e">
        <f>R43</f>
        <v>#DIV/0!</v>
      </c>
      <c r="D43" s="2659"/>
      <c r="E43" s="2659"/>
      <c r="F43" s="2659"/>
      <c r="G43" s="2659"/>
      <c r="H43" s="2659"/>
      <c r="I43" s="2659"/>
      <c r="J43" s="2659"/>
      <c r="K43" s="1612"/>
      <c r="L43" s="2143"/>
      <c r="M43" s="2144"/>
      <c r="N43" s="2144"/>
      <c r="O43" s="2144"/>
      <c r="P43" s="3364" t="str">
        <f>A43</f>
        <v>估价对象XX用房的比较价格（楼面单价，元/平方米）</v>
      </c>
      <c r="Q43" s="3365"/>
      <c r="R43" s="3459" t="e">
        <f>IF(F1="售价",ROUND(AVERAGE(R42:V42),0),ROUND(AVERAGE(R42:V42),1))</f>
        <v>#DIV/0!</v>
      </c>
      <c r="S43" s="3459"/>
      <c r="T43" s="3459"/>
      <c r="U43" s="3459"/>
      <c r="V43" s="3459"/>
      <c r="W43" s="3459"/>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575</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5" t="s">
        <v>530</v>
      </c>
      <c r="B52" s="646"/>
      <c r="C52" s="2827" t="str">
        <f>YEAR(C7)&amp;"-"&amp;MONTH(C7)</f>
        <v>2017-11</v>
      </c>
      <c r="D52" s="2829">
        <f>EDATE(C52,-1)</f>
        <v>43009</v>
      </c>
      <c r="E52" s="2829">
        <f t="shared" ref="E52:O52" si="16">EDATE(D52,-1)</f>
        <v>42979</v>
      </c>
      <c r="F52" s="2829">
        <f t="shared" si="16"/>
        <v>42948</v>
      </c>
      <c r="G52" s="2829">
        <f t="shared" si="16"/>
        <v>42917</v>
      </c>
      <c r="H52" s="2829">
        <f t="shared" si="16"/>
        <v>42887</v>
      </c>
      <c r="I52" s="2829">
        <f t="shared" si="16"/>
        <v>42856</v>
      </c>
      <c r="J52" s="2829">
        <f t="shared" si="16"/>
        <v>42826</v>
      </c>
      <c r="K52" s="2829">
        <f t="shared" si="16"/>
        <v>42795</v>
      </c>
      <c r="L52" s="2829">
        <f t="shared" si="16"/>
        <v>42767</v>
      </c>
      <c r="M52" s="2829">
        <f t="shared" si="16"/>
        <v>42736</v>
      </c>
      <c r="N52" s="2829">
        <f t="shared" si="16"/>
        <v>42705</v>
      </c>
      <c r="O52" s="2829">
        <f t="shared" si="16"/>
        <v>42675</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576</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532</v>
      </c>
      <c r="B55" s="648"/>
      <c r="C55" s="660" t="s">
        <v>577</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578</v>
      </c>
      <c r="B57" s="665" t="s">
        <v>535</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540</v>
      </c>
      <c r="B70" s="665" t="s">
        <v>586</v>
      </c>
      <c r="C70" s="703" t="s">
        <v>580</v>
      </c>
      <c r="D70" s="703" t="s">
        <v>581</v>
      </c>
      <c r="E70" s="703" t="s">
        <v>582</v>
      </c>
      <c r="F70" s="703" t="s">
        <v>583</v>
      </c>
      <c r="G70" s="703" t="s">
        <v>584</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587</v>
      </c>
      <c r="C72" s="708" t="s">
        <v>580</v>
      </c>
      <c r="D72" s="708" t="s">
        <v>581</v>
      </c>
      <c r="E72" s="708" t="s">
        <v>582</v>
      </c>
      <c r="F72" s="708" t="s">
        <v>583</v>
      </c>
      <c r="G72" s="708" t="s">
        <v>584</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2557</v>
      </c>
      <c r="C74" s="708" t="s">
        <v>580</v>
      </c>
      <c r="D74" s="708" t="s">
        <v>581</v>
      </c>
      <c r="E74" s="708" t="s">
        <v>582</v>
      </c>
      <c r="F74" s="708" t="s">
        <v>583</v>
      </c>
      <c r="G74" s="708" t="s">
        <v>584</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620" t="s">
        <v>2558</v>
      </c>
      <c r="C76" s="2621" t="s">
        <v>2559</v>
      </c>
      <c r="D76" s="2621" t="s">
        <v>2560</v>
      </c>
      <c r="E76" s="2621" t="s">
        <v>2561</v>
      </c>
      <c r="F76" s="2621" t="s">
        <v>2562</v>
      </c>
      <c r="G76" s="2621" t="s">
        <v>2563</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785</v>
      </c>
      <c r="C78" s="708" t="s">
        <v>580</v>
      </c>
      <c r="D78" s="708" t="s">
        <v>581</v>
      </c>
      <c r="E78" s="708" t="s">
        <v>582</v>
      </c>
      <c r="F78" s="708" t="s">
        <v>583</v>
      </c>
      <c r="G78" s="708" t="s">
        <v>584</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90"/>
      <c r="M80" s="891"/>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90"/>
      <c r="M82" s="891"/>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90"/>
      <c r="M84" s="8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3"/>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552</v>
      </c>
      <c r="B88" s="665" t="s">
        <v>748</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750</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752</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4">
        <v>0.5</v>
      </c>
      <c r="D98" s="894">
        <v>0.6</v>
      </c>
      <c r="E98" s="894">
        <v>0.7</v>
      </c>
      <c r="F98" s="894">
        <v>0.8</v>
      </c>
      <c r="G98" s="894">
        <v>0.9</v>
      </c>
      <c r="H98" s="894">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754</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2556</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756</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792</v>
      </c>
      <c r="C106" s="708" t="s">
        <v>580</v>
      </c>
      <c r="D106" s="708" t="s">
        <v>581</v>
      </c>
      <c r="E106" s="708" t="s">
        <v>582</v>
      </c>
      <c r="F106" s="708" t="s">
        <v>583</v>
      </c>
      <c r="G106" s="708" t="s">
        <v>584</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3"/>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Q78" sqref="Q7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922"/>
      <c r="C1" s="504" t="s">
        <v>793</v>
      </c>
      <c r="D1" s="849"/>
      <c r="E1" s="506"/>
      <c r="F1" s="2832"/>
      <c r="G1" s="1600" t="s">
        <v>794</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795</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796</v>
      </c>
      <c r="B3" s="510" t="e">
        <f>IF(B37="元/平方米",C39,ROUND(B2*10000/D3,0))</f>
        <v>#DIV/0!</v>
      </c>
      <c r="C3" s="852" t="s">
        <v>797</v>
      </c>
      <c r="D3" s="851">
        <f>SUMIF('数据-汇总表'!$C19:$C33,D1,'数据-汇总表'!$E19:$E33)</f>
        <v>0</v>
      </c>
      <c r="E3" s="1847" t="s">
        <v>2076</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798</v>
      </c>
      <c r="B4" s="513"/>
      <c r="C4" s="3373" t="s">
        <v>799</v>
      </c>
      <c r="D4" s="3374"/>
      <c r="E4" s="3373" t="s">
        <v>800</v>
      </c>
      <c r="F4" s="3374"/>
      <c r="G4" s="3373" t="s">
        <v>801</v>
      </c>
      <c r="H4" s="3374"/>
      <c r="I4" s="3373" t="s">
        <v>802</v>
      </c>
      <c r="J4" s="3374"/>
      <c r="K4" s="514" t="s">
        <v>803</v>
      </c>
      <c r="L4" s="2132"/>
      <c r="M4" s="2133"/>
      <c r="N4" s="2133"/>
      <c r="O4" s="2133"/>
      <c r="P4" s="3375" t="s">
        <v>804</v>
      </c>
      <c r="Q4" s="3376"/>
      <c r="R4" s="3381" t="s">
        <v>800</v>
      </c>
      <c r="S4" s="3382"/>
      <c r="T4" s="3381" t="s">
        <v>801</v>
      </c>
      <c r="U4" s="3382"/>
      <c r="V4" s="3368" t="s">
        <v>802</v>
      </c>
      <c r="W4" s="3368"/>
      <c r="X4" s="1566"/>
      <c r="Y4" s="3381" t="s">
        <v>804</v>
      </c>
      <c r="Z4" s="3382"/>
      <c r="AA4" s="3370" t="s">
        <v>800</v>
      </c>
      <c r="AB4" s="3371" t="s">
        <v>801</v>
      </c>
      <c r="AC4" s="3370" t="s">
        <v>802</v>
      </c>
    </row>
    <row r="5" spans="1:29" ht="15">
      <c r="A5" s="515"/>
      <c r="B5" s="516"/>
      <c r="C5" s="3391" t="s">
        <v>2927</v>
      </c>
      <c r="D5" s="3390"/>
      <c r="E5" s="3391" t="s">
        <v>2928</v>
      </c>
      <c r="F5" s="3390"/>
      <c r="G5" s="3391" t="s">
        <v>2929</v>
      </c>
      <c r="H5" s="3390"/>
      <c r="I5" s="3391" t="s">
        <v>2930</v>
      </c>
      <c r="J5" s="3390"/>
      <c r="K5" s="514"/>
      <c r="L5" s="2132"/>
      <c r="M5" s="2133"/>
      <c r="N5" s="2133"/>
      <c r="O5" s="2133"/>
      <c r="P5" s="3377"/>
      <c r="Q5" s="3378"/>
      <c r="R5" s="3383"/>
      <c r="S5" s="3384"/>
      <c r="T5" s="3383"/>
      <c r="U5" s="3384"/>
      <c r="V5" s="3368"/>
      <c r="W5" s="3368"/>
      <c r="X5" s="1566"/>
      <c r="Y5" s="3383"/>
      <c r="Z5" s="3384"/>
      <c r="AA5" s="3371"/>
      <c r="AB5" s="3371"/>
      <c r="AC5" s="3371"/>
    </row>
    <row r="6" spans="1:29" ht="15.75" thickBot="1">
      <c r="A6" s="517"/>
      <c r="B6" s="518"/>
      <c r="C6" s="3407" t="s">
        <v>2931</v>
      </c>
      <c r="D6" s="3388"/>
      <c r="E6" s="3392" t="s">
        <v>2931</v>
      </c>
      <c r="F6" s="3393"/>
      <c r="G6" s="3407" t="s">
        <v>2931</v>
      </c>
      <c r="H6" s="3388"/>
      <c r="I6" s="3407" t="s">
        <v>2931</v>
      </c>
      <c r="J6" s="3388"/>
      <c r="K6" s="514" t="s">
        <v>529</v>
      </c>
      <c r="L6" s="2132"/>
      <c r="M6" s="2133"/>
      <c r="N6" s="2133"/>
      <c r="O6" s="2133"/>
      <c r="P6" s="3379"/>
      <c r="Q6" s="3380"/>
      <c r="R6" s="3383"/>
      <c r="S6" s="3384"/>
      <c r="T6" s="3385"/>
      <c r="U6" s="3386"/>
      <c r="V6" s="3368"/>
      <c r="W6" s="3368"/>
      <c r="X6" s="1566"/>
      <c r="Y6" s="3385"/>
      <c r="Z6" s="3386"/>
      <c r="AA6" s="3372"/>
      <c r="AB6" s="3372"/>
      <c r="AC6" s="3372"/>
    </row>
    <row r="7" spans="1:29" s="1219" customFormat="1" ht="15.75" thickBot="1">
      <c r="A7" s="2937"/>
      <c r="B7" s="2944" t="s">
        <v>530</v>
      </c>
      <c r="C7" s="519">
        <f>'数据-取费表'!B2</f>
        <v>43068</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00" t="s">
        <v>531</v>
      </c>
      <c r="Q7" s="3402"/>
      <c r="R7" s="1567" t="s">
        <v>8</v>
      </c>
      <c r="S7" s="1568">
        <f t="shared" ref="S7:S14" si="0">F7</f>
        <v>0</v>
      </c>
      <c r="T7" s="1567" t="s">
        <v>8</v>
      </c>
      <c r="U7" s="1568">
        <f t="shared" ref="U7:U14" si="1">H7</f>
        <v>0</v>
      </c>
      <c r="V7" s="1567" t="s">
        <v>8</v>
      </c>
      <c r="W7" s="1568">
        <f t="shared" ref="W7:W14" si="2">J7</f>
        <v>0</v>
      </c>
      <c r="X7" s="1569"/>
      <c r="Y7" s="3400" t="s">
        <v>531</v>
      </c>
      <c r="Z7" s="3401"/>
      <c r="AA7" s="1570" t="e">
        <f>D7/F7</f>
        <v>#DIV/0!</v>
      </c>
      <c r="AB7" s="1570" t="e">
        <f>D7/H7</f>
        <v>#DIV/0!</v>
      </c>
      <c r="AC7" s="1570" t="e">
        <f>D7/J7</f>
        <v>#DIV/0!</v>
      </c>
    </row>
    <row r="8" spans="1:29" s="1219" customFormat="1" ht="15.75" thickBot="1">
      <c r="A8" s="2938"/>
      <c r="B8" s="2945" t="s">
        <v>532</v>
      </c>
      <c r="C8" s="525" t="s">
        <v>577</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00" t="s">
        <v>534</v>
      </c>
      <c r="Q8" s="3401"/>
      <c r="R8" s="1567" t="s">
        <v>8</v>
      </c>
      <c r="S8" s="1568">
        <f t="shared" si="0"/>
        <v>0</v>
      </c>
      <c r="T8" s="1567" t="s">
        <v>8</v>
      </c>
      <c r="U8" s="1568">
        <f t="shared" si="1"/>
        <v>0</v>
      </c>
      <c r="V8" s="1567" t="s">
        <v>8</v>
      </c>
      <c r="W8" s="1568">
        <f t="shared" si="2"/>
        <v>0</v>
      </c>
      <c r="X8" s="1569"/>
      <c r="Y8" s="3400" t="s">
        <v>534</v>
      </c>
      <c r="Z8" s="3401"/>
      <c r="AA8" s="1570" t="e">
        <f t="shared" ref="AA8:AA36" si="3">D8/F8</f>
        <v>#DIV/0!</v>
      </c>
      <c r="AB8" s="1570" t="e">
        <f t="shared" ref="AB8:AB36" si="4">D8/H8</f>
        <v>#DIV/0!</v>
      </c>
      <c r="AC8" s="1570" t="e">
        <f t="shared" ref="AC8:AC36" si="5">D8/J8</f>
        <v>#DIV/0!</v>
      </c>
    </row>
    <row r="9" spans="1:29" s="1219" customFormat="1" ht="15">
      <c r="A9" s="2939"/>
      <c r="B9" s="2946" t="s">
        <v>2757</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67" t="s">
        <v>536</v>
      </c>
      <c r="Q9" s="1150" t="str">
        <f t="shared" ref="Q9:Q14" si="6">B9</f>
        <v>用途</v>
      </c>
      <c r="R9" s="1567" t="s">
        <v>8</v>
      </c>
      <c r="S9" s="1568">
        <f t="shared" si="0"/>
        <v>100</v>
      </c>
      <c r="T9" s="1567" t="s">
        <v>8</v>
      </c>
      <c r="U9" s="1568">
        <f t="shared" si="1"/>
        <v>100</v>
      </c>
      <c r="V9" s="1567" t="s">
        <v>8</v>
      </c>
      <c r="W9" s="1568">
        <f t="shared" si="2"/>
        <v>100</v>
      </c>
      <c r="X9" s="1569"/>
      <c r="Y9" s="3313" t="s">
        <v>537</v>
      </c>
      <c r="Z9" s="1149" t="str">
        <f t="shared" ref="Z9:Z14" si="7">Q9</f>
        <v>用途</v>
      </c>
      <c r="AA9" s="1570">
        <f t="shared" si="3"/>
        <v>1</v>
      </c>
      <c r="AB9" s="1570">
        <f t="shared" si="4"/>
        <v>1</v>
      </c>
      <c r="AC9" s="1570">
        <f t="shared" si="5"/>
        <v>1</v>
      </c>
    </row>
    <row r="10" spans="1:29" s="1337" customFormat="1" ht="27">
      <c r="A10" s="2940"/>
      <c r="B10" s="2945" t="s">
        <v>2758</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67"/>
      <c r="Q10" s="1150" t="str">
        <f t="shared" si="6"/>
        <v>土地使用年限（年）</v>
      </c>
      <c r="R10" s="1567" t="s">
        <v>8</v>
      </c>
      <c r="S10" s="1568">
        <f t="shared" si="0"/>
        <v>100</v>
      </c>
      <c r="T10" s="1567" t="s">
        <v>8</v>
      </c>
      <c r="U10" s="1568">
        <f t="shared" si="1"/>
        <v>100</v>
      </c>
      <c r="V10" s="1567" t="s">
        <v>8</v>
      </c>
      <c r="W10" s="1568">
        <f t="shared" si="2"/>
        <v>100</v>
      </c>
      <c r="X10" s="1569"/>
      <c r="Y10" s="3313"/>
      <c r="Z10" s="1149" t="str">
        <f t="shared" si="7"/>
        <v>土地使用年限（年）</v>
      </c>
      <c r="AA10" s="1570">
        <f t="shared" si="3"/>
        <v>1</v>
      </c>
      <c r="AB10" s="1570">
        <f t="shared" si="4"/>
        <v>1</v>
      </c>
      <c r="AC10" s="1570">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67"/>
      <c r="Q11" s="1150">
        <f t="shared" si="6"/>
        <v>111</v>
      </c>
      <c r="R11" s="1567" t="s">
        <v>8</v>
      </c>
      <c r="S11" s="1568">
        <f t="shared" si="0"/>
        <v>100</v>
      </c>
      <c r="T11" s="1567" t="s">
        <v>8</v>
      </c>
      <c r="U11" s="1568">
        <f t="shared" si="1"/>
        <v>100</v>
      </c>
      <c r="V11" s="1567" t="s">
        <v>8</v>
      </c>
      <c r="W11" s="1568">
        <f t="shared" si="2"/>
        <v>100</v>
      </c>
      <c r="X11" s="1569"/>
      <c r="Y11" s="3313"/>
      <c r="Z11" s="1149">
        <f t="shared" si="7"/>
        <v>111</v>
      </c>
      <c r="AA11" s="1570">
        <f t="shared" si="3"/>
        <v>1</v>
      </c>
      <c r="AB11" s="1570">
        <f t="shared" si="4"/>
        <v>1</v>
      </c>
      <c r="AC11" s="1570">
        <f t="shared" si="5"/>
        <v>1</v>
      </c>
    </row>
    <row r="12" spans="1:29" s="1219"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67"/>
      <c r="Q12" s="1150">
        <f t="shared" si="6"/>
        <v>111</v>
      </c>
      <c r="R12" s="1567" t="s">
        <v>8</v>
      </c>
      <c r="S12" s="1568">
        <f t="shared" si="0"/>
        <v>100</v>
      </c>
      <c r="T12" s="1567" t="s">
        <v>8</v>
      </c>
      <c r="U12" s="1568">
        <f t="shared" si="1"/>
        <v>100</v>
      </c>
      <c r="V12" s="1567" t="s">
        <v>8</v>
      </c>
      <c r="W12" s="1568">
        <f t="shared" si="2"/>
        <v>100</v>
      </c>
      <c r="X12" s="1569"/>
      <c r="Y12" s="3313"/>
      <c r="Z12" s="1149">
        <f t="shared" si="7"/>
        <v>111</v>
      </c>
      <c r="AA12" s="1570">
        <f>D12/F12</f>
        <v>1</v>
      </c>
      <c r="AB12" s="1570">
        <f>D12/H12</f>
        <v>1</v>
      </c>
      <c r="AC12" s="1570">
        <f>D12/J12</f>
        <v>1</v>
      </c>
    </row>
    <row r="13" spans="1:29" ht="15.75"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67"/>
      <c r="Q13" s="1150">
        <f t="shared" si="6"/>
        <v>111</v>
      </c>
      <c r="R13" s="1567" t="s">
        <v>8</v>
      </c>
      <c r="S13" s="1568">
        <f t="shared" si="0"/>
        <v>100</v>
      </c>
      <c r="T13" s="1567" t="s">
        <v>8</v>
      </c>
      <c r="U13" s="1568">
        <f t="shared" si="1"/>
        <v>100</v>
      </c>
      <c r="V13" s="1567" t="s">
        <v>8</v>
      </c>
      <c r="W13" s="1568">
        <f t="shared" si="2"/>
        <v>100</v>
      </c>
      <c r="X13" s="1569"/>
      <c r="Y13" s="3313"/>
      <c r="Z13" s="1149">
        <f t="shared" si="7"/>
        <v>111</v>
      </c>
      <c r="AA13" s="1570">
        <f t="shared" si="3"/>
        <v>1</v>
      </c>
      <c r="AB13" s="1570">
        <f t="shared" si="4"/>
        <v>1</v>
      </c>
      <c r="AC13" s="1570">
        <f t="shared" si="5"/>
        <v>1</v>
      </c>
    </row>
    <row r="14" spans="1:29" ht="85.5">
      <c r="A14" s="2935" t="s">
        <v>2755</v>
      </c>
      <c r="B14" s="547" t="s">
        <v>544</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1"/>
      <c r="M14" s="2133"/>
      <c r="N14" s="2133"/>
      <c r="O14" s="2140"/>
      <c r="P14" s="3403" t="s">
        <v>541</v>
      </c>
      <c r="Q14" s="1571" t="str">
        <f t="shared" si="6"/>
        <v>交通便捷度</v>
      </c>
      <c r="R14" s="1572" t="s">
        <v>8</v>
      </c>
      <c r="S14" s="1573">
        <f t="shared" si="0"/>
        <v>100</v>
      </c>
      <c r="T14" s="1572" t="s">
        <v>8</v>
      </c>
      <c r="U14" s="1573">
        <f t="shared" si="1"/>
        <v>100</v>
      </c>
      <c r="V14" s="1572" t="s">
        <v>8</v>
      </c>
      <c r="W14" s="1573">
        <f t="shared" si="2"/>
        <v>100</v>
      </c>
      <c r="X14" s="1566"/>
      <c r="Y14" s="3403" t="s">
        <v>541</v>
      </c>
      <c r="Z14" s="1574" t="str">
        <f t="shared" si="7"/>
        <v>交通便捷度</v>
      </c>
      <c r="AA14" s="1575">
        <f t="shared" si="3"/>
        <v>1</v>
      </c>
      <c r="AB14" s="1575">
        <f t="shared" si="4"/>
        <v>1</v>
      </c>
      <c r="AC14" s="1575">
        <f t="shared" si="5"/>
        <v>1</v>
      </c>
    </row>
    <row r="15" spans="1:29" ht="15">
      <c r="A15" s="515"/>
      <c r="B15" s="923"/>
      <c r="C15" s="576"/>
      <c r="D15" s="555"/>
      <c r="E15" s="576"/>
      <c r="F15" s="557"/>
      <c r="G15" s="576"/>
      <c r="H15" s="559"/>
      <c r="I15" s="576"/>
      <c r="J15" s="555"/>
      <c r="K15" s="899"/>
      <c r="L15" s="2141"/>
      <c r="M15" s="2133"/>
      <c r="N15" s="2133"/>
      <c r="O15" s="2140"/>
      <c r="P15" s="3404"/>
      <c r="Q15" s="1571"/>
      <c r="R15" s="1572"/>
      <c r="S15" s="1573"/>
      <c r="T15" s="1572"/>
      <c r="U15" s="1573"/>
      <c r="V15" s="1572"/>
      <c r="W15" s="1573"/>
      <c r="X15" s="1566"/>
      <c r="Y15" s="3404"/>
      <c r="Z15" s="1574"/>
      <c r="AA15" s="1575">
        <v>1</v>
      </c>
      <c r="AB15" s="1575">
        <v>1</v>
      </c>
      <c r="AC15" s="1575">
        <v>1</v>
      </c>
    </row>
    <row r="16" spans="1:29" ht="42.75">
      <c r="A16" s="515"/>
      <c r="B16" s="2626"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1"/>
      <c r="M16" s="2133"/>
      <c r="N16" s="2133"/>
      <c r="O16" s="2140"/>
      <c r="P16" s="3404"/>
      <c r="Q16" s="1571" t="str">
        <f>B16</f>
        <v>公共配套设施</v>
      </c>
      <c r="R16" s="1572" t="s">
        <v>8</v>
      </c>
      <c r="S16" s="1573">
        <f>F16</f>
        <v>100</v>
      </c>
      <c r="T16" s="1572" t="s">
        <v>8</v>
      </c>
      <c r="U16" s="1573">
        <f>H16</f>
        <v>100</v>
      </c>
      <c r="V16" s="1572" t="s">
        <v>8</v>
      </c>
      <c r="W16" s="1573">
        <f>J16</f>
        <v>100</v>
      </c>
      <c r="X16" s="1566"/>
      <c r="Y16" s="3404"/>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1"/>
      <c r="M17" s="2133"/>
      <c r="N17" s="2133"/>
      <c r="O17" s="2140"/>
      <c r="P17" s="3404"/>
      <c r="Q17" s="1571"/>
      <c r="R17" s="1572"/>
      <c r="S17" s="1573"/>
      <c r="T17" s="1572"/>
      <c r="U17" s="1573"/>
      <c r="V17" s="1572"/>
      <c r="W17" s="1573"/>
      <c r="X17" s="1566"/>
      <c r="Y17" s="3404"/>
      <c r="Z17" s="1574"/>
      <c r="AA17" s="1575">
        <v>1</v>
      </c>
      <c r="AB17" s="1575">
        <v>1</v>
      </c>
      <c r="AC17" s="1575">
        <v>1</v>
      </c>
    </row>
    <row r="18" spans="1:29" ht="28.5">
      <c r="A18" s="515"/>
      <c r="B18" s="2614"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1"/>
      <c r="M18" s="2133"/>
      <c r="N18" s="2133"/>
      <c r="O18" s="2140"/>
      <c r="P18" s="3404"/>
      <c r="Q18" s="2602" t="str">
        <f>B18</f>
        <v>基础设施水平</v>
      </c>
      <c r="R18" s="1572" t="s">
        <v>8</v>
      </c>
      <c r="S18" s="1573">
        <f>F18</f>
        <v>100</v>
      </c>
      <c r="T18" s="1572" t="s">
        <v>8</v>
      </c>
      <c r="U18" s="1573">
        <f>H18</f>
        <v>100</v>
      </c>
      <c r="V18" s="1572" t="s">
        <v>8</v>
      </c>
      <c r="W18" s="1573">
        <f>J18</f>
        <v>100</v>
      </c>
      <c r="X18" s="2604"/>
      <c r="Y18" s="3404"/>
      <c r="Z18" s="2603"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25"/>
      <c r="L19" s="2141"/>
      <c r="M19" s="2133"/>
      <c r="N19" s="2133"/>
      <c r="O19" s="2140"/>
      <c r="P19" s="3404"/>
      <c r="Q19" s="2602"/>
      <c r="R19" s="1572"/>
      <c r="S19" s="1573"/>
      <c r="T19" s="1572"/>
      <c r="U19" s="1573"/>
      <c r="V19" s="1572"/>
      <c r="W19" s="1573"/>
      <c r="X19" s="2604"/>
      <c r="Y19" s="3404"/>
      <c r="Z19" s="2603"/>
      <c r="AA19" s="1575">
        <v>1</v>
      </c>
      <c r="AB19" s="1575">
        <v>1</v>
      </c>
      <c r="AC19" s="1575">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1"/>
      <c r="M20" s="2133"/>
      <c r="N20" s="2133"/>
      <c r="O20" s="2140"/>
      <c r="P20" s="3404"/>
      <c r="Q20" s="1571" t="str">
        <f>B20</f>
        <v>自然及人文环境</v>
      </c>
      <c r="R20" s="1572" t="s">
        <v>8</v>
      </c>
      <c r="S20" s="1573">
        <f>F20</f>
        <v>100</v>
      </c>
      <c r="T20" s="1572" t="s">
        <v>8</v>
      </c>
      <c r="U20" s="1573">
        <f>H20</f>
        <v>100</v>
      </c>
      <c r="V20" s="1572" t="s">
        <v>8</v>
      </c>
      <c r="W20" s="1573">
        <f>J20</f>
        <v>100</v>
      </c>
      <c r="X20" s="1566"/>
      <c r="Y20" s="3404"/>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1"/>
      <c r="M21" s="2133"/>
      <c r="N21" s="2133"/>
      <c r="O21" s="2140"/>
      <c r="P21" s="3404"/>
      <c r="Q21" s="1571"/>
      <c r="R21" s="1572"/>
      <c r="S21" s="1573"/>
      <c r="T21" s="1572"/>
      <c r="U21" s="1573"/>
      <c r="V21" s="1572"/>
      <c r="W21" s="1573"/>
      <c r="X21" s="1566"/>
      <c r="Y21" s="3404"/>
      <c r="Z21" s="1574"/>
      <c r="AA21" s="1575">
        <v>1</v>
      </c>
      <c r="AB21" s="1575">
        <v>1</v>
      </c>
      <c r="AC21" s="1575">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04"/>
      <c r="Q22" s="1571" t="str">
        <f>B22</f>
        <v>楼层</v>
      </c>
      <c r="R22" s="1572" t="s">
        <v>8</v>
      </c>
      <c r="S22" s="1573">
        <f>F22</f>
        <v>100</v>
      </c>
      <c r="T22" s="1572" t="s">
        <v>8</v>
      </c>
      <c r="U22" s="1573">
        <f>H22</f>
        <v>100</v>
      </c>
      <c r="V22" s="1572" t="s">
        <v>8</v>
      </c>
      <c r="W22" s="1573">
        <f>J22</f>
        <v>100</v>
      </c>
      <c r="X22" s="1566"/>
      <c r="Y22" s="3404"/>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04"/>
      <c r="Q23" s="1571">
        <f>B23</f>
        <v>111</v>
      </c>
      <c r="R23" s="1572" t="s">
        <v>8</v>
      </c>
      <c r="S23" s="1573">
        <f>F23</f>
        <v>100</v>
      </c>
      <c r="T23" s="1572" t="s">
        <v>8</v>
      </c>
      <c r="U23" s="1573">
        <f>H23</f>
        <v>100</v>
      </c>
      <c r="V23" s="1572" t="s">
        <v>8</v>
      </c>
      <c r="W23" s="1573">
        <f>J23</f>
        <v>100</v>
      </c>
      <c r="X23" s="1566"/>
      <c r="Y23" s="3404"/>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04"/>
      <c r="Q24" s="1571">
        <f t="shared" ref="Q24:Q36" si="11">B24</f>
        <v>111</v>
      </c>
      <c r="R24" s="1572" t="s">
        <v>8</v>
      </c>
      <c r="S24" s="1573">
        <f>F24</f>
        <v>100</v>
      </c>
      <c r="T24" s="1572" t="s">
        <v>8</v>
      </c>
      <c r="U24" s="1573">
        <f>H24</f>
        <v>100</v>
      </c>
      <c r="V24" s="1572" t="s">
        <v>8</v>
      </c>
      <c r="W24" s="1573">
        <f>J24</f>
        <v>100</v>
      </c>
      <c r="X24" s="1566"/>
      <c r="Y24" s="3404"/>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04"/>
      <c r="Q25" s="1150">
        <f t="shared" si="11"/>
        <v>111</v>
      </c>
      <c r="R25" s="1567" t="s">
        <v>8</v>
      </c>
      <c r="S25" s="1568">
        <f>F25</f>
        <v>100</v>
      </c>
      <c r="T25" s="1567" t="s">
        <v>8</v>
      </c>
      <c r="U25" s="1568">
        <f>H25</f>
        <v>100</v>
      </c>
      <c r="V25" s="1567" t="s">
        <v>8</v>
      </c>
      <c r="W25" s="1568">
        <f>J25</f>
        <v>100</v>
      </c>
      <c r="X25" s="1569"/>
      <c r="Y25" s="3404"/>
      <c r="Z25" s="1149">
        <f>Q25</f>
        <v>111</v>
      </c>
      <c r="AA25" s="1575">
        <f>D25/F25</f>
        <v>1</v>
      </c>
      <c r="AB25" s="1575">
        <f>D25/H25</f>
        <v>1</v>
      </c>
      <c r="AC25" s="1575">
        <f>D25/J25</f>
        <v>1</v>
      </c>
    </row>
    <row r="26" spans="1:29" ht="15">
      <c r="A26" s="2932" t="s">
        <v>2756</v>
      </c>
      <c r="B26" s="170" t="s">
        <v>807</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05" t="s">
        <v>551</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06" t="s">
        <v>551</v>
      </c>
      <c r="Z26" s="1574" t="str">
        <f t="shared" ref="Z26:Z36" si="15">Q26</f>
        <v>配套类型</v>
      </c>
      <c r="AA26" s="1575">
        <f t="shared" si="3"/>
        <v>1</v>
      </c>
      <c r="AB26" s="1575">
        <f t="shared" si="4"/>
        <v>1</v>
      </c>
      <c r="AC26" s="1575">
        <f t="shared" si="5"/>
        <v>1</v>
      </c>
    </row>
    <row r="27" spans="1:29" s="1338" customFormat="1" ht="15">
      <c r="A27" s="928"/>
      <c r="B27" s="582" t="s">
        <v>808</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06"/>
      <c r="Q27" s="1604" t="str">
        <f t="shared" si="11"/>
        <v>项目停车位配比</v>
      </c>
      <c r="R27" s="1576" t="s">
        <v>8</v>
      </c>
      <c r="S27" s="1577">
        <f t="shared" si="12"/>
        <v>100</v>
      </c>
      <c r="T27" s="1576" t="s">
        <v>8</v>
      </c>
      <c r="U27" s="1577">
        <f t="shared" si="13"/>
        <v>100</v>
      </c>
      <c r="V27" s="1576" t="s">
        <v>8</v>
      </c>
      <c r="W27" s="1577">
        <f t="shared" si="14"/>
        <v>100</v>
      </c>
      <c r="X27" s="1578"/>
      <c r="Y27" s="3406"/>
      <c r="Z27" s="1579" t="str">
        <f t="shared" si="15"/>
        <v>项目停车位配比</v>
      </c>
      <c r="AA27" s="1575">
        <f t="shared" si="3"/>
        <v>1</v>
      </c>
      <c r="AB27" s="1575">
        <f t="shared" si="4"/>
        <v>1</v>
      </c>
      <c r="AC27" s="1575">
        <f t="shared" si="5"/>
        <v>1</v>
      </c>
    </row>
    <row r="28" spans="1:29" ht="15">
      <c r="A28" s="930"/>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06"/>
      <c r="Q28" s="1571" t="str">
        <f t="shared" si="11"/>
        <v>公共部分装修</v>
      </c>
      <c r="R28" s="1572" t="s">
        <v>8</v>
      </c>
      <c r="S28" s="1573">
        <f t="shared" si="12"/>
        <v>100</v>
      </c>
      <c r="T28" s="1572" t="s">
        <v>8</v>
      </c>
      <c r="U28" s="1573">
        <f t="shared" si="13"/>
        <v>100</v>
      </c>
      <c r="V28" s="1572" t="s">
        <v>8</v>
      </c>
      <c r="W28" s="1573">
        <f t="shared" si="14"/>
        <v>100</v>
      </c>
      <c r="X28" s="1566"/>
      <c r="Y28" s="3406"/>
      <c r="Z28" s="1574" t="str">
        <f t="shared" si="15"/>
        <v>公共部分装修</v>
      </c>
      <c r="AA28" s="1575">
        <f t="shared" si="3"/>
        <v>1</v>
      </c>
      <c r="AB28" s="1575">
        <f t="shared" si="4"/>
        <v>1</v>
      </c>
      <c r="AC28" s="1575">
        <f t="shared" si="5"/>
        <v>1</v>
      </c>
    </row>
    <row r="29" spans="1:29" ht="15">
      <c r="A29" s="930"/>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1"/>
      <c r="M29" s="2133"/>
      <c r="N29" s="2133"/>
      <c r="O29" s="2140"/>
      <c r="P29" s="3406"/>
      <c r="Q29" s="1571" t="str">
        <f t="shared" si="11"/>
        <v>成新率</v>
      </c>
      <c r="R29" s="1572" t="s">
        <v>8</v>
      </c>
      <c r="S29" s="1573" t="e">
        <f t="shared" si="12"/>
        <v>#N/A</v>
      </c>
      <c r="T29" s="1572" t="s">
        <v>8</v>
      </c>
      <c r="U29" s="1573" t="e">
        <f t="shared" si="13"/>
        <v>#N/A</v>
      </c>
      <c r="V29" s="1572" t="s">
        <v>8</v>
      </c>
      <c r="W29" s="1573" t="e">
        <f t="shared" si="14"/>
        <v>#N/A</v>
      </c>
      <c r="X29" s="1566"/>
      <c r="Y29" s="3406"/>
      <c r="Z29" s="1574" t="str">
        <f t="shared" si="15"/>
        <v>成新率</v>
      </c>
      <c r="AA29" s="1575" t="e">
        <f t="shared" si="3"/>
        <v>#N/A</v>
      </c>
      <c r="AB29" s="1575" t="e">
        <f t="shared" si="4"/>
        <v>#N/A</v>
      </c>
      <c r="AC29" s="1575" t="e">
        <f t="shared" si="5"/>
        <v>#N/A</v>
      </c>
    </row>
    <row r="30" spans="1:29" ht="15">
      <c r="A30" s="930"/>
      <c r="B30" s="582" t="s">
        <v>811</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06"/>
      <c r="Q30" s="1571" t="str">
        <f t="shared" si="11"/>
        <v>物业等级</v>
      </c>
      <c r="R30" s="1572" t="s">
        <v>8</v>
      </c>
      <c r="S30" s="1573">
        <f t="shared" si="12"/>
        <v>100</v>
      </c>
      <c r="T30" s="1572" t="s">
        <v>8</v>
      </c>
      <c r="U30" s="1573">
        <f t="shared" si="13"/>
        <v>100</v>
      </c>
      <c r="V30" s="1572" t="s">
        <v>8</v>
      </c>
      <c r="W30" s="1573">
        <f t="shared" si="14"/>
        <v>100</v>
      </c>
      <c r="X30" s="1566"/>
      <c r="Y30" s="3406"/>
      <c r="Z30" s="1574" t="str">
        <f t="shared" si="15"/>
        <v>物业等级</v>
      </c>
      <c r="AA30" s="1575">
        <f t="shared" si="3"/>
        <v>1</v>
      </c>
      <c r="AB30" s="1575">
        <f t="shared" si="4"/>
        <v>1</v>
      </c>
      <c r="AC30" s="1575">
        <f t="shared" si="5"/>
        <v>1</v>
      </c>
    </row>
    <row r="31" spans="1:29" s="1219" customFormat="1" ht="15">
      <c r="A31" s="932"/>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4"/>
      <c r="M31" s="2135"/>
      <c r="N31" s="2135"/>
      <c r="O31" s="2136"/>
      <c r="P31" s="3406"/>
      <c r="Q31" s="1150" t="str">
        <f t="shared" si="11"/>
        <v>停车位面积</v>
      </c>
      <c r="R31" s="1567" t="s">
        <v>8</v>
      </c>
      <c r="S31" s="1568" t="e">
        <f t="shared" si="12"/>
        <v>#N/A</v>
      </c>
      <c r="T31" s="1567" t="s">
        <v>8</v>
      </c>
      <c r="U31" s="1568" t="e">
        <f t="shared" si="13"/>
        <v>#N/A</v>
      </c>
      <c r="V31" s="1567" t="s">
        <v>8</v>
      </c>
      <c r="W31" s="1568" t="e">
        <f t="shared" si="14"/>
        <v>#N/A</v>
      </c>
      <c r="X31" s="1569"/>
      <c r="Y31" s="3406"/>
      <c r="Z31" s="1149" t="str">
        <f t="shared" si="15"/>
        <v>停车位面积</v>
      </c>
      <c r="AA31" s="1570" t="e">
        <f t="shared" si="3"/>
        <v>#N/A</v>
      </c>
      <c r="AB31" s="1570" t="e">
        <f t="shared" si="4"/>
        <v>#N/A</v>
      </c>
      <c r="AC31" s="1570" t="e">
        <f t="shared" si="5"/>
        <v>#N/A</v>
      </c>
    </row>
    <row r="32" spans="1:29" ht="15">
      <c r="A32" s="930"/>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06" t="s">
        <v>551</v>
      </c>
      <c r="Q32" s="1571" t="str">
        <f t="shared" si="11"/>
        <v>车位类型</v>
      </c>
      <c r="R32" s="1572" t="s">
        <v>8</v>
      </c>
      <c r="S32" s="1573">
        <f t="shared" si="12"/>
        <v>100</v>
      </c>
      <c r="T32" s="1572" t="s">
        <v>8</v>
      </c>
      <c r="U32" s="1573">
        <f t="shared" si="13"/>
        <v>100</v>
      </c>
      <c r="V32" s="1572" t="s">
        <v>8</v>
      </c>
      <c r="W32" s="1573">
        <f t="shared" si="14"/>
        <v>100</v>
      </c>
      <c r="X32" s="1566"/>
      <c r="Y32" s="3406" t="s">
        <v>551</v>
      </c>
      <c r="Z32" s="1574" t="str">
        <f t="shared" si="15"/>
        <v>车位类型</v>
      </c>
      <c r="AA32" s="1575">
        <f t="shared" si="3"/>
        <v>1</v>
      </c>
      <c r="AB32" s="1575">
        <f t="shared" si="4"/>
        <v>1</v>
      </c>
      <c r="AC32" s="1575">
        <f t="shared" si="5"/>
        <v>1</v>
      </c>
    </row>
    <row r="33" spans="1:29" ht="15">
      <c r="A33" s="930"/>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06"/>
      <c r="Q33" s="1571" t="str">
        <f t="shared" si="11"/>
        <v>是否直接入户</v>
      </c>
      <c r="R33" s="1572" t="s">
        <v>8</v>
      </c>
      <c r="S33" s="1573">
        <f t="shared" si="12"/>
        <v>100</v>
      </c>
      <c r="T33" s="1572" t="s">
        <v>8</v>
      </c>
      <c r="U33" s="1573">
        <f t="shared" si="13"/>
        <v>100</v>
      </c>
      <c r="V33" s="1572" t="s">
        <v>8</v>
      </c>
      <c r="W33" s="1573">
        <f t="shared" si="14"/>
        <v>100</v>
      </c>
      <c r="X33" s="1566"/>
      <c r="Y33" s="3406"/>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06"/>
      <c r="Q34" s="1571">
        <f t="shared" si="11"/>
        <v>111</v>
      </c>
      <c r="R34" s="1572" t="s">
        <v>8</v>
      </c>
      <c r="S34" s="1573">
        <f t="shared" si="12"/>
        <v>100</v>
      </c>
      <c r="T34" s="1572" t="s">
        <v>8</v>
      </c>
      <c r="U34" s="1573">
        <f t="shared" si="13"/>
        <v>100</v>
      </c>
      <c r="V34" s="1572" t="s">
        <v>8</v>
      </c>
      <c r="W34" s="1573">
        <f t="shared" si="14"/>
        <v>100</v>
      </c>
      <c r="X34" s="1566"/>
      <c r="Y34" s="3406"/>
      <c r="Z34" s="1574">
        <f t="shared" si="15"/>
        <v>111</v>
      </c>
      <c r="AA34" s="1575">
        <f t="shared" si="3"/>
        <v>1</v>
      </c>
      <c r="AB34" s="1575">
        <f t="shared" si="4"/>
        <v>1</v>
      </c>
      <c r="AC34" s="1575">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06"/>
      <c r="Q35" s="1604">
        <f t="shared" si="11"/>
        <v>111</v>
      </c>
      <c r="R35" s="1576" t="s">
        <v>8</v>
      </c>
      <c r="S35" s="1577">
        <f t="shared" si="12"/>
        <v>100</v>
      </c>
      <c r="T35" s="1576" t="s">
        <v>8</v>
      </c>
      <c r="U35" s="1577">
        <f t="shared" si="13"/>
        <v>100</v>
      </c>
      <c r="V35" s="1576" t="s">
        <v>8</v>
      </c>
      <c r="W35" s="1577">
        <f t="shared" si="14"/>
        <v>100</v>
      </c>
      <c r="X35" s="1578"/>
      <c r="Y35" s="3406"/>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06"/>
      <c r="Q36" s="1571">
        <f t="shared" si="11"/>
        <v>111</v>
      </c>
      <c r="R36" s="1572" t="s">
        <v>8</v>
      </c>
      <c r="S36" s="1573">
        <f t="shared" si="12"/>
        <v>100</v>
      </c>
      <c r="T36" s="1572" t="s">
        <v>8</v>
      </c>
      <c r="U36" s="1573">
        <f t="shared" si="13"/>
        <v>100</v>
      </c>
      <c r="V36" s="1572" t="s">
        <v>8</v>
      </c>
      <c r="W36" s="1573">
        <f t="shared" si="14"/>
        <v>100</v>
      </c>
      <c r="X36" s="1566"/>
      <c r="Y36" s="3406"/>
      <c r="Z36" s="1574">
        <f t="shared" si="15"/>
        <v>111</v>
      </c>
      <c r="AA36" s="1575">
        <f t="shared" si="3"/>
        <v>1</v>
      </c>
      <c r="AB36" s="1575">
        <f t="shared" si="4"/>
        <v>1</v>
      </c>
      <c r="AC36" s="1575">
        <f t="shared" si="5"/>
        <v>1</v>
      </c>
    </row>
    <row r="37" spans="1:29" ht="15">
      <c r="A37" s="1845" t="s">
        <v>2077</v>
      </c>
      <c r="B37" s="1846" t="s">
        <v>2078</v>
      </c>
      <c r="C37" s="2650" t="s">
        <v>1</v>
      </c>
      <c r="D37" s="2651"/>
      <c r="E37" s="2652"/>
      <c r="F37" s="2653"/>
      <c r="G37" s="2654"/>
      <c r="H37" s="2655"/>
      <c r="I37" s="2652"/>
      <c r="J37" s="2655"/>
      <c r="K37" s="1610"/>
      <c r="L37" s="2143"/>
      <c r="M37" s="2144"/>
      <c r="N37" s="2133"/>
      <c r="O37" s="2144"/>
      <c r="P37" s="3367" t="str">
        <f>A37</f>
        <v>成交单价</v>
      </c>
      <c r="Q37" s="3367"/>
      <c r="R37" s="3460">
        <f>E37</f>
        <v>0</v>
      </c>
      <c r="S37" s="3460"/>
      <c r="T37" s="3460">
        <f>G37</f>
        <v>0</v>
      </c>
      <c r="U37" s="3460"/>
      <c r="V37" s="3460">
        <f>I37</f>
        <v>0</v>
      </c>
      <c r="W37" s="3460"/>
      <c r="X37" s="1558"/>
      <c r="Y37" s="1580"/>
      <c r="Z37" s="1558"/>
      <c r="AA37" s="1558"/>
      <c r="AB37" s="1558"/>
      <c r="AC37" s="1558"/>
    </row>
    <row r="38" spans="1:29" ht="15.75" thickBot="1">
      <c r="A38" s="615" t="s">
        <v>2761</v>
      </c>
      <c r="B38" s="888"/>
      <c r="C38" s="2656" t="e">
        <f>R39</f>
        <v>#DIV/0!</v>
      </c>
      <c r="D38" s="2657"/>
      <c r="E38" s="2658" t="e">
        <f>R38</f>
        <v>#DIV/0!</v>
      </c>
      <c r="F38" s="2658"/>
      <c r="G38" s="2656" t="e">
        <f>T38</f>
        <v>#DIV/0!</v>
      </c>
      <c r="H38" s="2657"/>
      <c r="I38" s="2658" t="e">
        <f>V38</f>
        <v>#DIV/0!</v>
      </c>
      <c r="J38" s="2657"/>
      <c r="K38" s="1611"/>
      <c r="L38" s="2143"/>
      <c r="M38" s="2144"/>
      <c r="N38" s="2144"/>
      <c r="O38" s="2144"/>
      <c r="P38" s="3367" t="str">
        <f>A38</f>
        <v>比较价格（元/平方米）</v>
      </c>
      <c r="Q38" s="3367"/>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1558"/>
      <c r="Y38" s="1558"/>
      <c r="Z38" s="1558"/>
      <c r="AA38" s="1558"/>
      <c r="AB38" s="1558"/>
      <c r="AC38" s="1558"/>
    </row>
    <row r="39" spans="1:29" ht="15.75" thickBot="1">
      <c r="A39" s="621" t="s">
        <v>2933</v>
      </c>
      <c r="B39" s="622"/>
      <c r="C39" s="2659" t="e">
        <f>R39</f>
        <v>#DIV/0!</v>
      </c>
      <c r="D39" s="2659"/>
      <c r="E39" s="2659"/>
      <c r="F39" s="2659"/>
      <c r="G39" s="2659"/>
      <c r="H39" s="2659"/>
      <c r="I39" s="2659"/>
      <c r="J39" s="2659"/>
      <c r="K39" s="1612"/>
      <c r="L39" s="2143"/>
      <c r="M39" s="2144"/>
      <c r="N39" s="2144"/>
      <c r="O39" s="2144"/>
      <c r="P39" s="3364" t="str">
        <f>A39</f>
        <v>估价对象XX用房的比较价格（楼面单价，元/平方米）</v>
      </c>
      <c r="Q39" s="3365"/>
      <c r="R39" s="3459" t="e">
        <f>IF(F1="售价",ROUND(AVERAGE(R38:V38),0),ROUND(AVERAGE(R38:V38),1))</f>
        <v>#DIV/0!</v>
      </c>
      <c r="S39" s="3459"/>
      <c r="T39" s="3459"/>
      <c r="U39" s="3459"/>
      <c r="V39" s="3459"/>
      <c r="W39" s="3459"/>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575</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530</v>
      </c>
      <c r="B48" s="646"/>
      <c r="C48" s="2827" t="str">
        <f>YEAR(C7)&amp;"-"&amp;MONTH(C7)</f>
        <v>2017-11</v>
      </c>
      <c r="D48" s="2829">
        <f>EDATE(C48,-1)</f>
        <v>43009</v>
      </c>
      <c r="E48" s="2829">
        <f t="shared" ref="E48:O48" si="16">EDATE(D48,-1)</f>
        <v>42979</v>
      </c>
      <c r="F48" s="2829">
        <f t="shared" si="16"/>
        <v>42948</v>
      </c>
      <c r="G48" s="2829">
        <f t="shared" si="16"/>
        <v>42917</v>
      </c>
      <c r="H48" s="2829">
        <f t="shared" si="16"/>
        <v>42887</v>
      </c>
      <c r="I48" s="2829">
        <f t="shared" si="16"/>
        <v>42856</v>
      </c>
      <c r="J48" s="2829">
        <f t="shared" si="16"/>
        <v>42826</v>
      </c>
      <c r="K48" s="2829">
        <f t="shared" si="16"/>
        <v>42795</v>
      </c>
      <c r="L48" s="2829">
        <f t="shared" si="16"/>
        <v>42767</v>
      </c>
      <c r="M48" s="2829">
        <f t="shared" si="16"/>
        <v>42736</v>
      </c>
      <c r="N48" s="2829">
        <f t="shared" si="16"/>
        <v>42705</v>
      </c>
      <c r="O48" s="2829">
        <f t="shared" si="16"/>
        <v>42675</v>
      </c>
      <c r="P48" s="2159"/>
      <c r="Q48" s="2160"/>
      <c r="R48" s="2160"/>
      <c r="S48" s="2160"/>
      <c r="T48" s="2160"/>
      <c r="U48" s="2160"/>
      <c r="V48" s="2160"/>
      <c r="W48" s="2160"/>
      <c r="X48" s="2160"/>
      <c r="Y48" s="2160"/>
      <c r="Z48" s="2160"/>
      <c r="AA48" s="2160"/>
      <c r="AB48" s="2160"/>
      <c r="AC48" s="2160"/>
    </row>
    <row r="49" spans="1:29" s="1219" customFormat="1" ht="15">
      <c r="A49" s="647"/>
      <c r="B49" s="648"/>
      <c r="C49" s="2828">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576</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532</v>
      </c>
      <c r="B51" s="648"/>
      <c r="C51" s="660" t="s">
        <v>577</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578</v>
      </c>
      <c r="B53" s="665" t="s">
        <v>535</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2557</v>
      </c>
      <c r="C65" s="708" t="s">
        <v>580</v>
      </c>
      <c r="D65" s="708" t="s">
        <v>581</v>
      </c>
      <c r="E65" s="708" t="s">
        <v>582</v>
      </c>
      <c r="F65" s="708" t="s">
        <v>583</v>
      </c>
      <c r="G65" s="708" t="s">
        <v>584</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620" t="s">
        <v>2558</v>
      </c>
      <c r="C67" s="2621" t="s">
        <v>2559</v>
      </c>
      <c r="D67" s="2621" t="s">
        <v>2560</v>
      </c>
      <c r="E67" s="2621" t="s">
        <v>2561</v>
      </c>
      <c r="F67" s="2621" t="s">
        <v>2562</v>
      </c>
      <c r="G67" s="2621" t="s">
        <v>2563</v>
      </c>
      <c r="H67" s="674"/>
      <c r="I67" s="674"/>
      <c r="J67" s="674"/>
      <c r="K67" s="674"/>
      <c r="L67" s="674"/>
      <c r="M67" s="2624"/>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708" t="s">
        <v>580</v>
      </c>
      <c r="D69" s="708" t="s">
        <v>581</v>
      </c>
      <c r="E69" s="708" t="s">
        <v>582</v>
      </c>
      <c r="F69" s="708" t="s">
        <v>583</v>
      </c>
      <c r="G69" s="708" t="s">
        <v>584</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746</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90"/>
      <c r="M73" s="891"/>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1"/>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552</v>
      </c>
      <c r="B79" s="665" t="s">
        <v>815</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816</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752</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4">
        <v>0.5</v>
      </c>
      <c r="D86" s="894">
        <v>0.6</v>
      </c>
      <c r="E86" s="894">
        <v>0.7</v>
      </c>
      <c r="F86" s="894">
        <v>0.8</v>
      </c>
      <c r="G86" s="894">
        <v>0.9</v>
      </c>
      <c r="H86" s="894">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818</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820</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821</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中信信托有限责任公司：</v>
      </c>
    </row>
    <row r="4" spans="1:4" ht="56.25">
      <c r="A4" s="1790" t="str">
        <f>"受贵公司委托，我公司对"&amp;项目基本情况!K2&amp;项目基本情况!B9&amp;"进行了预评估。"</f>
        <v>受贵公司委托，我公司对四川省成都市郫都区郫筒镇晨光村三、五社、双喜村一社1宗住宅、商业用途出让国有建设用地使用权市场价格进行了预评估。</v>
      </c>
    </row>
    <row r="5" spans="1:4" ht="18.75">
      <c r="A5" s="1793" t="s">
        <v>1906</v>
      </c>
    </row>
    <row r="6" spans="1:4" ht="13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成都人居置业有限公司使用的、位于四川省成都市郫都区郫筒镇晨光村三、五社、双喜村一社1宗住宅、商业用途出让国有建设用地使用权。根据《国有建设用地使用权出让合同》及补充协议[电子监管号：5101242017B11266]，估价对象（分摊）出让国有建设用地使用权面积为81852.68平方米。根据《国有建设用地使用权出让合同》及补充协议[电子监管号：5101242017B11266]、《抵押物清单》，估价对象规划建筑面积为204632.7平方米。</v>
      </c>
    </row>
    <row r="7" spans="1:4" ht="93.75">
      <c r="A7" s="2898" t="s">
        <v>2749</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2026</v>
      </c>
    </row>
    <row r="11" spans="1:4" ht="18.75">
      <c r="A11" s="1779" t="str">
        <f>TEXT(项目基本情况!D3,"yyyy年m月d日;;")&amp;IF(项目基本情况!B3=项目基本情况!D3,"（评估专业人员勘察现场之日）","")</f>
        <v>2017年11月29日（评估专业人员勘察现场之日）</v>
      </c>
    </row>
    <row r="12" spans="1:4" ht="18.75">
      <c r="A12" s="1796" t="s">
        <v>2025</v>
      </c>
    </row>
    <row r="13" spans="1:4" ht="18.75">
      <c r="A13" s="1790" t="s">
        <v>2071</v>
      </c>
    </row>
    <row r="14" spans="1:4" ht="37.5">
      <c r="A14" s="1790" t="str">
        <f>"根据"&amp;项目基本情况!F12&amp;"，本次评估估价对象证载（地类）用途为"&amp;项目基本情况!B12&amp;"。"</f>
        <v>根据《国有建设用地使用权出让合同》及补充协议[电子监管号：5101242017B11266]，本次评估估价对象证载（地类）用途为住宅、商业。</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93.7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补充协议[电子监管号：5101242017B11266]，估价对象（分摊）出让国有建设用地使用权面积为81852.68平方米。根据《国有建设用地使用权出让合同》及补充协议[电子监管号：5101242017B11266]、《抵押物清单》，估价对象规划建筑面积为204632.7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900" t="s">
        <v>2750</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2017年11月29日，在规划利用条件下、设定土地开发程度为红线外“七通”、宗地内场地平整，设定用途为住宅、商业，剩余土地使用年限为住宅70年，商业39.98年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90" t="str">
        <f>IF(项目基本情况!E9="——","",定义!C57)</f>
        <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922"/>
      <c r="C1" s="504" t="s">
        <v>793</v>
      </c>
      <c r="D1" s="849"/>
      <c r="E1" s="506"/>
      <c r="F1" s="2832"/>
      <c r="G1" s="1600" t="s">
        <v>794</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795</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796</v>
      </c>
      <c r="B3" s="510" t="e">
        <f>C37</f>
        <v>#DIV/0!</v>
      </c>
      <c r="C3" s="852" t="s">
        <v>797</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798</v>
      </c>
      <c r="B4" s="513"/>
      <c r="C4" s="3373" t="s">
        <v>799</v>
      </c>
      <c r="D4" s="3374"/>
      <c r="E4" s="3410" t="s">
        <v>800</v>
      </c>
      <c r="F4" s="3411"/>
      <c r="G4" s="3373" t="s">
        <v>801</v>
      </c>
      <c r="H4" s="3374"/>
      <c r="I4" s="3373" t="s">
        <v>802</v>
      </c>
      <c r="J4" s="3374"/>
      <c r="K4" s="514" t="s">
        <v>803</v>
      </c>
      <c r="L4" s="2132"/>
      <c r="M4" s="2133"/>
      <c r="N4" s="2133"/>
      <c r="O4" s="2133"/>
      <c r="P4" s="3375" t="s">
        <v>804</v>
      </c>
      <c r="Q4" s="3376"/>
      <c r="R4" s="3381" t="s">
        <v>800</v>
      </c>
      <c r="S4" s="3382"/>
      <c r="T4" s="3381" t="s">
        <v>801</v>
      </c>
      <c r="U4" s="3382"/>
      <c r="V4" s="3368" t="s">
        <v>802</v>
      </c>
      <c r="W4" s="3368"/>
      <c r="X4" s="1566"/>
      <c r="Y4" s="3381" t="s">
        <v>804</v>
      </c>
      <c r="Z4" s="3382"/>
      <c r="AA4" s="3370" t="s">
        <v>800</v>
      </c>
      <c r="AB4" s="3371" t="s">
        <v>801</v>
      </c>
      <c r="AC4" s="3370" t="s">
        <v>802</v>
      </c>
    </row>
    <row r="5" spans="1:29" ht="15">
      <c r="A5" s="515"/>
      <c r="B5" s="516"/>
      <c r="C5" s="3391" t="s">
        <v>2927</v>
      </c>
      <c r="D5" s="3390"/>
      <c r="E5" s="3412" t="s">
        <v>2928</v>
      </c>
      <c r="F5" s="3413"/>
      <c r="G5" s="3391" t="s">
        <v>2929</v>
      </c>
      <c r="H5" s="3390"/>
      <c r="I5" s="3391" t="s">
        <v>2930</v>
      </c>
      <c r="J5" s="3390"/>
      <c r="K5" s="514"/>
      <c r="L5" s="2132"/>
      <c r="M5" s="2133"/>
      <c r="N5" s="2133"/>
      <c r="O5" s="2133"/>
      <c r="P5" s="3377"/>
      <c r="Q5" s="3378"/>
      <c r="R5" s="3383"/>
      <c r="S5" s="3384"/>
      <c r="T5" s="3383"/>
      <c r="U5" s="3384"/>
      <c r="V5" s="3368"/>
      <c r="W5" s="3368"/>
      <c r="X5" s="1566"/>
      <c r="Y5" s="3383"/>
      <c r="Z5" s="3384"/>
      <c r="AA5" s="3371"/>
      <c r="AB5" s="3371"/>
      <c r="AC5" s="3371"/>
    </row>
    <row r="6" spans="1:29" ht="15.75" thickBot="1">
      <c r="A6" s="517"/>
      <c r="B6" s="518"/>
      <c r="C6" s="3407" t="s">
        <v>2931</v>
      </c>
      <c r="D6" s="3388"/>
      <c r="E6" s="3408" t="s">
        <v>2931</v>
      </c>
      <c r="F6" s="3409"/>
      <c r="G6" s="3407" t="s">
        <v>2931</v>
      </c>
      <c r="H6" s="3388"/>
      <c r="I6" s="3407" t="s">
        <v>2931</v>
      </c>
      <c r="J6" s="3388"/>
      <c r="K6" s="514" t="s">
        <v>529</v>
      </c>
      <c r="L6" s="2132"/>
      <c r="M6" s="2133"/>
      <c r="N6" s="2133"/>
      <c r="O6" s="2133"/>
      <c r="P6" s="3379"/>
      <c r="Q6" s="3380"/>
      <c r="R6" s="3383"/>
      <c r="S6" s="3384"/>
      <c r="T6" s="3385"/>
      <c r="U6" s="3386"/>
      <c r="V6" s="3368"/>
      <c r="W6" s="3368"/>
      <c r="X6" s="1566"/>
      <c r="Y6" s="3385"/>
      <c r="Z6" s="3386"/>
      <c r="AA6" s="3372"/>
      <c r="AB6" s="3372"/>
      <c r="AC6" s="3372"/>
    </row>
    <row r="7" spans="1:29" s="1219" customFormat="1" ht="15.75" thickBot="1">
      <c r="A7" s="2937"/>
      <c r="B7" s="2944" t="s">
        <v>530</v>
      </c>
      <c r="C7" s="519">
        <f>'数据-取费表'!B2</f>
        <v>43068</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00" t="s">
        <v>531</v>
      </c>
      <c r="Q7" s="3402"/>
      <c r="R7" s="1567" t="s">
        <v>8</v>
      </c>
      <c r="S7" s="1568">
        <f t="shared" ref="S7:S14" si="0">F7</f>
        <v>0</v>
      </c>
      <c r="T7" s="1567" t="s">
        <v>8</v>
      </c>
      <c r="U7" s="1568">
        <f t="shared" ref="U7:U14" si="1">H7</f>
        <v>0</v>
      </c>
      <c r="V7" s="1567" t="s">
        <v>8</v>
      </c>
      <c r="W7" s="1568">
        <f t="shared" ref="W7:W14" si="2">J7</f>
        <v>0</v>
      </c>
      <c r="X7" s="1569"/>
      <c r="Y7" s="3400" t="s">
        <v>531</v>
      </c>
      <c r="Z7" s="3401"/>
      <c r="AA7" s="1570" t="e">
        <f>D7/F7</f>
        <v>#DIV/0!</v>
      </c>
      <c r="AB7" s="1570" t="e">
        <f>D7/H7</f>
        <v>#DIV/0!</v>
      </c>
      <c r="AC7" s="1570" t="e">
        <f>D7/J7</f>
        <v>#DIV/0!</v>
      </c>
    </row>
    <row r="8" spans="1:29" s="1219" customFormat="1" ht="15.75" thickBot="1">
      <c r="A8" s="2938"/>
      <c r="B8" s="2945" t="s">
        <v>532</v>
      </c>
      <c r="C8" s="525" t="s">
        <v>577</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00" t="s">
        <v>534</v>
      </c>
      <c r="Q8" s="3401"/>
      <c r="R8" s="1567" t="s">
        <v>8</v>
      </c>
      <c r="S8" s="1568">
        <f t="shared" si="0"/>
        <v>0</v>
      </c>
      <c r="T8" s="1567" t="s">
        <v>8</v>
      </c>
      <c r="U8" s="1568">
        <f t="shared" si="1"/>
        <v>0</v>
      </c>
      <c r="V8" s="1567" t="s">
        <v>8</v>
      </c>
      <c r="W8" s="1568">
        <f t="shared" si="2"/>
        <v>0</v>
      </c>
      <c r="X8" s="1569"/>
      <c r="Y8" s="3400" t="s">
        <v>534</v>
      </c>
      <c r="Z8" s="3401"/>
      <c r="AA8" s="1570" t="e">
        <f t="shared" ref="AA8:AA34" si="3">D8/F8</f>
        <v>#DIV/0!</v>
      </c>
      <c r="AB8" s="1570" t="e">
        <f t="shared" ref="AB8:AB34" si="4">D8/H8</f>
        <v>#DIV/0!</v>
      </c>
      <c r="AC8" s="1570" t="e">
        <f t="shared" ref="AC8:AC34" si="5">D8/J8</f>
        <v>#DIV/0!</v>
      </c>
    </row>
    <row r="9" spans="1:29" s="1219" customFormat="1" ht="15">
      <c r="A9" s="2939"/>
      <c r="B9" s="2946" t="s">
        <v>2757</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67" t="s">
        <v>536</v>
      </c>
      <c r="Q9" s="1150" t="str">
        <f t="shared" ref="Q9:Q14" si="6">B9</f>
        <v>用途</v>
      </c>
      <c r="R9" s="1567" t="s">
        <v>8</v>
      </c>
      <c r="S9" s="1568">
        <f t="shared" si="0"/>
        <v>100</v>
      </c>
      <c r="T9" s="1567" t="s">
        <v>8</v>
      </c>
      <c r="U9" s="1568">
        <f t="shared" si="1"/>
        <v>100</v>
      </c>
      <c r="V9" s="1567" t="s">
        <v>8</v>
      </c>
      <c r="W9" s="1568">
        <f t="shared" si="2"/>
        <v>100</v>
      </c>
      <c r="X9" s="1569"/>
      <c r="Y9" s="3313" t="s">
        <v>537</v>
      </c>
      <c r="Z9" s="1149" t="str">
        <f t="shared" ref="Z9:Z14" si="7">Q9</f>
        <v>用途</v>
      </c>
      <c r="AA9" s="1570">
        <f t="shared" si="3"/>
        <v>1</v>
      </c>
      <c r="AB9" s="1570">
        <f t="shared" si="4"/>
        <v>1</v>
      </c>
      <c r="AC9" s="1570">
        <f t="shared" si="5"/>
        <v>1</v>
      </c>
    </row>
    <row r="10" spans="1:29" s="1337" customFormat="1" ht="27">
      <c r="A10" s="2940"/>
      <c r="B10" s="2945" t="s">
        <v>2758</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67"/>
      <c r="Q10" s="1150" t="str">
        <f t="shared" si="6"/>
        <v>土地使用年限（年）</v>
      </c>
      <c r="R10" s="1567" t="s">
        <v>8</v>
      </c>
      <c r="S10" s="1568">
        <f t="shared" si="0"/>
        <v>100</v>
      </c>
      <c r="T10" s="1567" t="s">
        <v>8</v>
      </c>
      <c r="U10" s="1568">
        <f t="shared" si="1"/>
        <v>100</v>
      </c>
      <c r="V10" s="1567" t="s">
        <v>8</v>
      </c>
      <c r="W10" s="1568">
        <f t="shared" si="2"/>
        <v>100</v>
      </c>
      <c r="X10" s="1569"/>
      <c r="Y10" s="3313"/>
      <c r="Z10" s="1149" t="str">
        <f t="shared" si="7"/>
        <v>土地使用年限（年）</v>
      </c>
      <c r="AA10" s="1570">
        <f t="shared" si="3"/>
        <v>1</v>
      </c>
      <c r="AB10" s="1570">
        <f t="shared" si="4"/>
        <v>1</v>
      </c>
      <c r="AC10" s="1570">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39"/>
      <c r="M11" s="2133"/>
      <c r="N11" s="2133"/>
      <c r="O11" s="2140"/>
      <c r="P11" s="3367"/>
      <c r="Q11" s="1150">
        <f t="shared" si="6"/>
        <v>111</v>
      </c>
      <c r="R11" s="1567" t="s">
        <v>8</v>
      </c>
      <c r="S11" s="1568">
        <f t="shared" si="0"/>
        <v>100</v>
      </c>
      <c r="T11" s="1567" t="s">
        <v>8</v>
      </c>
      <c r="U11" s="1568">
        <f t="shared" si="1"/>
        <v>100</v>
      </c>
      <c r="V11" s="1567" t="s">
        <v>8</v>
      </c>
      <c r="W11" s="1568">
        <f t="shared" si="2"/>
        <v>100</v>
      </c>
      <c r="X11" s="1569"/>
      <c r="Y11" s="3313"/>
      <c r="Z11" s="1149">
        <f t="shared" si="7"/>
        <v>111</v>
      </c>
      <c r="AA11" s="1570">
        <f t="shared" si="3"/>
        <v>1</v>
      </c>
      <c r="AB11" s="1570">
        <f t="shared" si="4"/>
        <v>1</v>
      </c>
      <c r="AC11" s="1570">
        <f t="shared" si="5"/>
        <v>1</v>
      </c>
    </row>
    <row r="12" spans="1:29" s="1219"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4"/>
      <c r="M12" s="2135"/>
      <c r="N12" s="2135"/>
      <c r="O12" s="2136"/>
      <c r="P12" s="3367"/>
      <c r="Q12" s="1150">
        <f t="shared" si="6"/>
        <v>111</v>
      </c>
      <c r="R12" s="1567" t="s">
        <v>8</v>
      </c>
      <c r="S12" s="1568">
        <f t="shared" si="0"/>
        <v>100</v>
      </c>
      <c r="T12" s="1567" t="s">
        <v>8</v>
      </c>
      <c r="U12" s="1568">
        <f t="shared" si="1"/>
        <v>100</v>
      </c>
      <c r="V12" s="1567" t="s">
        <v>8</v>
      </c>
      <c r="W12" s="1568">
        <f t="shared" si="2"/>
        <v>100</v>
      </c>
      <c r="X12" s="1569"/>
      <c r="Y12" s="3313"/>
      <c r="Z12" s="1149">
        <f t="shared" si="7"/>
        <v>111</v>
      </c>
      <c r="AA12" s="1570">
        <f>D12/F12</f>
        <v>1</v>
      </c>
      <c r="AB12" s="1570">
        <f>D12/H12</f>
        <v>1</v>
      </c>
      <c r="AC12" s="1570">
        <f>D12/J12</f>
        <v>1</v>
      </c>
    </row>
    <row r="13" spans="1:29" ht="15.75"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1"/>
      <c r="M13" s="2133"/>
      <c r="N13" s="2133"/>
      <c r="O13" s="2140"/>
      <c r="P13" s="3367"/>
      <c r="Q13" s="1150">
        <f t="shared" si="6"/>
        <v>111</v>
      </c>
      <c r="R13" s="1567" t="s">
        <v>8</v>
      </c>
      <c r="S13" s="1568">
        <f t="shared" si="0"/>
        <v>100</v>
      </c>
      <c r="T13" s="1567" t="s">
        <v>8</v>
      </c>
      <c r="U13" s="1568">
        <f t="shared" si="1"/>
        <v>100</v>
      </c>
      <c r="V13" s="1567" t="s">
        <v>8</v>
      </c>
      <c r="W13" s="1568">
        <f t="shared" si="2"/>
        <v>100</v>
      </c>
      <c r="X13" s="1569"/>
      <c r="Y13" s="3313"/>
      <c r="Z13" s="1149">
        <f t="shared" si="7"/>
        <v>111</v>
      </c>
      <c r="AA13" s="1570">
        <f t="shared" si="3"/>
        <v>1</v>
      </c>
      <c r="AB13" s="1570">
        <f t="shared" si="4"/>
        <v>1</v>
      </c>
      <c r="AC13" s="1570">
        <f t="shared" si="5"/>
        <v>1</v>
      </c>
    </row>
    <row r="14" spans="1:29" ht="85.5">
      <c r="A14" s="2935" t="s">
        <v>2755</v>
      </c>
      <c r="B14" s="166" t="s">
        <v>544</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1"/>
      <c r="M14" s="2133"/>
      <c r="N14" s="2133"/>
      <c r="O14" s="2140"/>
      <c r="P14" s="3403" t="s">
        <v>541</v>
      </c>
      <c r="Q14" s="1571" t="str">
        <f t="shared" si="6"/>
        <v>交通便捷度</v>
      </c>
      <c r="R14" s="1572" t="s">
        <v>8</v>
      </c>
      <c r="S14" s="1573">
        <f t="shared" si="0"/>
        <v>100</v>
      </c>
      <c r="T14" s="1572" t="s">
        <v>8</v>
      </c>
      <c r="U14" s="1573">
        <f t="shared" si="1"/>
        <v>100</v>
      </c>
      <c r="V14" s="1572" t="s">
        <v>8</v>
      </c>
      <c r="W14" s="1573">
        <f t="shared" si="2"/>
        <v>100</v>
      </c>
      <c r="X14" s="1566"/>
      <c r="Y14" s="3403" t="s">
        <v>541</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1"/>
      <c r="M15" s="2133"/>
      <c r="N15" s="2133"/>
      <c r="O15" s="2140"/>
      <c r="P15" s="3404"/>
      <c r="Q15" s="1571"/>
      <c r="R15" s="1572"/>
      <c r="S15" s="1573"/>
      <c r="T15" s="1572"/>
      <c r="U15" s="1573"/>
      <c r="V15" s="1572"/>
      <c r="W15" s="1573"/>
      <c r="X15" s="1566"/>
      <c r="Y15" s="3404"/>
      <c r="Z15" s="1574"/>
      <c r="AA15" s="1575">
        <v>1</v>
      </c>
      <c r="AB15" s="1575">
        <v>1</v>
      </c>
      <c r="AC15" s="1575">
        <v>1</v>
      </c>
    </row>
    <row r="16" spans="1:29" ht="42.75">
      <c r="A16" s="532"/>
      <c r="B16" s="2626"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1"/>
      <c r="M16" s="2133"/>
      <c r="N16" s="2133"/>
      <c r="O16" s="2140"/>
      <c r="P16" s="3404"/>
      <c r="Q16" s="1571" t="str">
        <f>B16</f>
        <v>公共配套设施</v>
      </c>
      <c r="R16" s="1572" t="s">
        <v>8</v>
      </c>
      <c r="S16" s="1573">
        <f>F16</f>
        <v>100</v>
      </c>
      <c r="T16" s="1572" t="s">
        <v>8</v>
      </c>
      <c r="U16" s="1573">
        <f>H16</f>
        <v>100</v>
      </c>
      <c r="V16" s="1572" t="s">
        <v>8</v>
      </c>
      <c r="W16" s="1573">
        <f>J16</f>
        <v>100</v>
      </c>
      <c r="X16" s="1566"/>
      <c r="Y16" s="3404"/>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1"/>
      <c r="M17" s="2133"/>
      <c r="N17" s="2133"/>
      <c r="O17" s="2140"/>
      <c r="P17" s="3404"/>
      <c r="Q17" s="1571"/>
      <c r="R17" s="1572"/>
      <c r="S17" s="1573"/>
      <c r="T17" s="1572"/>
      <c r="U17" s="1573"/>
      <c r="V17" s="1572"/>
      <c r="W17" s="1573"/>
      <c r="X17" s="1566"/>
      <c r="Y17" s="3404"/>
      <c r="Z17" s="1574"/>
      <c r="AA17" s="1575">
        <v>1</v>
      </c>
      <c r="AB17" s="1575">
        <v>1</v>
      </c>
      <c r="AC17" s="1575">
        <v>1</v>
      </c>
    </row>
    <row r="18" spans="1:29" ht="28.5">
      <c r="A18" s="532"/>
      <c r="B18" s="2614"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1"/>
      <c r="M18" s="2133"/>
      <c r="N18" s="2133"/>
      <c r="O18" s="2140"/>
      <c r="P18" s="3404"/>
      <c r="Q18" s="2602" t="str">
        <f>B18</f>
        <v>基础设施水平</v>
      </c>
      <c r="R18" s="1572" t="s">
        <v>8</v>
      </c>
      <c r="S18" s="1573">
        <f>F18</f>
        <v>100</v>
      </c>
      <c r="T18" s="1572" t="s">
        <v>8</v>
      </c>
      <c r="U18" s="1573">
        <f>H18</f>
        <v>100</v>
      </c>
      <c r="V18" s="1572" t="s">
        <v>8</v>
      </c>
      <c r="W18" s="1573">
        <f>J18</f>
        <v>100</v>
      </c>
      <c r="X18" s="2604"/>
      <c r="Y18" s="3404"/>
      <c r="Z18" s="2603"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5"/>
      <c r="L19" s="2141"/>
      <c r="M19" s="2133"/>
      <c r="N19" s="2133"/>
      <c r="O19" s="2140"/>
      <c r="P19" s="3404"/>
      <c r="Q19" s="2602"/>
      <c r="R19" s="1572"/>
      <c r="S19" s="1573"/>
      <c r="T19" s="1572"/>
      <c r="U19" s="1573"/>
      <c r="V19" s="1572"/>
      <c r="W19" s="1573"/>
      <c r="X19" s="2604"/>
      <c r="Y19" s="3404"/>
      <c r="Z19" s="2603"/>
      <c r="AA19" s="1575">
        <v>1</v>
      </c>
      <c r="AB19" s="1575">
        <v>1</v>
      </c>
      <c r="AC19" s="1575">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1"/>
      <c r="M20" s="2133"/>
      <c r="N20" s="2133"/>
      <c r="O20" s="2140"/>
      <c r="P20" s="3404"/>
      <c r="Q20" s="1571" t="str">
        <f>B20</f>
        <v>自然及人文环境</v>
      </c>
      <c r="R20" s="1572" t="s">
        <v>8</v>
      </c>
      <c r="S20" s="1573">
        <f>F20</f>
        <v>100</v>
      </c>
      <c r="T20" s="1572" t="s">
        <v>8</v>
      </c>
      <c r="U20" s="1573">
        <f>H20</f>
        <v>100</v>
      </c>
      <c r="V20" s="1572" t="s">
        <v>8</v>
      </c>
      <c r="W20" s="1573">
        <f>J20</f>
        <v>100</v>
      </c>
      <c r="X20" s="1566"/>
      <c r="Y20" s="3404"/>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1"/>
      <c r="M21" s="2133"/>
      <c r="N21" s="2133"/>
      <c r="O21" s="2140"/>
      <c r="P21" s="3404"/>
      <c r="Q21" s="1571"/>
      <c r="R21" s="1572"/>
      <c r="S21" s="1573"/>
      <c r="T21" s="1572"/>
      <c r="U21" s="1573"/>
      <c r="V21" s="1572"/>
      <c r="W21" s="1573"/>
      <c r="X21" s="1566"/>
      <c r="Y21" s="3404"/>
      <c r="Z21" s="1574"/>
      <c r="AA21" s="1575">
        <v>1</v>
      </c>
      <c r="AB21" s="1575">
        <v>1</v>
      </c>
      <c r="AC21" s="1575">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04"/>
      <c r="Q22" s="1571" t="str">
        <f>B22</f>
        <v>楼层</v>
      </c>
      <c r="R22" s="1572" t="s">
        <v>8</v>
      </c>
      <c r="S22" s="1573">
        <f>F22</f>
        <v>100</v>
      </c>
      <c r="T22" s="1572" t="s">
        <v>8</v>
      </c>
      <c r="U22" s="1573">
        <f>H22</f>
        <v>100</v>
      </c>
      <c r="V22" s="1572" t="s">
        <v>8</v>
      </c>
      <c r="W22" s="1573">
        <f>J22</f>
        <v>100</v>
      </c>
      <c r="X22" s="1566"/>
      <c r="Y22" s="3404"/>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04"/>
      <c r="Q23" s="1571">
        <f>B23</f>
        <v>111</v>
      </c>
      <c r="R23" s="1572" t="s">
        <v>8</v>
      </c>
      <c r="S23" s="1573">
        <f>F23</f>
        <v>100</v>
      </c>
      <c r="T23" s="1572" t="s">
        <v>8</v>
      </c>
      <c r="U23" s="1573">
        <f>H23</f>
        <v>100</v>
      </c>
      <c r="V23" s="1572" t="s">
        <v>8</v>
      </c>
      <c r="W23" s="1573">
        <f>J23</f>
        <v>100</v>
      </c>
      <c r="X23" s="1566"/>
      <c r="Y23" s="3404"/>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04"/>
      <c r="Q24" s="1571">
        <f t="shared" ref="Q24:Q34" si="11">B24</f>
        <v>111</v>
      </c>
      <c r="R24" s="1572" t="s">
        <v>8</v>
      </c>
      <c r="S24" s="1573">
        <f>F24</f>
        <v>100</v>
      </c>
      <c r="T24" s="1572" t="s">
        <v>8</v>
      </c>
      <c r="U24" s="1573">
        <f>H24</f>
        <v>100</v>
      </c>
      <c r="V24" s="1572" t="s">
        <v>8</v>
      </c>
      <c r="W24" s="1573">
        <f>J24</f>
        <v>100</v>
      </c>
      <c r="X24" s="1566"/>
      <c r="Y24" s="3404"/>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04"/>
      <c r="Q25" s="1150">
        <f t="shared" si="11"/>
        <v>111</v>
      </c>
      <c r="R25" s="1567" t="s">
        <v>8</v>
      </c>
      <c r="S25" s="1568">
        <f>F25</f>
        <v>100</v>
      </c>
      <c r="T25" s="1567" t="s">
        <v>8</v>
      </c>
      <c r="U25" s="1568">
        <f>H25</f>
        <v>100</v>
      </c>
      <c r="V25" s="1567" t="s">
        <v>8</v>
      </c>
      <c r="W25" s="1568">
        <f>J25</f>
        <v>100</v>
      </c>
      <c r="X25" s="1569"/>
      <c r="Y25" s="3404"/>
      <c r="Z25" s="1149">
        <f>Q25</f>
        <v>111</v>
      </c>
      <c r="AA25" s="1575">
        <f>D25/F25</f>
        <v>1</v>
      </c>
      <c r="AB25" s="1575">
        <f>D25/H25</f>
        <v>1</v>
      </c>
      <c r="AC25" s="1575">
        <f>D25/J25</f>
        <v>1</v>
      </c>
    </row>
    <row r="26" spans="1:29" ht="15">
      <c r="A26" s="2932" t="s">
        <v>2756</v>
      </c>
      <c r="B26" s="172" t="s">
        <v>809</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05" t="s">
        <v>822</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06" t="s">
        <v>822</v>
      </c>
      <c r="Z26" s="1574" t="str">
        <f t="shared" ref="Z26:Z34" si="15">Q26</f>
        <v>公共部分装修</v>
      </c>
      <c r="AA26" s="1575">
        <f t="shared" si="3"/>
        <v>1</v>
      </c>
      <c r="AB26" s="1575">
        <f t="shared" si="4"/>
        <v>1</v>
      </c>
      <c r="AC26" s="1575">
        <f t="shared" si="5"/>
        <v>1</v>
      </c>
    </row>
    <row r="27" spans="1:29" s="1338"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9"/>
      <c r="M27" s="2170"/>
      <c r="N27" s="2170"/>
      <c r="O27" s="2142"/>
      <c r="P27" s="3406"/>
      <c r="Q27" s="1604" t="str">
        <f t="shared" si="11"/>
        <v>成新率</v>
      </c>
      <c r="R27" s="1576" t="s">
        <v>8</v>
      </c>
      <c r="S27" s="1577" t="e">
        <f t="shared" si="12"/>
        <v>#N/A</v>
      </c>
      <c r="T27" s="1576" t="s">
        <v>8</v>
      </c>
      <c r="U27" s="1577" t="e">
        <f t="shared" si="13"/>
        <v>#N/A</v>
      </c>
      <c r="V27" s="1576" t="s">
        <v>8</v>
      </c>
      <c r="W27" s="1577" t="e">
        <f t="shared" si="14"/>
        <v>#N/A</v>
      </c>
      <c r="X27" s="1578"/>
      <c r="Y27" s="3406"/>
      <c r="Z27" s="1579" t="str">
        <f t="shared" si="15"/>
        <v>成新率</v>
      </c>
      <c r="AA27" s="1575" t="e">
        <f t="shared" si="3"/>
        <v>#N/A</v>
      </c>
      <c r="AB27" s="1575" t="e">
        <f t="shared" si="4"/>
        <v>#N/A</v>
      </c>
      <c r="AC27" s="1575"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06"/>
      <c r="Q28" s="1571" t="str">
        <f t="shared" si="11"/>
        <v>物业等级</v>
      </c>
      <c r="R28" s="1572" t="s">
        <v>8</v>
      </c>
      <c r="S28" s="1573">
        <f t="shared" si="12"/>
        <v>100</v>
      </c>
      <c r="T28" s="1572" t="s">
        <v>8</v>
      </c>
      <c r="U28" s="1573">
        <f t="shared" si="13"/>
        <v>100</v>
      </c>
      <c r="V28" s="1572" t="s">
        <v>8</v>
      </c>
      <c r="W28" s="1573">
        <f t="shared" si="14"/>
        <v>100</v>
      </c>
      <c r="X28" s="1566"/>
      <c r="Y28" s="3406"/>
      <c r="Z28" s="1574" t="str">
        <f t="shared" si="15"/>
        <v>物业等级</v>
      </c>
      <c r="AA28" s="1575">
        <f t="shared" si="3"/>
        <v>1</v>
      </c>
      <c r="AB28" s="1575">
        <f t="shared" si="4"/>
        <v>1</v>
      </c>
      <c r="AC28" s="1575">
        <f t="shared" si="5"/>
        <v>1</v>
      </c>
    </row>
    <row r="29" spans="1:29" ht="15">
      <c r="A29" s="594"/>
      <c r="B29" s="527" t="s">
        <v>823</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06"/>
      <c r="Q29" s="1571" t="str">
        <f t="shared" si="11"/>
        <v>有无电梯</v>
      </c>
      <c r="R29" s="1572" t="s">
        <v>8</v>
      </c>
      <c r="S29" s="1573">
        <f t="shared" si="12"/>
        <v>100</v>
      </c>
      <c r="T29" s="1572" t="s">
        <v>8</v>
      </c>
      <c r="U29" s="1573">
        <f t="shared" si="13"/>
        <v>100</v>
      </c>
      <c r="V29" s="1572" t="s">
        <v>8</v>
      </c>
      <c r="W29" s="1573">
        <f t="shared" si="14"/>
        <v>100</v>
      </c>
      <c r="X29" s="1566"/>
      <c r="Y29" s="3406"/>
      <c r="Z29" s="1574" t="str">
        <f t="shared" si="15"/>
        <v>有无电梯</v>
      </c>
      <c r="AA29" s="1575">
        <f t="shared" si="3"/>
        <v>1</v>
      </c>
      <c r="AB29" s="1575">
        <f t="shared" si="4"/>
        <v>1</v>
      </c>
      <c r="AC29" s="1575">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1"/>
      <c r="M30" s="2133"/>
      <c r="N30" s="2133"/>
      <c r="O30" s="2140"/>
      <c r="P30" s="3406"/>
      <c r="Q30" s="1571" t="str">
        <f t="shared" si="11"/>
        <v>建筑面积</v>
      </c>
      <c r="R30" s="1572" t="s">
        <v>8</v>
      </c>
      <c r="S30" s="1573" t="e">
        <f t="shared" si="12"/>
        <v>#N/A</v>
      </c>
      <c r="T30" s="1572" t="s">
        <v>8</v>
      </c>
      <c r="U30" s="1573" t="e">
        <f t="shared" si="13"/>
        <v>#N/A</v>
      </c>
      <c r="V30" s="1572" t="s">
        <v>8</v>
      </c>
      <c r="W30" s="1573" t="e">
        <f t="shared" si="14"/>
        <v>#N/A</v>
      </c>
      <c r="X30" s="1566"/>
      <c r="Y30" s="3406"/>
      <c r="Z30" s="1574" t="str">
        <f t="shared" si="15"/>
        <v>建筑面积</v>
      </c>
      <c r="AA30" s="1575" t="e">
        <f t="shared" si="3"/>
        <v>#N/A</v>
      </c>
      <c r="AB30" s="1575" t="e">
        <f t="shared" si="4"/>
        <v>#N/A</v>
      </c>
      <c r="AC30" s="1575" t="e">
        <f t="shared" si="5"/>
        <v>#N/A</v>
      </c>
    </row>
    <row r="31" spans="1:29" s="1219" customFormat="1" ht="15">
      <c r="A31" s="600"/>
      <c r="B31" s="527" t="s">
        <v>825</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06"/>
      <c r="Q31" s="1150" t="str">
        <f t="shared" si="11"/>
        <v>是否封闭</v>
      </c>
      <c r="R31" s="1567" t="s">
        <v>8</v>
      </c>
      <c r="S31" s="1568">
        <f t="shared" si="12"/>
        <v>100</v>
      </c>
      <c r="T31" s="1567" t="s">
        <v>8</v>
      </c>
      <c r="U31" s="1568">
        <f t="shared" si="13"/>
        <v>100</v>
      </c>
      <c r="V31" s="1567" t="s">
        <v>8</v>
      </c>
      <c r="W31" s="1568">
        <f t="shared" si="14"/>
        <v>100</v>
      </c>
      <c r="X31" s="1569"/>
      <c r="Y31" s="3406"/>
      <c r="Z31" s="1149"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1"/>
      <c r="M32" s="2133"/>
      <c r="N32" s="2133"/>
      <c r="O32" s="2140"/>
      <c r="P32" s="3406" t="s">
        <v>551</v>
      </c>
      <c r="Q32" s="1571">
        <f t="shared" si="11"/>
        <v>111</v>
      </c>
      <c r="R32" s="1572" t="s">
        <v>8</v>
      </c>
      <c r="S32" s="1573">
        <f t="shared" si="12"/>
        <v>100</v>
      </c>
      <c r="T32" s="1572" t="s">
        <v>8</v>
      </c>
      <c r="U32" s="1573">
        <f t="shared" si="13"/>
        <v>100</v>
      </c>
      <c r="V32" s="1572" t="s">
        <v>8</v>
      </c>
      <c r="W32" s="1573">
        <f t="shared" si="14"/>
        <v>100</v>
      </c>
      <c r="X32" s="1566"/>
      <c r="Y32" s="3406" t="s">
        <v>551</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1"/>
      <c r="M33" s="2133"/>
      <c r="N33" s="2133"/>
      <c r="O33" s="2140"/>
      <c r="P33" s="3406"/>
      <c r="Q33" s="1571">
        <f t="shared" si="11"/>
        <v>111</v>
      </c>
      <c r="R33" s="1572" t="s">
        <v>8</v>
      </c>
      <c r="S33" s="1573">
        <f t="shared" si="12"/>
        <v>100</v>
      </c>
      <c r="T33" s="1572" t="s">
        <v>8</v>
      </c>
      <c r="U33" s="1573">
        <f t="shared" si="13"/>
        <v>100</v>
      </c>
      <c r="V33" s="1572" t="s">
        <v>8</v>
      </c>
      <c r="W33" s="1573">
        <f t="shared" si="14"/>
        <v>100</v>
      </c>
      <c r="X33" s="1566"/>
      <c r="Y33" s="3406"/>
      <c r="Z33" s="1574">
        <f t="shared" si="15"/>
        <v>111</v>
      </c>
      <c r="AA33" s="1575">
        <f t="shared" si="3"/>
        <v>1</v>
      </c>
      <c r="AB33" s="1575">
        <f t="shared" si="4"/>
        <v>1</v>
      </c>
      <c r="AC33" s="1575">
        <f t="shared" si="5"/>
        <v>1</v>
      </c>
    </row>
    <row r="34" spans="1:29" ht="15.75" thickBot="1">
      <c r="A34" s="886"/>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06"/>
      <c r="Q34" s="1571">
        <f t="shared" si="11"/>
        <v>111</v>
      </c>
      <c r="R34" s="1572" t="s">
        <v>8</v>
      </c>
      <c r="S34" s="1573">
        <f t="shared" si="12"/>
        <v>100</v>
      </c>
      <c r="T34" s="1572" t="s">
        <v>8</v>
      </c>
      <c r="U34" s="1573">
        <f t="shared" si="13"/>
        <v>100</v>
      </c>
      <c r="V34" s="1572" t="s">
        <v>8</v>
      </c>
      <c r="W34" s="1573">
        <f t="shared" si="14"/>
        <v>100</v>
      </c>
      <c r="X34" s="1566"/>
      <c r="Y34" s="3406"/>
      <c r="Z34" s="1574">
        <f t="shared" si="15"/>
        <v>111</v>
      </c>
      <c r="AA34" s="1575">
        <f t="shared" si="3"/>
        <v>1</v>
      </c>
      <c r="AB34" s="1575">
        <f t="shared" si="4"/>
        <v>1</v>
      </c>
      <c r="AC34" s="1575">
        <f t="shared" si="5"/>
        <v>1</v>
      </c>
    </row>
    <row r="35" spans="1:29" ht="15">
      <c r="A35" s="607" t="s">
        <v>737</v>
      </c>
      <c r="B35" s="887"/>
      <c r="C35" s="2650" t="s">
        <v>1</v>
      </c>
      <c r="D35" s="2651"/>
      <c r="E35" s="2652"/>
      <c r="F35" s="2653"/>
      <c r="G35" s="2654"/>
      <c r="H35" s="2655"/>
      <c r="I35" s="2652"/>
      <c r="J35" s="2655"/>
      <c r="K35" s="1610"/>
      <c r="L35" s="2143"/>
      <c r="M35" s="2144"/>
      <c r="N35" s="2133"/>
      <c r="O35" s="2144"/>
      <c r="P35" s="3367" t="str">
        <f>A35</f>
        <v>成交单价（元/平方米）</v>
      </c>
      <c r="Q35" s="3367"/>
      <c r="R35" s="3460">
        <f>E35</f>
        <v>0</v>
      </c>
      <c r="S35" s="3460"/>
      <c r="T35" s="3460">
        <f>G35</f>
        <v>0</v>
      </c>
      <c r="U35" s="3460"/>
      <c r="V35" s="3460">
        <f>I35</f>
        <v>0</v>
      </c>
      <c r="W35" s="3460"/>
      <c r="X35" s="1558"/>
      <c r="Y35" s="1580"/>
      <c r="Z35" s="1558"/>
      <c r="AA35" s="1558"/>
      <c r="AB35" s="1558"/>
      <c r="AC35" s="1558"/>
    </row>
    <row r="36" spans="1:29" ht="15.75" thickBot="1">
      <c r="A36" s="615" t="s">
        <v>2761</v>
      </c>
      <c r="B36" s="888"/>
      <c r="C36" s="2656" t="e">
        <f>R37</f>
        <v>#DIV/0!</v>
      </c>
      <c r="D36" s="2657"/>
      <c r="E36" s="2658" t="e">
        <f>R36</f>
        <v>#DIV/0!</v>
      </c>
      <c r="F36" s="2658"/>
      <c r="G36" s="2656" t="e">
        <f>T36</f>
        <v>#DIV/0!</v>
      </c>
      <c r="H36" s="2657"/>
      <c r="I36" s="2658" t="e">
        <f>V36</f>
        <v>#DIV/0!</v>
      </c>
      <c r="J36" s="2657"/>
      <c r="K36" s="1611"/>
      <c r="L36" s="2143"/>
      <c r="M36" s="2144"/>
      <c r="N36" s="2133"/>
      <c r="O36" s="2144"/>
      <c r="P36" s="3367" t="str">
        <f>A36</f>
        <v>比较价格（元/平方米）</v>
      </c>
      <c r="Q36" s="3367"/>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1558"/>
      <c r="Y36" s="1558"/>
      <c r="Z36" s="1558"/>
      <c r="AA36" s="1558"/>
      <c r="AB36" s="1558"/>
      <c r="AC36" s="1558"/>
    </row>
    <row r="37" spans="1:29" ht="15.75" thickBot="1">
      <c r="A37" s="621" t="s">
        <v>2933</v>
      </c>
      <c r="B37" s="622"/>
      <c r="C37" s="2659" t="e">
        <f>R37</f>
        <v>#DIV/0!</v>
      </c>
      <c r="D37" s="2659"/>
      <c r="E37" s="2659"/>
      <c r="F37" s="2659"/>
      <c r="G37" s="2659"/>
      <c r="H37" s="2659"/>
      <c r="I37" s="2659"/>
      <c r="J37" s="2659"/>
      <c r="K37" s="1612"/>
      <c r="L37" s="2143"/>
      <c r="M37" s="2144"/>
      <c r="N37" s="2144"/>
      <c r="O37" s="2144"/>
      <c r="P37" s="3364" t="str">
        <f>A37</f>
        <v>估价对象XX用房的比较价格（楼面单价，元/平方米）</v>
      </c>
      <c r="Q37" s="3365"/>
      <c r="R37" s="3459" t="e">
        <f>IF(F1="售价",ROUND(AVERAGE(R36:V36),0),ROUND(AVERAGE(R36:V36),1))</f>
        <v>#DIV/0!</v>
      </c>
      <c r="S37" s="3459"/>
      <c r="T37" s="3459"/>
      <c r="U37" s="3459"/>
      <c r="V37" s="3459"/>
      <c r="W37" s="3459"/>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575</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5" t="s">
        <v>530</v>
      </c>
      <c r="B46" s="646"/>
      <c r="C46" s="2827" t="str">
        <f>YEAR(C7)&amp;"-"&amp;MONTH(C7)</f>
        <v>2017-11</v>
      </c>
      <c r="D46" s="2829">
        <f>EDATE(C46,-1)</f>
        <v>43009</v>
      </c>
      <c r="E46" s="2829">
        <f t="shared" ref="E46:O46" si="16">EDATE(D46,-1)</f>
        <v>42979</v>
      </c>
      <c r="F46" s="2829">
        <f t="shared" si="16"/>
        <v>42948</v>
      </c>
      <c r="G46" s="2829">
        <f t="shared" si="16"/>
        <v>42917</v>
      </c>
      <c r="H46" s="2829">
        <f t="shared" si="16"/>
        <v>42887</v>
      </c>
      <c r="I46" s="2829">
        <f t="shared" si="16"/>
        <v>42856</v>
      </c>
      <c r="J46" s="2829">
        <f t="shared" si="16"/>
        <v>42826</v>
      </c>
      <c r="K46" s="2829">
        <f t="shared" si="16"/>
        <v>42795</v>
      </c>
      <c r="L46" s="2829">
        <f t="shared" si="16"/>
        <v>42767</v>
      </c>
      <c r="M46" s="2829">
        <f t="shared" si="16"/>
        <v>42736</v>
      </c>
      <c r="N46" s="2829">
        <f t="shared" si="16"/>
        <v>42705</v>
      </c>
      <c r="O46" s="2829">
        <f t="shared" si="16"/>
        <v>42675</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576</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532</v>
      </c>
      <c r="B49" s="648"/>
      <c r="C49" s="660" t="s">
        <v>577</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578</v>
      </c>
      <c r="B51" s="665" t="s">
        <v>535</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2557</v>
      </c>
      <c r="C63" s="708" t="s">
        <v>580</v>
      </c>
      <c r="D63" s="708" t="s">
        <v>581</v>
      </c>
      <c r="E63" s="708" t="s">
        <v>582</v>
      </c>
      <c r="F63" s="708" t="s">
        <v>583</v>
      </c>
      <c r="G63" s="708" t="s">
        <v>584</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620" t="s">
        <v>2558</v>
      </c>
      <c r="C65" s="2621" t="s">
        <v>2559</v>
      </c>
      <c r="D65" s="2621" t="s">
        <v>2560</v>
      </c>
      <c r="E65" s="2621" t="s">
        <v>2561</v>
      </c>
      <c r="F65" s="2621" t="s">
        <v>2562</v>
      </c>
      <c r="G65" s="2621" t="s">
        <v>2563</v>
      </c>
      <c r="H65" s="674"/>
      <c r="I65" s="674"/>
      <c r="J65" s="674"/>
      <c r="K65" s="674"/>
      <c r="L65" s="674"/>
      <c r="M65" s="2624"/>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745</v>
      </c>
      <c r="C67" s="708" t="s">
        <v>580</v>
      </c>
      <c r="D67" s="708" t="s">
        <v>581</v>
      </c>
      <c r="E67" s="708" t="s">
        <v>582</v>
      </c>
      <c r="F67" s="708" t="s">
        <v>583</v>
      </c>
      <c r="G67" s="708" t="s">
        <v>584</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746</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90"/>
      <c r="M71" s="891"/>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1"/>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552</v>
      </c>
      <c r="B77" s="665" t="s">
        <v>752</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4">
        <v>0.5</v>
      </c>
      <c r="D80" s="894">
        <v>0.6</v>
      </c>
      <c r="E80" s="894">
        <v>0.7</v>
      </c>
      <c r="F80" s="894">
        <v>0.8</v>
      </c>
      <c r="G80" s="894">
        <v>0.9</v>
      </c>
      <c r="H80" s="894">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818</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826</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828</v>
      </c>
      <c r="C89" s="688"/>
      <c r="D89" s="688"/>
      <c r="E89" s="688"/>
      <c r="F89" s="688"/>
      <c r="G89" s="688"/>
      <c r="H89" s="688"/>
      <c r="I89" s="688"/>
      <c r="J89" s="688"/>
      <c r="K89" s="688"/>
      <c r="L89" s="688"/>
      <c r="M89" s="891"/>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2789</v>
      </c>
      <c r="C1" s="3029">
        <f>项目基本情况!D3</f>
        <v>43068</v>
      </c>
      <c r="H1" s="2963">
        <f>IF(C1&gt;C13,0,MATCH(C1,C$13:C$100,-1))+IF(SUMIF(C13:C100,C1,D13:D100)=0,13,12)</f>
        <v>13</v>
      </c>
      <c r="I1" s="2963">
        <f>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2820</v>
      </c>
      <c r="C2" s="3030">
        <f>'数据-取费表'!B22</f>
        <v>2.5</v>
      </c>
      <c r="D2" s="3025" t="s">
        <v>2790</v>
      </c>
      <c r="E2" s="3028">
        <f ca="1">INDIRECT("I"&amp;$I$1)/100</f>
        <v>4.7500000000000001E-2</v>
      </c>
      <c r="G2" s="2965"/>
      <c r="H2" s="2965"/>
      <c r="I2" s="2965" t="s">
        <v>2791</v>
      </c>
      <c r="K2" s="2965"/>
      <c r="L2" s="2965"/>
      <c r="M2" s="2965"/>
      <c r="N2" s="2965" t="s">
        <v>2792</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2822</v>
      </c>
      <c r="C3" s="3027">
        <f>'数据-取费表'!B19</f>
        <v>0</v>
      </c>
      <c r="D3" s="3025" t="s">
        <v>2790</v>
      </c>
      <c r="E3" s="3028">
        <f ca="1">INDIRECT("J"&amp;$J$1)/100</f>
        <v>0</v>
      </c>
      <c r="G3" s="2967" t="s">
        <v>2793</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2821</v>
      </c>
      <c r="C4" s="3028">
        <f ca="1">N4/100</f>
        <v>1.4999999999999999E-2</v>
      </c>
      <c r="G4" s="2973" t="s">
        <v>2794</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2795</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2796</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2797</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2798</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2799</v>
      </c>
      <c r="C10" s="2992"/>
      <c r="D10" s="2992"/>
      <c r="E10" s="2992"/>
      <c r="F10" s="2992"/>
      <c r="G10" s="2992"/>
      <c r="H10" s="2992"/>
      <c r="I10" s="2966"/>
      <c r="J10" s="2966"/>
      <c r="K10" s="2992"/>
      <c r="L10" s="2993" t="s">
        <v>2800</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2801</v>
      </c>
      <c r="C11" s="2997" t="s">
        <v>2802</v>
      </c>
      <c r="D11" s="2998" t="s">
        <v>2803</v>
      </c>
      <c r="E11" s="2999"/>
      <c r="F11" s="2998" t="s">
        <v>2804</v>
      </c>
      <c r="G11" s="3000"/>
      <c r="H11" s="2999"/>
      <c r="I11" s="2998" t="s">
        <v>2805</v>
      </c>
      <c r="J11" s="2999"/>
      <c r="K11" s="2995"/>
      <c r="L11" s="2996" t="s">
        <v>2801</v>
      </c>
      <c r="M11" s="2997" t="s">
        <v>2802</v>
      </c>
      <c r="N11" s="2996" t="s">
        <v>2806</v>
      </c>
      <c r="O11" s="2998" t="s">
        <v>2807</v>
      </c>
      <c r="P11" s="3000"/>
      <c r="Q11" s="3000"/>
      <c r="R11" s="3000"/>
      <c r="S11" s="3000"/>
      <c r="T11" s="2999"/>
      <c r="U11" s="2998" t="s">
        <v>2808</v>
      </c>
      <c r="V11" s="3000"/>
      <c r="W11" s="2999"/>
      <c r="X11" s="2996" t="s">
        <v>2809</v>
      </c>
      <c r="Y11" s="2996" t="s">
        <v>2810</v>
      </c>
      <c r="Z11" s="2996" t="s">
        <v>2811</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2812</v>
      </c>
      <c r="E12" s="3005" t="s">
        <v>2813</v>
      </c>
      <c r="F12" s="3005" t="s">
        <v>2814</v>
      </c>
      <c r="G12" s="3005" t="s">
        <v>2815</v>
      </c>
      <c r="H12" s="3005" t="s">
        <v>2797</v>
      </c>
      <c r="I12" s="3006" t="s">
        <v>2816</v>
      </c>
      <c r="J12" s="3006" t="s">
        <v>2816</v>
      </c>
      <c r="K12" s="3002"/>
      <c r="L12" s="3003"/>
      <c r="M12" s="3004"/>
      <c r="N12" s="3003"/>
      <c r="O12" s="3006" t="s">
        <v>2817</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2818</v>
      </c>
      <c r="C13" s="3010">
        <v>42301</v>
      </c>
      <c r="D13" s="3011">
        <v>4.3499999999999996</v>
      </c>
      <c r="E13" s="3011">
        <v>4.3499999999999996</v>
      </c>
      <c r="F13" s="3011">
        <v>4.75</v>
      </c>
      <c r="G13" s="3011">
        <v>4.75</v>
      </c>
      <c r="H13" s="3011">
        <v>4.9000000000000004</v>
      </c>
      <c r="I13" s="3011">
        <v>2.75</v>
      </c>
      <c r="J13" s="3011">
        <v>3.25</v>
      </c>
      <c r="K13" s="3008"/>
      <c r="L13" s="3009" t="s">
        <v>2818</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2819</v>
      </c>
      <c r="Y42" s="3015" t="s">
        <v>2819</v>
      </c>
      <c r="Z42" s="3015" t="s">
        <v>2819</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2819</v>
      </c>
      <c r="Y43" s="3015" t="s">
        <v>2819</v>
      </c>
      <c r="Z43" s="3015" t="s">
        <v>2819</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2819</v>
      </c>
      <c r="Y44" s="3015" t="s">
        <v>2819</v>
      </c>
      <c r="Z44" s="3015" t="s">
        <v>2819</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2819</v>
      </c>
      <c r="Y45" s="3015" t="s">
        <v>2819</v>
      </c>
      <c r="Z45" s="3015" t="s">
        <v>2819</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2819</v>
      </c>
      <c r="Y46" s="3015" t="s">
        <v>2819</v>
      </c>
      <c r="Z46" s="3015" t="s">
        <v>2819</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2819</v>
      </c>
      <c r="Y47" s="3015" t="s">
        <v>2819</v>
      </c>
      <c r="Z47" s="3015" t="s">
        <v>2819</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2819</v>
      </c>
      <c r="Y48" s="3015" t="s">
        <v>2819</v>
      </c>
      <c r="Z48" s="3015" t="s">
        <v>2819</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2819</v>
      </c>
      <c r="Y49" s="3015" t="s">
        <v>2819</v>
      </c>
      <c r="Z49" s="3015" t="s">
        <v>2819</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2819</v>
      </c>
      <c r="Y50" s="3015" t="s">
        <v>2819</v>
      </c>
      <c r="Z50" s="3015" t="s">
        <v>2819</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2819</v>
      </c>
      <c r="V51" s="3015" t="s">
        <v>2819</v>
      </c>
      <c r="W51" s="3015" t="s">
        <v>2819</v>
      </c>
      <c r="X51" s="3015" t="s">
        <v>2819</v>
      </c>
      <c r="Y51" s="3015" t="s">
        <v>2819</v>
      </c>
      <c r="Z51" s="3015" t="s">
        <v>2819</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2819</v>
      </c>
      <c r="J55" s="3015" t="s">
        <v>2819</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B2:E28"/>
  <sheetViews>
    <sheetView tabSelected="1" workbookViewId="0">
      <selection activeCell="B23" sqref="B23:E28"/>
    </sheetView>
  </sheetViews>
  <sheetFormatPr defaultRowHeight="13.5"/>
  <sheetData>
    <row r="2" spans="2:5" ht="17.25">
      <c r="B2" s="3174" t="s">
        <v>3015</v>
      </c>
    </row>
    <row r="3" spans="2:5" ht="17.25">
      <c r="B3" s="3174" t="s">
        <v>3016</v>
      </c>
    </row>
    <row r="4" spans="2:5" ht="17.25">
      <c r="B4" s="3174" t="s">
        <v>3017</v>
      </c>
    </row>
    <row r="5" spans="2:5" ht="17.25">
      <c r="B5" s="3174" t="s">
        <v>3018</v>
      </c>
    </row>
    <row r="6" spans="2:5" ht="17.25">
      <c r="B6" s="3174" t="s">
        <v>3019</v>
      </c>
    </row>
    <row r="11" spans="2:5">
      <c r="B11" s="3178" t="s">
        <v>3053</v>
      </c>
    </row>
    <row r="12" spans="2:5" ht="14.25" thickBot="1">
      <c r="B12" s="3179" t="s">
        <v>3054</v>
      </c>
      <c r="C12" s="3180" t="s">
        <v>3055</v>
      </c>
      <c r="D12" s="3180" t="s">
        <v>3056</v>
      </c>
      <c r="E12" s="3180" t="s">
        <v>3057</v>
      </c>
    </row>
    <row r="13" spans="2:5">
      <c r="B13" s="3181">
        <v>2016.1</v>
      </c>
      <c r="C13" s="3183">
        <v>7650</v>
      </c>
      <c r="D13" s="3183">
        <v>0.54</v>
      </c>
      <c r="E13" s="3182"/>
    </row>
    <row r="14" spans="2:5">
      <c r="B14" s="3184">
        <v>2016.2</v>
      </c>
      <c r="C14" s="3186">
        <v>7699</v>
      </c>
      <c r="D14" s="3186">
        <v>0.64</v>
      </c>
      <c r="E14" s="3185"/>
    </row>
    <row r="15" spans="2:5">
      <c r="B15" s="3181">
        <v>2016.3</v>
      </c>
      <c r="C15" s="3183">
        <v>7802</v>
      </c>
      <c r="D15" s="3183">
        <v>1.34</v>
      </c>
      <c r="E15" s="3182"/>
    </row>
    <row r="16" spans="2:5">
      <c r="B16" s="3184">
        <v>2016.4</v>
      </c>
      <c r="C16" s="3186">
        <v>7983</v>
      </c>
      <c r="D16" s="3186">
        <v>2.3199999999999998</v>
      </c>
      <c r="E16" s="3185"/>
    </row>
    <row r="17" spans="2:5" ht="14.25">
      <c r="B17" s="3187">
        <v>2017.1</v>
      </c>
      <c r="C17" s="3188">
        <v>8049</v>
      </c>
      <c r="D17" s="3188">
        <v>0.83</v>
      </c>
    </row>
    <row r="18" spans="2:5">
      <c r="D18">
        <f>SUM(D13:D17)</f>
        <v>5.67</v>
      </c>
      <c r="E18">
        <f>D18/4</f>
        <v>1.4175</v>
      </c>
    </row>
    <row r="23" spans="2:5">
      <c r="B23" s="3497" t="s">
        <v>3184</v>
      </c>
      <c r="C23" s="3497" t="s">
        <v>3176</v>
      </c>
      <c r="D23" s="3497" t="s">
        <v>3177</v>
      </c>
      <c r="E23" s="3497" t="s">
        <v>3178</v>
      </c>
    </row>
    <row r="24" spans="2:5">
      <c r="B24" s="3498">
        <v>1</v>
      </c>
      <c r="C24" s="3499">
        <f>'数据-基础表'!A3</f>
        <v>81852.679999999993</v>
      </c>
      <c r="D24" s="3497" t="s">
        <v>3179</v>
      </c>
      <c r="E24" s="3498">
        <f>'数据-基础表'!I13</f>
        <v>163706.16</v>
      </c>
    </row>
    <row r="25" spans="2:5">
      <c r="B25" s="3498">
        <v>2</v>
      </c>
      <c r="C25" s="3499"/>
      <c r="D25" s="3497" t="s">
        <v>3180</v>
      </c>
      <c r="E25" s="3498">
        <f>'数据-基础表'!K13</f>
        <v>10926.54</v>
      </c>
    </row>
    <row r="26" spans="2:5">
      <c r="B26" s="3498">
        <v>3</v>
      </c>
      <c r="C26" s="3499"/>
      <c r="D26" s="3497" t="s">
        <v>3181</v>
      </c>
      <c r="E26" s="3498">
        <f>'数据-基础表'!M13</f>
        <v>15000</v>
      </c>
    </row>
    <row r="27" spans="2:5">
      <c r="B27" s="3498">
        <v>4</v>
      </c>
      <c r="C27" s="3499"/>
      <c r="D27" s="3497" t="s">
        <v>3182</v>
      </c>
      <c r="E27" s="3498">
        <f>'数据-基础表'!O13</f>
        <v>15000</v>
      </c>
    </row>
    <row r="28" spans="2:5">
      <c r="B28" s="3497" t="s">
        <v>3183</v>
      </c>
      <c r="C28" s="3498">
        <f>C24</f>
        <v>81852.679999999993</v>
      </c>
      <c r="D28" s="3498"/>
      <c r="E28" s="3498">
        <f>SUM(E24:E27)</f>
        <v>204632.7</v>
      </c>
    </row>
  </sheetData>
  <mergeCells count="1">
    <mergeCell ref="C24:C27"/>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3" t="s">
        <v>2038</v>
      </c>
      <c r="B1" s="3203"/>
      <c r="C1" s="3203"/>
      <c r="D1" s="3203"/>
      <c r="E1" s="3203"/>
      <c r="F1" s="3203"/>
      <c r="G1" s="3203"/>
      <c r="H1" s="3203"/>
      <c r="I1" s="3203"/>
      <c r="J1" s="3203"/>
      <c r="K1" s="3203"/>
      <c r="L1" s="3203"/>
      <c r="M1" s="3203"/>
      <c r="N1" s="3203"/>
      <c r="O1" s="3203"/>
      <c r="P1" s="3203"/>
      <c r="Q1" s="3203"/>
      <c r="R1" s="3203"/>
    </row>
    <row r="2" spans="1:18">
      <c r="A2" s="1806" t="s">
        <v>2040</v>
      </c>
      <c r="B2" s="1806"/>
      <c r="C2" s="1806"/>
      <c r="D2" s="1806"/>
      <c r="E2" s="1806"/>
      <c r="F2" s="1806"/>
      <c r="G2" s="1806"/>
      <c r="H2" s="1806"/>
      <c r="I2" s="1807"/>
      <c r="J2" s="1807"/>
      <c r="K2" s="1808" t="str">
        <f>"估价期日："&amp;TEXT(项目基本情况!D3,"yyyy年m月d日;;")</f>
        <v>估价期日：2017年11月29日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04" t="s">
        <v>2029</v>
      </c>
      <c r="B3" s="3204" t="s">
        <v>2732</v>
      </c>
      <c r="C3" s="3205" t="s">
        <v>2030</v>
      </c>
      <c r="D3" s="3204" t="s">
        <v>2736</v>
      </c>
      <c r="E3" s="3207" t="s">
        <v>2031</v>
      </c>
      <c r="F3" s="3207"/>
      <c r="G3" s="3207"/>
      <c r="H3" s="3207" t="s">
        <v>2032</v>
      </c>
      <c r="I3" s="3207"/>
      <c r="J3" s="3207"/>
      <c r="K3" s="3205" t="s">
        <v>2033</v>
      </c>
      <c r="L3" s="3205" t="s">
        <v>2034</v>
      </c>
      <c r="M3" s="3204" t="s">
        <v>2733</v>
      </c>
      <c r="N3" s="3206" t="str">
        <f>"（分摊）"&amp;项目基本情况!B16&amp;"国有建设用地使用权面积/㎡"</f>
        <v>（分摊）出让国有建设用地使用权面积/㎡</v>
      </c>
      <c r="O3" s="3204" t="s">
        <v>2063</v>
      </c>
      <c r="P3" s="3205" t="s">
        <v>2043</v>
      </c>
      <c r="Q3" s="3205" t="s">
        <v>2064</v>
      </c>
      <c r="R3" s="3205" t="s">
        <v>2035</v>
      </c>
    </row>
    <row r="4" spans="1:18" ht="36.75" customHeight="1">
      <c r="A4" s="3204"/>
      <c r="B4" s="3204"/>
      <c r="C4" s="3205"/>
      <c r="D4" s="3204"/>
      <c r="E4" s="2673" t="s">
        <v>2042</v>
      </c>
      <c r="F4" s="2673" t="s">
        <v>2745</v>
      </c>
      <c r="G4" s="2673" t="s">
        <v>2036</v>
      </c>
      <c r="H4" s="2673" t="s">
        <v>2037</v>
      </c>
      <c r="I4" s="2673" t="s">
        <v>2746</v>
      </c>
      <c r="J4" s="2673" t="s">
        <v>2036</v>
      </c>
      <c r="K4" s="3205"/>
      <c r="L4" s="3205"/>
      <c r="M4" s="3204"/>
      <c r="N4" s="3206"/>
      <c r="O4" s="3204"/>
      <c r="P4" s="3205"/>
      <c r="Q4" s="3205"/>
      <c r="R4" s="3205"/>
    </row>
    <row r="5" spans="1:18" ht="135" customHeight="1">
      <c r="A5" s="1942" t="s">
        <v>2656</v>
      </c>
      <c r="B5" s="2892" t="s">
        <v>2654</v>
      </c>
      <c r="C5" s="2672">
        <v>22</v>
      </c>
      <c r="D5" s="2671" t="s">
        <v>2655</v>
      </c>
      <c r="E5" s="1809" t="str">
        <f>项目基本情况!B12</f>
        <v>住宅、商业</v>
      </c>
      <c r="F5" s="2671">
        <v>258</v>
      </c>
      <c r="G5" s="1809" t="str">
        <f>项目基本情况!B13</f>
        <v>住宅、商业</v>
      </c>
      <c r="H5" s="2671">
        <v>1.5</v>
      </c>
      <c r="I5" s="2671">
        <v>1.5</v>
      </c>
      <c r="J5" s="2671">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红线外七通、宗地红线内场地平整</v>
      </c>
      <c r="M5" s="1809" t="str">
        <f>IF(项目基本情况!B16="出让",项目基本情况!D20,"——")</f>
        <v>住宅70年，商业39.98年</v>
      </c>
      <c r="N5" s="1809">
        <f>项目基本情况!C22</f>
        <v>81852.679999999993</v>
      </c>
      <c r="O5" s="1809">
        <f>项目基本情况!C21</f>
        <v>204632.7</v>
      </c>
      <c r="P5" s="1809">
        <f ca="1">结果表!E42</f>
        <v>15107</v>
      </c>
      <c r="Q5" s="1809">
        <f ca="1">结果表!D42</f>
        <v>6043</v>
      </c>
      <c r="R5" s="1810">
        <f ca="1">结果表!C42</f>
        <v>123657</v>
      </c>
    </row>
    <row r="6" spans="1:18">
      <c r="A6" s="3200" t="str">
        <f>IF(项目基本情况!B9="市场价格","——","抵押价格")</f>
        <v>——</v>
      </c>
      <c r="B6" s="3201"/>
      <c r="C6" s="3201"/>
      <c r="D6" s="3201"/>
      <c r="E6" s="3201"/>
      <c r="F6" s="3201"/>
      <c r="G6" s="3201"/>
      <c r="H6" s="3201"/>
      <c r="I6" s="3201"/>
      <c r="J6" s="3201"/>
      <c r="K6" s="3201"/>
      <c r="L6" s="3201"/>
      <c r="M6" s="3201"/>
      <c r="N6" s="3201"/>
      <c r="O6" s="3201"/>
      <c r="P6" s="3201"/>
      <c r="Q6" s="3202"/>
      <c r="R6" s="1811">
        <f ca="1">结果表!O39</f>
        <v>123657</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811" t="str">
        <f>结果表!O40</f>
        <v>——</v>
      </c>
    </row>
    <row r="8" spans="1:18">
      <c r="A8" s="3200" t="str">
        <f>IF(项目基本情况!B9="市场价格","——",项目基本情况!E9)</f>
        <v>——</v>
      </c>
      <c r="B8" s="3201"/>
      <c r="C8" s="3201"/>
      <c r="D8" s="3201"/>
      <c r="E8" s="3201"/>
      <c r="F8" s="3201"/>
      <c r="G8" s="3201"/>
      <c r="H8" s="3201"/>
      <c r="I8" s="3201"/>
      <c r="J8" s="3201"/>
      <c r="K8" s="3201"/>
      <c r="L8" s="3201"/>
      <c r="M8" s="3201"/>
      <c r="N8" s="3201"/>
      <c r="O8" s="3201"/>
      <c r="P8" s="3201"/>
      <c r="Q8" s="3202"/>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09" t="s">
        <v>2065</v>
      </c>
      <c r="B1" s="3209"/>
      <c r="C1" s="3209"/>
      <c r="D1" s="3209"/>
    </row>
    <row r="2" spans="1:4" ht="47.25" customHeight="1">
      <c r="A2" s="3210" t="str">
        <f>"1.权利限制："&amp;项目基本情况!L24&amp;"未设定租赁等其他他项权利。"</f>
        <v>1.权利限制：根据估价对象————，截至估价期日，估价对象抵押权未见登记。未设定租赁等其他他项权利。</v>
      </c>
      <c r="B2" s="3210"/>
      <c r="C2" s="3210"/>
      <c r="D2" s="3210"/>
    </row>
    <row r="3" spans="1:4" ht="48" customHeight="1">
      <c r="A3" s="320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9"/>
      <c r="C3" s="3209"/>
      <c r="D3" s="3209"/>
    </row>
    <row r="4" spans="1:4" ht="36.75" customHeight="1">
      <c r="A4" s="3209" t="str">
        <f>"3.估价规划限制条件：详见"&amp;项目基本情况!E21&amp;"。"</f>
        <v>3.估价规划限制条件：详见《国有建设用地使用权出让合同》及补充协议[电子监管号：5101242017B11266]、《抵押物清单》。</v>
      </c>
      <c r="B4" s="3209"/>
      <c r="C4" s="3209"/>
      <c r="D4" s="3209"/>
    </row>
    <row r="5" spans="1:4">
      <c r="A5" s="3208" t="s">
        <v>2066</v>
      </c>
      <c r="B5" s="3208"/>
      <c r="C5" s="3208"/>
      <c r="D5" s="3208"/>
    </row>
    <row r="6" spans="1:4">
      <c r="A6" s="3209" t="s">
        <v>2044</v>
      </c>
      <c r="B6" s="3209"/>
      <c r="C6" s="3209"/>
      <c r="D6" s="3209"/>
    </row>
    <row r="7" spans="1:4" ht="33" customHeight="1">
      <c r="A7" s="3209" t="s">
        <v>2575</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09"/>
      <c r="C8" s="3209"/>
      <c r="D8" s="3209"/>
    </row>
    <row r="9" spans="1:4" ht="33.75" customHeight="1">
      <c r="A9" s="3209" t="str">
        <f>IF(项目基本情况!B8="抵押","3.抵押双方在办理抵押登记手续时，应使用本公司出具的正式《土地估价报告》，特提请报告使用者注意。","——")</f>
        <v>——</v>
      </c>
      <c r="B9" s="3209"/>
      <c r="C9" s="3209"/>
      <c r="D9" s="3209"/>
    </row>
    <row r="10" spans="1:4">
      <c r="A10" s="3209" t="str">
        <f>IF(项目基本情况!B8="抵押","4.估价师所知悉的法定优先受偿款情况为：","——")</f>
        <v>——</v>
      </c>
      <c r="B10" s="3209"/>
      <c r="C10" s="3209"/>
      <c r="D10" s="3209"/>
    </row>
    <row r="11" spans="1:4" ht="37.5" customHeight="1">
      <c r="A11" s="3211" t="str">
        <f>IF(项目基本情况!B8="抵押","（1）"&amp;CONCATENATE(项目基本情况!L24,项目基本情况!L25,项目基本情况!L26),"——")</f>
        <v>——</v>
      </c>
      <c r="B11" s="3211"/>
      <c r="C11" s="3211"/>
      <c r="D11" s="3211"/>
    </row>
    <row r="12" spans="1:4" ht="168" customHeight="1">
      <c r="A12" s="3208" t="s">
        <v>2068</v>
      </c>
      <c r="B12" s="3208"/>
      <c r="C12" s="3208"/>
      <c r="D12" s="3208"/>
    </row>
    <row r="13" spans="1:4">
      <c r="A13" s="3212" t="s">
        <v>2747</v>
      </c>
      <c r="B13" s="3212"/>
      <c r="C13" s="3212"/>
      <c r="D13" s="3212"/>
    </row>
    <row r="14" spans="1:4">
      <c r="A14" s="3211" t="str">
        <f>IF(项目基本情况!B8="抵押","综上，"&amp;结果表!K47,"——")</f>
        <v>——</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2703</v>
      </c>
      <c r="B17" s="3209"/>
      <c r="C17" s="3209"/>
      <c r="D17" s="3209"/>
    </row>
    <row r="18" spans="1:4">
      <c r="A18" s="3209" t="s">
        <v>2695</v>
      </c>
      <c r="B18" s="3209"/>
      <c r="C18" s="3209"/>
      <c r="D18" s="3209"/>
    </row>
    <row r="19" spans="1:4">
      <c r="A19" s="2893" t="s">
        <v>2696</v>
      </c>
      <c r="B19" s="2893" t="s">
        <v>2697</v>
      </c>
      <c r="C19" s="2893" t="s">
        <v>2698</v>
      </c>
      <c r="D19" s="2893" t="s">
        <v>2699</v>
      </c>
    </row>
    <row r="20" spans="1:4">
      <c r="A20" s="2893" t="str">
        <f>项目基本情况!B4</f>
        <v>梁津</v>
      </c>
      <c r="B20" s="2893">
        <f ca="1">项目基本情况!C4</f>
        <v>96010014</v>
      </c>
      <c r="C20" s="2895"/>
      <c r="D20" s="1799" t="s">
        <v>2704</v>
      </c>
    </row>
    <row r="21" spans="1:4">
      <c r="A21" s="2893" t="str">
        <f>项目基本情况!D4</f>
        <v>王鹏</v>
      </c>
      <c r="B21" s="2893">
        <f ca="1">项目基本情况!E4</f>
        <v>2002110030</v>
      </c>
      <c r="C21" s="2895"/>
      <c r="D21" s="1799" t="s">
        <v>2705</v>
      </c>
    </row>
    <row r="23" spans="1:4">
      <c r="A23" s="3209" t="s">
        <v>2700</v>
      </c>
      <c r="B23" s="3209"/>
      <c r="C23" s="3209"/>
      <c r="D23" s="3209"/>
    </row>
    <row r="24" spans="1:4">
      <c r="A24" s="2893" t="s">
        <v>2696</v>
      </c>
      <c r="B24" s="2893" t="s">
        <v>2701</v>
      </c>
      <c r="C24" s="2893" t="s">
        <v>2698</v>
      </c>
      <c r="D24" s="2893" t="s">
        <v>2699</v>
      </c>
    </row>
    <row r="25" spans="1:4">
      <c r="A25" s="2896" t="s">
        <v>2702</v>
      </c>
      <c r="B25" s="2893" t="s">
        <v>952</v>
      </c>
      <c r="C25" s="2895"/>
      <c r="D25" s="1799" t="s">
        <v>2705</v>
      </c>
    </row>
    <row r="29" spans="1:4">
      <c r="D29" s="2894" t="s">
        <v>2039</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20" t="s">
        <v>53</v>
      </c>
      <c r="B15" s="3221" t="s">
        <v>846</v>
      </c>
      <c r="C15" s="3217"/>
    </row>
    <row r="16" spans="1:7" ht="14.25">
      <c r="A16" s="3220"/>
      <c r="B16" s="3218" t="s">
        <v>54</v>
      </c>
      <c r="C16" s="1171" t="s">
        <v>53</v>
      </c>
    </row>
    <row r="17" spans="1:3" ht="14.25">
      <c r="A17" s="3220"/>
      <c r="B17" s="3218"/>
      <c r="C17" s="1171" t="s">
        <v>55</v>
      </c>
    </row>
    <row r="18" spans="1:3" ht="14.25">
      <c r="A18" s="3220"/>
      <c r="B18" s="3218"/>
      <c r="C18" s="1171" t="s">
        <v>56</v>
      </c>
    </row>
    <row r="19" spans="1:3" ht="14.25">
      <c r="A19" s="3220"/>
      <c r="B19" s="3216" t="s">
        <v>57</v>
      </c>
      <c r="C19" s="3217"/>
    </row>
    <row r="20" spans="1:3" ht="14.25">
      <c r="A20" s="1172" t="s">
        <v>58</v>
      </c>
      <c r="B20" s="1173"/>
      <c r="C20" s="1174"/>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5" t="s">
        <v>837</v>
      </c>
    </row>
    <row r="25" spans="1:3" ht="14.25">
      <c r="A25" s="3219"/>
      <c r="B25" s="3223"/>
      <c r="C25" s="1175" t="s">
        <v>838</v>
      </c>
    </row>
    <row r="26" spans="1:3" ht="14.25">
      <c r="A26" s="3219"/>
      <c r="B26" s="3223"/>
      <c r="C26" s="1175" t="s">
        <v>839</v>
      </c>
    </row>
    <row r="27" spans="1:3" ht="14.25">
      <c r="A27" s="3219"/>
      <c r="B27" s="3223"/>
      <c r="C27" s="1175" t="s">
        <v>840</v>
      </c>
    </row>
    <row r="28" spans="1:3" ht="14.25">
      <c r="A28" s="3219"/>
      <c r="B28" s="3223"/>
      <c r="C28" s="1175" t="s">
        <v>841</v>
      </c>
    </row>
    <row r="29" spans="1:3" ht="14.25">
      <c r="A29" s="3219"/>
      <c r="B29" s="3223"/>
      <c r="C29" s="1175" t="s">
        <v>842</v>
      </c>
    </row>
    <row r="30" spans="1:3" ht="14.25">
      <c r="A30" s="3219"/>
      <c r="B30" s="3223"/>
      <c r="C30" s="1175" t="s">
        <v>843</v>
      </c>
    </row>
    <row r="31" spans="1:3" ht="14.25">
      <c r="A31" s="3219"/>
      <c r="B31" s="3223"/>
      <c r="C31" s="1175" t="s">
        <v>844</v>
      </c>
    </row>
    <row r="32" spans="1:3" ht="14.25">
      <c r="A32" s="3219"/>
      <c r="B32" s="3223"/>
      <c r="C32" s="1175" t="s">
        <v>1647</v>
      </c>
    </row>
    <row r="33" spans="1:3" ht="14.25">
      <c r="A33" s="3219"/>
      <c r="B33" s="3213" t="s">
        <v>1653</v>
      </c>
      <c r="C33" s="1175" t="s">
        <v>1648</v>
      </c>
    </row>
    <row r="34" spans="1:3" ht="14.25">
      <c r="A34" s="3219"/>
      <c r="B34" s="3214"/>
      <c r="C34" s="1180" t="s">
        <v>1649</v>
      </c>
    </row>
    <row r="35" spans="1:3" ht="14.25">
      <c r="A35" s="3219"/>
      <c r="B35" s="3214"/>
      <c r="C35" s="1181" t="s">
        <v>1650</v>
      </c>
    </row>
    <row r="36" spans="1:3" ht="14.25">
      <c r="A36" s="3219"/>
      <c r="B36" s="3214"/>
      <c r="C36" s="1181" t="s">
        <v>1651</v>
      </c>
    </row>
    <row r="37" spans="1:3" ht="14.25">
      <c r="A37" s="3219"/>
      <c r="B37" s="3215"/>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6">
        <f ca="1">TODAY()</f>
        <v>43075</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31">
        <v>43849</v>
      </c>
      <c r="D4" s="2342" t="s">
        <v>1915</v>
      </c>
      <c r="E4" s="2342">
        <f ca="1">IF(F4&lt;B2,"已过期",96010014)</f>
        <v>96010014</v>
      </c>
      <c r="F4" s="3032">
        <v>47118</v>
      </c>
    </row>
    <row r="5" spans="1:6" ht="20.25" customHeight="1">
      <c r="A5" s="2342" t="s">
        <v>1916</v>
      </c>
      <c r="B5" s="2342">
        <f ca="1">IF(C5&lt;B2,"已过期",1119970074)</f>
        <v>1119970074</v>
      </c>
      <c r="C5" s="3031">
        <v>43849</v>
      </c>
      <c r="D5" s="2342" t="s">
        <v>1916</v>
      </c>
      <c r="E5" s="2342">
        <f ca="1">IF(F5&lt;B2,"已过期",2002110027)</f>
        <v>2002110027</v>
      </c>
      <c r="F5" s="3032">
        <v>46752</v>
      </c>
    </row>
    <row r="6" spans="1:6" ht="20.25" customHeight="1">
      <c r="A6" s="2342" t="s">
        <v>1917</v>
      </c>
      <c r="B6" s="2342">
        <f ca="1">IF(C6&lt;B2,"已过期",1119970111)</f>
        <v>1119970111</v>
      </c>
      <c r="C6" s="3031">
        <v>43849</v>
      </c>
      <c r="D6" s="2342" t="s">
        <v>1917</v>
      </c>
      <c r="E6" s="2342">
        <f ca="1">IF(F6&lt;B2,"已过期",94010078)</f>
        <v>94010078</v>
      </c>
      <c r="F6" s="3032">
        <v>46387</v>
      </c>
    </row>
    <row r="7" spans="1:6" ht="20.25" customHeight="1">
      <c r="A7" s="2342" t="s">
        <v>1918</v>
      </c>
      <c r="B7" s="2342">
        <f ca="1">IF(C7&lt;B2,"已过期",1120050019)</f>
        <v>1120050019</v>
      </c>
      <c r="C7" s="3031">
        <v>43359</v>
      </c>
      <c r="D7" s="2342" t="s">
        <v>1918</v>
      </c>
      <c r="E7" s="2342">
        <f ca="1">IF(F7&lt;B2,"已过期",2002110030)</f>
        <v>2002110030</v>
      </c>
      <c r="F7" s="3032">
        <v>46387</v>
      </c>
    </row>
    <row r="8" spans="1:6" ht="20.25" customHeight="1">
      <c r="A8" s="2342" t="s">
        <v>1919</v>
      </c>
      <c r="B8" s="2342">
        <f ca="1">IF(C8&lt;B2,"已过期",1120000080)</f>
        <v>1120000080</v>
      </c>
      <c r="C8" s="3031">
        <v>43849</v>
      </c>
      <c r="D8" s="2342" t="s">
        <v>1919</v>
      </c>
      <c r="E8" s="2342">
        <f ca="1">IF(F8&lt;B2,"已过期",2000110082)</f>
        <v>2000110082</v>
      </c>
      <c r="F8" s="3032">
        <v>46387</v>
      </c>
    </row>
    <row r="9" spans="1:6" ht="20.25" customHeight="1">
      <c r="A9" s="2342" t="s">
        <v>1920</v>
      </c>
      <c r="B9" s="2342">
        <f ca="1">IF(C9&lt;B2,"已过期",1419970001)</f>
        <v>1419970001</v>
      </c>
      <c r="C9" s="3031">
        <v>43867</v>
      </c>
      <c r="D9" s="2342" t="s">
        <v>1920</v>
      </c>
      <c r="E9" s="2342">
        <f ca="1">IF(F9&lt;B2,"已过期",2002110125)</f>
        <v>2002110125</v>
      </c>
      <c r="F9" s="3032">
        <v>47118</v>
      </c>
    </row>
    <row r="10" spans="1:6" ht="20.25" customHeight="1">
      <c r="A10" s="2342" t="s">
        <v>1921</v>
      </c>
      <c r="B10" s="2342">
        <f ca="1">IF(C10&lt;B2,"已过期",1120060040)</f>
        <v>1120060040</v>
      </c>
      <c r="C10" s="3031">
        <v>43483</v>
      </c>
      <c r="D10" s="2342" t="s">
        <v>1921</v>
      </c>
      <c r="E10" s="2342">
        <f ca="1">IF(F10&lt;B2,"已过期",2004110096)</f>
        <v>2004110096</v>
      </c>
      <c r="F10" s="3032">
        <v>47118</v>
      </c>
    </row>
    <row r="11" spans="1:6" ht="20.25" customHeight="1">
      <c r="A11" s="2342" t="s">
        <v>1922</v>
      </c>
      <c r="B11" s="2342">
        <f ca="1">IF(C11&lt;B2,"已过期",1120100036)</f>
        <v>1120100036</v>
      </c>
      <c r="C11" s="3031">
        <v>43622</v>
      </c>
      <c r="D11" s="2342" t="s">
        <v>1922</v>
      </c>
      <c r="E11" s="2342">
        <f ca="1">IF(F11&lt;B2,"已过期",2010110070)</f>
        <v>2010110070</v>
      </c>
      <c r="F11" s="3032">
        <v>47907</v>
      </c>
    </row>
    <row r="12" spans="1:6" ht="20.25" customHeight="1">
      <c r="A12" s="2342"/>
      <c r="B12" s="2342"/>
      <c r="C12" s="3031"/>
      <c r="D12" s="2342"/>
      <c r="E12" s="2342"/>
      <c r="F12" s="2342"/>
    </row>
    <row r="13" spans="1:6" ht="20.25" customHeight="1">
      <c r="A13" s="2342" t="s">
        <v>1923</v>
      </c>
      <c r="B13" s="2342">
        <f ca="1">IF(C13&lt;B2,"已过期",1120070131)</f>
        <v>1120070131</v>
      </c>
      <c r="C13" s="3031">
        <v>43814</v>
      </c>
      <c r="D13" s="2342" t="s">
        <v>1923</v>
      </c>
      <c r="E13" s="2342">
        <v>2014110011</v>
      </c>
      <c r="F13" s="3032">
        <v>49302</v>
      </c>
    </row>
    <row r="14" spans="1:6" ht="20.25" customHeight="1">
      <c r="A14" s="2342" t="s">
        <v>1924</v>
      </c>
      <c r="B14" s="2342">
        <f ca="1">IF(C14&lt;B2,"已过期",1120130020)</f>
        <v>1120130020</v>
      </c>
      <c r="C14" s="3031">
        <v>43622</v>
      </c>
      <c r="D14" s="2342"/>
      <c r="E14" s="2342"/>
      <c r="F14" s="2342"/>
    </row>
    <row r="15" spans="1:6" ht="20.25" customHeight="1">
      <c r="A15" s="2342" t="s">
        <v>2574</v>
      </c>
      <c r="B15" s="2342">
        <v>1120070085</v>
      </c>
      <c r="C15" s="3031">
        <v>43814</v>
      </c>
      <c r="D15" s="2342" t="s">
        <v>2574</v>
      </c>
      <c r="E15" s="2342">
        <v>2004110128</v>
      </c>
      <c r="F15" s="3032">
        <v>47118</v>
      </c>
    </row>
    <row r="16" spans="1:6" ht="20.25" customHeight="1">
      <c r="A16" s="2342" t="s">
        <v>1925</v>
      </c>
      <c r="B16" s="2342">
        <f ca="1">IF(C16&lt;B2,"已过期",1120140022)</f>
        <v>1120140022</v>
      </c>
      <c r="C16" s="3031">
        <v>44029</v>
      </c>
      <c r="D16" s="2342" t="s">
        <v>1925</v>
      </c>
      <c r="E16" s="2342">
        <f ca="1">IF(F16&lt;B2,"已过期",2008110059)</f>
        <v>2008110059</v>
      </c>
      <c r="F16" s="3032">
        <v>47177</v>
      </c>
    </row>
    <row r="17" spans="1:7" ht="20.25" customHeight="1">
      <c r="A17" s="2342"/>
      <c r="B17" s="2342"/>
      <c r="C17" s="3031"/>
      <c r="D17" s="2342"/>
      <c r="E17" s="2342"/>
      <c r="F17" s="3032"/>
    </row>
    <row r="18" spans="1:7" ht="20.25" customHeight="1">
      <c r="A18" s="2342"/>
      <c r="B18" s="2342"/>
      <c r="C18" s="3031"/>
      <c r="D18" s="2342"/>
      <c r="E18" s="2342"/>
      <c r="F18" s="3032"/>
    </row>
    <row r="19" spans="1:7" ht="20.25" customHeight="1">
      <c r="A19" s="2342"/>
      <c r="B19" s="2342"/>
      <c r="C19" s="3031"/>
      <c r="D19" s="2342"/>
      <c r="E19" s="2342"/>
      <c r="F19" s="2342"/>
    </row>
    <row r="20" spans="1:7" ht="20.25" customHeight="1">
      <c r="A20" s="2342"/>
      <c r="B20" s="2342"/>
      <c r="C20" s="3031"/>
      <c r="D20" s="2342"/>
      <c r="E20" s="2342"/>
      <c r="F20" s="2342"/>
    </row>
    <row r="21" spans="1:7" ht="20.25" customHeight="1">
      <c r="A21" s="2342"/>
      <c r="B21" s="2342"/>
      <c r="C21" s="3031"/>
      <c r="D21" s="2342" t="s">
        <v>1926</v>
      </c>
      <c r="E21" s="2342">
        <f ca="1">IF(F21&lt;B2,"已过期",2011110090)</f>
        <v>2011110090</v>
      </c>
      <c r="F21" s="3032">
        <v>48302</v>
      </c>
    </row>
    <row r="22" spans="1:7" ht="20.25" customHeight="1">
      <c r="A22" s="2342" t="s">
        <v>1927</v>
      </c>
      <c r="B22" s="2342">
        <f ca="1">IF(C22&lt;B2,"已过期",1120020033)</f>
        <v>1120020033</v>
      </c>
      <c r="C22" s="3031">
        <v>43304</v>
      </c>
      <c r="D22" s="2342" t="s">
        <v>1927</v>
      </c>
      <c r="E22" s="2342">
        <f ca="1">IF(F22&lt;B2,"已过期",2000110137)</f>
        <v>2000110137</v>
      </c>
      <c r="F22" s="3032">
        <v>46387</v>
      </c>
    </row>
    <row r="23" spans="1:7" ht="20.25" customHeight="1">
      <c r="A23" s="2342" t="s">
        <v>1928</v>
      </c>
      <c r="B23" s="2342">
        <f ca="1">IF(C23&lt;B2,"已过期",1120130048)</f>
        <v>1120130048</v>
      </c>
      <c r="C23" s="3031">
        <v>43686</v>
      </c>
      <c r="D23" s="2342"/>
      <c r="E23" s="2342"/>
      <c r="F23" s="2342"/>
    </row>
    <row r="24" spans="1:7" s="2346" customFormat="1" ht="20.25" customHeight="1">
      <c r="A24" s="2344" t="s">
        <v>2053</v>
      </c>
      <c r="B24" s="2344" t="s">
        <v>2053</v>
      </c>
      <c r="C24" s="3031"/>
      <c r="D24" s="3033" t="s">
        <v>2053</v>
      </c>
      <c r="E24" s="2344" t="s">
        <v>2053</v>
      </c>
      <c r="F24" s="2345"/>
    </row>
    <row r="25" spans="1:7" ht="20.25" customHeight="1">
      <c r="A25" s="3224" t="s">
        <v>1929</v>
      </c>
      <c r="B25" s="3224"/>
      <c r="C25" s="3224"/>
      <c r="D25" s="3224"/>
      <c r="E25" s="3224"/>
      <c r="F25" s="3224"/>
      <c r="G25" s="3224"/>
    </row>
    <row r="26" spans="1:7" ht="20.25" customHeight="1">
      <c r="A26" s="3225" t="s">
        <v>1930</v>
      </c>
      <c r="B26" s="3225"/>
      <c r="C26" s="3225"/>
      <c r="D26" s="3225" t="s">
        <v>1931</v>
      </c>
      <c r="E26" s="3225"/>
      <c r="F26" s="3225"/>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2943</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6" t="s">
        <v>2545</v>
      </c>
      <c r="R1" s="2605" t="s">
        <v>2539</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2541</v>
      </c>
      <c r="S3" s="9" t="s">
        <v>84</v>
      </c>
      <c r="T3" s="9" t="s">
        <v>85</v>
      </c>
      <c r="U3" s="9" t="s">
        <v>84</v>
      </c>
      <c r="V3" s="9" t="s">
        <v>86</v>
      </c>
      <c r="W3" s="9" t="s">
        <v>876</v>
      </c>
    </row>
    <row r="4" spans="1:23">
      <c r="A4" s="8" t="s">
        <v>87</v>
      </c>
      <c r="B4" s="8" t="s">
        <v>152</v>
      </c>
      <c r="C4" s="1550" t="s">
        <v>1712</v>
      </c>
      <c r="D4" s="9" t="s">
        <v>1995</v>
      </c>
      <c r="E4" s="9" t="s">
        <v>88</v>
      </c>
      <c r="F4" s="9" t="s">
        <v>89</v>
      </c>
      <c r="G4" s="9">
        <v>70</v>
      </c>
      <c r="H4" s="9" t="s">
        <v>90</v>
      </c>
      <c r="I4" s="9" t="s">
        <v>91</v>
      </c>
      <c r="K4" s="9" t="s">
        <v>92</v>
      </c>
      <c r="L4" s="9" t="s">
        <v>92</v>
      </c>
      <c r="M4" s="9" t="s">
        <v>92</v>
      </c>
      <c r="N4" s="9" t="s">
        <v>92</v>
      </c>
      <c r="O4" s="9" t="s">
        <v>92</v>
      </c>
      <c r="P4" s="1005" t="s">
        <v>761</v>
      </c>
      <c r="Q4" s="9" t="s">
        <v>92</v>
      </c>
      <c r="R4" s="1005" t="s">
        <v>2542</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547</v>
      </c>
      <c r="Q5" s="9" t="s">
        <v>97</v>
      </c>
      <c r="R5" s="1005" t="s">
        <v>2543</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42" t="s">
        <v>2956</v>
      </c>
      <c r="C18" s="1553"/>
    </row>
    <row r="19" spans="1:3">
      <c r="A19" s="8" t="s">
        <v>120</v>
      </c>
      <c r="B19" s="3142" t="s">
        <v>2964</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成都人居置业有限公司拟使用四川省成都市郫都区郫筒镇晨光村三、五社、双喜村一社1宗住宅、商业用途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226"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29日，在规划利用条件下、设定土地开发程度为红线外“七通”、宗地内场地平整，设定用途为住宅、商业，剩余土地使用年限为住宅70年，商业39.98年的出让国有建设用地使用权价格。</v>
      </c>
      <c r="D53" s="1766"/>
      <c r="E53" s="1766"/>
    </row>
    <row r="54" spans="1:5">
      <c r="A54" s="3226"/>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26"/>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26"/>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26"/>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127</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不动产比较法-商业</vt:lpstr>
      <vt:lpstr>酒店收入计算</vt:lpstr>
      <vt:lpstr>成本逼近法</vt:lpstr>
      <vt:lpstr>典型户型修正</vt:lpstr>
      <vt:lpstr>不动产收益法 (2)</vt:lpstr>
      <vt:lpstr>不动产比较法-办公</vt:lpstr>
      <vt:lpstr>不动产比较法-工业</vt:lpstr>
      <vt:lpstr>不动产比较法-车位</vt:lpstr>
      <vt:lpstr>不动产比较法-仓储</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2017-12-06T02:38:59Z</dcterms:modified>
</cp:coreProperties>
</file>