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M8" i="81"/>
  <c r="M28" i="81"/>
  <c r="F8" i="81"/>
  <c r="M6" i="81"/>
  <c r="M23" i="81"/>
  <c r="M9" i="81"/>
  <c r="C76" i="81"/>
  <c r="F42" i="81"/>
  <c r="F9" i="81"/>
  <c r="F36" i="81"/>
  <c r="J15" i="81"/>
  <c r="F6" i="81"/>
  <c r="F40" i="81"/>
  <c r="M22" i="81"/>
  <c r="F37" i="81"/>
  <c r="F13" i="81"/>
  <c r="M27" i="81"/>
  <c r="F16" i="81"/>
  <c r="L47" i="81"/>
  <c r="M24" i="81"/>
  <c r="F38" i="81"/>
  <c r="F26" i="81"/>
  <c r="M26" i="81"/>
  <c r="C27" i="81" l="1"/>
  <c r="F64" i="81"/>
  <c r="F66" i="81"/>
  <c r="N59" i="81"/>
  <c r="M59" i="81"/>
  <c r="L59" i="81" s="1"/>
  <c r="Q71" i="81"/>
  <c r="F65" i="81"/>
  <c r="F51" i="81"/>
  <c r="F68" i="81"/>
  <c r="Q61" i="81" l="1"/>
  <c r="Q74" i="81"/>
  <c r="O31" i="1" l="1"/>
  <c r="O30" i="1"/>
  <c r="B17" i="74" l="1"/>
  <c r="B16" i="74"/>
  <c r="B15" i="74"/>
  <c r="D39" i="43"/>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R25" i="1"/>
  <c r="Q25" i="1"/>
  <c r="G23" i="6"/>
  <c r="G22" i="6"/>
  <c r="F21" i="6"/>
  <c r="F20" i="6"/>
  <c r="F19" i="6"/>
  <c r="F9" i="80"/>
  <c r="M22" i="77"/>
  <c r="C76" i="78"/>
  <c r="M22" i="80"/>
  <c r="F8" i="80"/>
  <c r="F9" i="77"/>
  <c r="F8" i="77"/>
  <c r="F9" i="78"/>
  <c r="C76" i="79"/>
  <c r="F8" i="78"/>
  <c r="C76" i="80"/>
  <c r="C76" i="77"/>
  <c r="P74" i="77" l="1"/>
  <c r="Q71" i="80"/>
  <c r="F51" i="80"/>
  <c r="Q71" i="79"/>
  <c r="P61" i="79"/>
  <c r="J51" i="79"/>
  <c r="Q71" i="78"/>
  <c r="F51" i="78"/>
  <c r="Q71" i="77"/>
  <c r="F51" i="77"/>
  <c r="AB5" i="71"/>
  <c r="AA5" i="71"/>
  <c r="Y5" i="71"/>
  <c r="X5" i="71"/>
  <c r="M8" i="80"/>
  <c r="F37" i="80"/>
  <c r="F16" i="78"/>
  <c r="M6" i="78"/>
  <c r="M23" i="80"/>
  <c r="F42" i="77"/>
  <c r="F42" i="79"/>
  <c r="M22" i="78"/>
  <c r="F36" i="79"/>
  <c r="F26" i="80"/>
  <c r="M28" i="79"/>
  <c r="F13" i="77"/>
  <c r="F42" i="80"/>
  <c r="F9" i="79"/>
  <c r="F38" i="78"/>
  <c r="M24" i="77"/>
  <c r="M9" i="80"/>
  <c r="F13" i="78"/>
  <c r="F37" i="77"/>
  <c r="M27" i="79"/>
  <c r="F42" i="78"/>
  <c r="M6" i="80"/>
  <c r="F38" i="79"/>
  <c r="M8" i="78"/>
  <c r="F36" i="78"/>
  <c r="M6" i="79"/>
  <c r="F40" i="78"/>
  <c r="M9" i="79"/>
  <c r="F40" i="77"/>
  <c r="M23" i="78"/>
  <c r="M22" i="79"/>
  <c r="J15" i="78"/>
  <c r="M6" i="77"/>
  <c r="F36" i="80"/>
  <c r="J15" i="79"/>
  <c r="F8" i="79"/>
  <c r="M27" i="80"/>
  <c r="M26" i="78"/>
  <c r="F13" i="80"/>
  <c r="F40" i="80"/>
  <c r="M24" i="78"/>
  <c r="F16" i="77"/>
  <c r="F36" i="77"/>
  <c r="F13" i="79"/>
  <c r="M28" i="80"/>
  <c r="M9" i="78"/>
  <c r="M26" i="80"/>
  <c r="M9" i="77"/>
  <c r="F16" i="79"/>
  <c r="F6" i="78"/>
  <c r="F38" i="80"/>
  <c r="F6" i="79"/>
  <c r="F37" i="78"/>
  <c r="M8" i="77"/>
  <c r="M23" i="77"/>
  <c r="M24" i="79"/>
  <c r="F26" i="77"/>
  <c r="F16" i="80"/>
  <c r="M28" i="78"/>
  <c r="M24" i="80"/>
  <c r="F40" i="79"/>
  <c r="F38" i="77"/>
  <c r="M26" i="77"/>
  <c r="F37" i="79"/>
  <c r="J15" i="77"/>
  <c r="F6" i="77"/>
  <c r="M8" i="79"/>
  <c r="J15" i="80"/>
  <c r="F26" i="79"/>
  <c r="M27" i="77"/>
  <c r="M28" i="77"/>
  <c r="M26" i="79"/>
  <c r="F6" i="80"/>
  <c r="F26" i="78"/>
  <c r="M23" i="79"/>
  <c r="M27" i="78"/>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s="1"/>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F43" i="78"/>
  <c r="F7" i="78"/>
  <c r="F43" i="80"/>
  <c r="M29" i="81"/>
  <c r="F43" i="81"/>
  <c r="M29" i="79"/>
  <c r="F43" i="77"/>
  <c r="F7" i="77"/>
  <c r="L48" i="80"/>
  <c r="B9" i="76"/>
  <c r="D2" i="36"/>
  <c r="M28" i="67"/>
  <c r="F36" i="15"/>
  <c r="D6" i="73"/>
  <c r="J15" i="67"/>
  <c r="M27" i="67"/>
  <c r="C76" i="15"/>
  <c r="F6" i="73"/>
  <c r="M6" i="67"/>
  <c r="M22" i="15"/>
  <c r="F4" i="73"/>
  <c r="F6" i="67"/>
  <c r="C76" i="67"/>
  <c r="F6" i="15"/>
  <c r="F26" i="15"/>
  <c r="E8" i="76"/>
  <c r="M28" i="15"/>
  <c r="M9" i="15"/>
  <c r="M24" i="67"/>
  <c r="F7" i="73"/>
  <c r="E10" i="76"/>
  <c r="M27" i="15"/>
  <c r="E2" i="68"/>
  <c r="L47" i="80"/>
  <c r="F37" i="15"/>
  <c r="F40" i="15"/>
  <c r="M29" i="67"/>
  <c r="D34" i="9"/>
  <c r="M8" i="15"/>
  <c r="M23" i="67"/>
  <c r="D7" i="73"/>
  <c r="D5" i="73"/>
  <c r="F7" i="15"/>
  <c r="F36" i="67"/>
  <c r="F13" i="15"/>
  <c r="B12" i="76"/>
  <c r="F7" i="67"/>
  <c r="M9" i="67"/>
  <c r="L48" i="77"/>
  <c r="D2" i="35"/>
  <c r="F8" i="15"/>
  <c r="L48" i="67"/>
  <c r="L47" i="15"/>
  <c r="E9" i="76"/>
  <c r="E11" i="76"/>
  <c r="F43" i="15"/>
  <c r="M6" i="15"/>
  <c r="F41" i="67"/>
  <c r="F31" i="78"/>
  <c r="F31" i="77"/>
  <c r="L48" i="81"/>
  <c r="M29" i="78"/>
  <c r="M29" i="80"/>
  <c r="F7" i="80"/>
  <c r="F7" i="81"/>
  <c r="F31" i="81" s="1"/>
  <c r="F43" i="79"/>
  <c r="F7" i="79"/>
  <c r="F31" i="79" s="1"/>
  <c r="M29" i="77"/>
  <c r="L47" i="78"/>
  <c r="L47" i="77"/>
  <c r="AO12" i="1"/>
  <c r="L48" i="15"/>
  <c r="M24" i="15"/>
  <c r="F5" i="73"/>
  <c r="E7" i="76"/>
  <c r="D2" i="33"/>
  <c r="D2" i="34"/>
  <c r="J15" i="15"/>
  <c r="D4" i="73"/>
  <c r="B13" i="76"/>
  <c r="B10" i="76"/>
  <c r="B7" i="76"/>
  <c r="F20" i="31"/>
  <c r="M21" i="67"/>
  <c r="F40" i="67"/>
  <c r="M8" i="67"/>
  <c r="D35" i="9"/>
  <c r="B11" i="76"/>
  <c r="F35" i="67"/>
  <c r="M26" i="67"/>
  <c r="F9" i="67"/>
  <c r="D3" i="73"/>
  <c r="M22" i="67"/>
  <c r="L47" i="79"/>
  <c r="L48" i="79"/>
  <c r="E13" i="76"/>
  <c r="E12" i="76"/>
  <c r="E2" i="69"/>
  <c r="F38" i="67"/>
  <c r="L47" i="67"/>
  <c r="AO13" i="1"/>
  <c r="M23" i="15"/>
  <c r="F16" i="15"/>
  <c r="F26" i="67"/>
  <c r="F43" i="67"/>
  <c r="F42" i="15"/>
  <c r="F3" i="73"/>
  <c r="M29" i="15"/>
  <c r="D2" i="21"/>
  <c r="B8" i="76"/>
  <c r="F42" i="67"/>
  <c r="F38" i="15"/>
  <c r="M26" i="15"/>
  <c r="F13" i="67"/>
  <c r="D2" i="37"/>
  <c r="F16" i="67"/>
  <c r="F9" i="15"/>
  <c r="F37" i="67"/>
  <c r="F8" i="67"/>
  <c r="F31" i="80"/>
  <c r="E10" i="43" l="1"/>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F59" i="79"/>
  <c r="F59" i="81"/>
  <c r="M17" i="78"/>
  <c r="M17" i="81"/>
  <c r="F59" i="78"/>
  <c r="F59" i="67"/>
  <c r="C16" i="67"/>
  <c r="C14" i="67"/>
  <c r="M17" i="77"/>
  <c r="M17" i="79"/>
  <c r="F59" i="80"/>
  <c r="C16" i="77"/>
  <c r="F59" i="77"/>
  <c r="M17" i="80"/>
  <c r="C16" i="79"/>
  <c r="C16" i="81"/>
  <c r="L48" i="78"/>
  <c r="M17" i="67"/>
  <c r="C16" i="15"/>
  <c r="G1" i="73"/>
  <c r="C17" i="67"/>
  <c r="F31" i="15"/>
  <c r="C16" i="78"/>
  <c r="C16" i="80"/>
  <c r="F31" i="67"/>
  <c r="F59" i="15"/>
  <c r="M17" i="15"/>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7" i="1"/>
  <c r="AE10" i="1"/>
  <c r="AE11" i="1"/>
  <c r="AE9" i="1"/>
  <c r="AE6" i="1"/>
  <c r="G41" i="43" l="1"/>
  <c r="J10" i="78"/>
  <c r="J5" i="78" s="1"/>
  <c r="J26" i="78" s="1"/>
  <c r="J10" i="81"/>
  <c r="J5" i="81" s="1"/>
  <c r="J26" i="81" s="1"/>
  <c r="J10" i="79"/>
  <c r="J5" i="79" s="1"/>
  <c r="J24" i="79" s="1"/>
  <c r="J10" i="80"/>
  <c r="J5" i="80" s="1"/>
  <c r="J26" i="80" s="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81"/>
  <c r="F41" i="77"/>
  <c r="F41" i="80"/>
  <c r="F41" i="15"/>
  <c r="AE8" i="1"/>
  <c r="C17" i="78"/>
  <c r="F41" i="79"/>
  <c r="F69" i="81" l="1"/>
  <c r="J29" i="81"/>
  <c r="J24" i="78"/>
  <c r="J18" i="78"/>
  <c r="J24" i="80"/>
  <c r="J18" i="81"/>
  <c r="J18" i="80"/>
  <c r="J24" i="81"/>
  <c r="M24" i="6"/>
  <c r="I24" i="6" s="1"/>
  <c r="S24" i="6" s="1"/>
  <c r="S11" i="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80"/>
  <c r="C17" i="15"/>
  <c r="C17" i="81"/>
  <c r="C17" i="79"/>
  <c r="M21" i="78"/>
  <c r="F35" i="78"/>
  <c r="C14" i="78"/>
  <c r="C17" i="77"/>
  <c r="F41" i="78"/>
  <c r="F35" i="77"/>
  <c r="M21" i="77"/>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81"/>
  <c r="M21" i="81"/>
  <c r="C14" i="79"/>
  <c r="C14" i="80"/>
  <c r="C14" i="15"/>
  <c r="F35" i="81"/>
  <c r="F35" i="80"/>
  <c r="M21" i="80"/>
  <c r="C14" i="77"/>
  <c r="F35" i="79"/>
  <c r="M21" i="79"/>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E6" i="76"/>
  <c r="B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M21" i="15"/>
  <c r="L51" i="67"/>
  <c r="F35" i="15"/>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75" i="15"/>
  <c r="C57" i="77"/>
  <c r="J14" i="77"/>
  <c r="C13" i="77"/>
  <c r="C36" i="77"/>
  <c r="Q49" i="77"/>
  <c r="J19" i="77"/>
  <c r="J17" i="77" s="1"/>
  <c r="Q70" i="81"/>
  <c r="C46" i="68"/>
  <c r="C45" i="68" s="1"/>
  <c r="C49" i="68" s="1"/>
  <c r="C51" i="68" s="1"/>
  <c r="L57" i="15"/>
  <c r="L60" i="15" s="1"/>
  <c r="L46" i="15" s="1"/>
  <c r="L57" i="80"/>
  <c r="L60" i="80" s="1"/>
  <c r="Q66" i="79"/>
  <c r="Q57" i="79"/>
  <c r="Q66" i="78"/>
  <c r="Q57" i="78"/>
  <c r="Q66" i="77"/>
  <c r="Q57" i="77"/>
  <c r="C49" i="11"/>
  <c r="C51" i="11" s="1"/>
  <c r="C31" i="68"/>
  <c r="C49" i="69"/>
  <c r="C51" i="69" s="1"/>
  <c r="L68" i="39"/>
  <c r="K70" i="39"/>
  <c r="Q66" i="67"/>
  <c r="Q75" i="67" s="1"/>
  <c r="Q57" i="67"/>
  <c r="Q62" i="67" s="1"/>
  <c r="B2" i="67"/>
  <c r="B3" i="67"/>
  <c r="L51" i="78"/>
  <c r="J22" i="15" l="1"/>
  <c r="C37" i="81"/>
  <c r="C30" i="81" s="1"/>
  <c r="C39" i="81" s="1"/>
  <c r="Q69" i="81" s="1"/>
  <c r="Q68" i="81" s="1"/>
  <c r="Q70" i="15"/>
  <c r="C56" i="81"/>
  <c r="C65" i="81" s="1"/>
  <c r="C37" i="15"/>
  <c r="C30" i="15" s="1"/>
  <c r="C39" i="15" s="1"/>
  <c r="C80" i="15" s="1"/>
  <c r="C7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L51" i="15"/>
  <c r="L51" i="81"/>
  <c r="L51" i="77"/>
  <c r="AO6" i="1"/>
  <c r="L51" i="80"/>
  <c r="C19" i="9"/>
  <c r="Q67" i="81" l="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C20" i="9"/>
  <c r="AO11" i="1"/>
  <c r="AO8" i="1"/>
  <c r="L51" i="79"/>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10" i="1"/>
  <c r="AO7"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G17" i="74"/>
  <c r="N59" i="9" l="1"/>
  <c r="P57" i="9"/>
  <c r="N58" i="9"/>
  <c r="E17" i="74"/>
  <c r="F17" i="74"/>
  <c r="N61" i="9" l="1"/>
  <c r="N60" i="9"/>
  <c r="G16" i="74"/>
  <c r="E16" i="74" l="1"/>
  <c r="F16" i="74"/>
  <c r="B6" i="74" l="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<sst xmlns="http://schemas.openxmlformats.org/spreadsheetml/2006/main" count="9415" uniqueCount="3122">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</sst>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0" borderId="23" xfId="0" applyFont="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KT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20020;&#3490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8292.93</v>
          </cell>
        </row>
      </sheetData>
      <sheetData sheetId="14"/>
      <sheetData sheetId="15"/>
      <sheetData sheetId="16"/>
      <sheetData sheetId="17">
        <row r="19">
          <cell r="G19">
            <v>18923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4901.170000000001</v>
          </cell>
        </row>
      </sheetData>
      <sheetData sheetId="14"/>
      <sheetData sheetId="15"/>
      <sheetData sheetId="16"/>
      <sheetData sheetId="17">
        <row r="19">
          <cell r="G19">
            <v>7774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估价对象为北京市出让国有建设用地使用权及在建建筑物房地产，为所有。根据《国有土地使用证》[]，估价对象（分摊）出让国有建设用地使用权面积为22165.75平方米，建筑面积为140932.81平方米。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173181</v>
      </c>
    </row>
    <row r="21" spans="1:2" s="1592" customFormat="1">
      <c r="A21" s="1590" t="s">
        <v>1231</v>
      </c>
      <c r="B21" s="1591">
        <f ca="1">'预评函-2'!D7</f>
        <v>12288</v>
      </c>
    </row>
    <row r="22" spans="1:2" s="1592" customFormat="1">
      <c r="A22" s="1590" t="s">
        <v>1232</v>
      </c>
      <c r="B22" s="1591" t="str">
        <f ca="1">'预评函-2'!D6</f>
        <v>壹拾柒亿叁仟壹佰捌拾壹万元整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173181</v>
      </c>
    </row>
    <row r="31" spans="1:2" s="1592" customFormat="1">
      <c r="A31" s="1590" t="s">
        <v>1270</v>
      </c>
      <c r="B31" s="1591">
        <f ca="1">'预评函-2'!D15</f>
        <v>12288</v>
      </c>
    </row>
    <row r="32" spans="1:2" s="1592" customFormat="1">
      <c r="A32" s="1590" t="s">
        <v>1237</v>
      </c>
      <c r="B32" s="1591" t="str">
        <f ca="1">'预评函-2'!D14</f>
        <v>壹拾柒亿叁仟壹佰捌拾壹万元整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140932.81</v>
      </c>
    </row>
    <row r="44" spans="1:2" s="1592" customFormat="1">
      <c r="A44" s="1590" t="s">
        <v>1269</v>
      </c>
      <c r="B44" s="1591" t="str">
        <f>'预评函-3'!C2</f>
        <v>(分摊)土地面积</v>
      </c>
    </row>
    <row r="45" spans="1:2" s="1592" customFormat="1">
      <c r="A45" s="1590" t="s">
        <v>1241</v>
      </c>
      <c r="B45" s="1591">
        <f>'预评函-3'!C4</f>
        <v>22165.75</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3087</v>
      </c>
      <c r="C17" s="2014"/>
    </row>
    <row r="18" spans="1:3">
      <c r="A18" s="2013" t="s">
        <v>1763</v>
      </c>
      <c r="B18" s="2013" t="s">
        <v>3089</v>
      </c>
      <c r="C18" s="2014"/>
    </row>
    <row r="19" spans="1:3">
      <c r="A19" s="2013" t="s">
        <v>1764</v>
      </c>
      <c r="B19" s="2013" t="s">
        <v>3091</v>
      </c>
      <c r="C19" s="2014"/>
    </row>
    <row r="20" spans="1:3">
      <c r="A20" s="2013" t="s">
        <v>1765</v>
      </c>
      <c r="B20" s="2013" t="s">
        <v>3093</v>
      </c>
      <c r="C20" s="2014"/>
    </row>
    <row r="21" spans="1:3">
      <c r="A21" s="2013" t="s">
        <v>1766</v>
      </c>
      <c r="B21" s="2013" t="s">
        <v>3116</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3053</v>
      </c>
      <c r="C8" s="2055"/>
      <c r="D8" s="3033" t="s">
        <v>1781</v>
      </c>
      <c r="E8" s="2056" t="s">
        <v>3054</v>
      </c>
      <c r="F8" s="2057"/>
      <c r="G8" s="2025"/>
      <c r="H8" s="2025"/>
      <c r="I8" s="2025"/>
      <c r="J8" s="2041"/>
      <c r="K8" s="2042"/>
      <c r="L8" s="2027"/>
      <c r="M8" s="2027"/>
      <c r="N8" s="2028"/>
      <c r="O8" s="2029"/>
      <c r="P8" s="2028"/>
      <c r="Q8" s="2028"/>
      <c r="R8" s="2028"/>
    </row>
    <row r="9" spans="1:19" ht="18" customHeight="1" thickBot="1">
      <c r="A9" s="2039" t="s">
        <v>1782</v>
      </c>
      <c r="B9" s="2058" t="s">
        <v>3054</v>
      </c>
      <c r="C9" s="2059"/>
      <c r="D9" s="3034"/>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3056</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0"/>
      <c r="C16" s="3041"/>
      <c r="D16" s="3042"/>
      <c r="E16" s="2085" t="s">
        <v>1798</v>
      </c>
      <c r="F16" s="3043"/>
      <c r="G16" s="3044"/>
      <c r="H16" s="3044"/>
      <c r="I16" s="3045"/>
      <c r="J16" s="2028"/>
      <c r="K16" s="2082"/>
      <c r="L16" s="2083"/>
      <c r="M16" s="2083"/>
      <c r="N16" s="2084"/>
      <c r="O16" s="2083"/>
      <c r="P16" s="2084"/>
      <c r="Q16" s="2028"/>
      <c r="R16" s="2028"/>
    </row>
    <row r="17" spans="1:22" ht="18" customHeight="1">
      <c r="A17" s="2086" t="s">
        <v>1799</v>
      </c>
      <c r="B17" s="2034" t="s">
        <v>1800</v>
      </c>
      <c r="C17" s="1053">
        <f>'数据-汇总表'!E3</f>
        <v>140932.81</v>
      </c>
      <c r="D17" s="2087" t="s">
        <v>1801</v>
      </c>
      <c r="E17" s="3046" t="s">
        <v>1802</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22165.75</v>
      </c>
      <c r="D18" s="2090" t="s">
        <v>1801</v>
      </c>
      <c r="E18" s="3049" t="s">
        <v>1805</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6" t="s">
        <v>1810</v>
      </c>
      <c r="C20" s="3037"/>
      <c r="D20" s="3038" t="s">
        <v>1811</v>
      </c>
      <c r="E20" s="3039"/>
      <c r="F20" s="2097"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3" t="s">
        <v>1825</v>
      </c>
      <c r="B27" s="2062" t="s">
        <v>1826</v>
      </c>
      <c r="C27" s="2119" t="s">
        <v>3057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4"/>
      <c r="B30" s="2034" t="s">
        <v>1829</v>
      </c>
      <c r="C30" s="3055"/>
      <c r="D30" s="305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7" t="s">
        <v>1830</v>
      </c>
      <c r="B31" s="2126" t="s">
        <v>3058</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3060</v>
      </c>
      <c r="C34" s="2133" t="s">
        <v>3059</v>
      </c>
      <c r="D34" s="2133" t="s">
        <v>3061</v>
      </c>
      <c r="E34" s="2133" t="s">
        <v>3062</v>
      </c>
      <c r="F34" s="2133" t="s">
        <v>3063</v>
      </c>
      <c r="G34" s="2133" t="s">
        <v>3064</v>
      </c>
      <c r="H34" s="2133" t="s">
        <v>3065</v>
      </c>
      <c r="I34" s="2041"/>
      <c r="J34" s="2041"/>
      <c r="K34" s="1794">
        <f>COUNTIF(B34:H34,"——")</f>
        <v>0</v>
      </c>
      <c r="L34" s="2074" t="s">
        <v>1832</v>
      </c>
      <c r="M34" s="2074" t="s">
        <v>1833</v>
      </c>
      <c r="N34" s="2074" t="s">
        <v>1834</v>
      </c>
      <c r="O34" s="2074" t="s">
        <v>1835</v>
      </c>
      <c r="P34" s="2074" t="s">
        <v>1836</v>
      </c>
      <c r="Q34" s="2074" t="s">
        <v>1837</v>
      </c>
      <c r="R34" s="2074" t="s">
        <v>1838</v>
      </c>
      <c r="S34" s="3052" t="s">
        <v>1839</v>
      </c>
      <c r="T34" s="2134" t="str">
        <f>NUMBERSTRING(7-K34,1)&amp;"通"</f>
        <v>七通</v>
      </c>
      <c r="U34" s="2028"/>
      <c r="V34" s="2028"/>
    </row>
    <row r="35" spans="1:22" ht="18" customHeight="1">
      <c r="A35" s="2135"/>
      <c r="B35" s="3059" t="s">
        <v>1840</v>
      </c>
      <c r="C35" s="3059"/>
      <c r="D35" s="3059"/>
      <c r="E35" s="305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175110.48</v>
      </c>
      <c r="C3" s="2168" t="s">
        <v>3070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175110.48</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140932.81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19458.47</v>
      </c>
      <c r="I6" s="16">
        <f t="shared" ref="I6:AB6" si="2">ROUND($A$3*I5/$B$3,2)</f>
        <v>8464.16</v>
      </c>
      <c r="J6" s="16">
        <f t="shared" si="2"/>
        <v>0</v>
      </c>
      <c r="K6" s="16">
        <f t="shared" si="2"/>
        <v>2646.69</v>
      </c>
      <c r="L6" s="16">
        <f t="shared" si="2"/>
        <v>0</v>
      </c>
      <c r="M6" s="16">
        <f t="shared" si="2"/>
        <v>6148.62</v>
      </c>
      <c r="N6" s="16">
        <f t="shared" si="2"/>
        <v>0</v>
      </c>
      <c r="O6" s="16">
        <f t="shared" si="2"/>
        <v>1487.72</v>
      </c>
      <c r="P6" s="16">
        <f t="shared" si="2"/>
        <v>0</v>
      </c>
      <c r="Q6" s="16">
        <f t="shared" si="2"/>
        <v>506.52</v>
      </c>
      <c r="R6" s="16">
        <f t="shared" si="2"/>
        <v>0</v>
      </c>
      <c r="S6" s="16">
        <f t="shared" si="2"/>
        <v>204.76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2707.2799999999997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25.83</v>
      </c>
      <c r="AM6" s="16">
        <f t="shared" si="3"/>
        <v>0</v>
      </c>
      <c r="AN6" s="16">
        <f t="shared" si="3"/>
        <v>2681.45</v>
      </c>
      <c r="AO6" s="16">
        <f t="shared" si="3"/>
        <v>0</v>
      </c>
      <c r="AP6" s="16">
        <f t="shared" si="3"/>
        <v>0</v>
      </c>
      <c r="AQ6" s="16">
        <f t="shared" si="3"/>
        <v>0</v>
      </c>
      <c r="AR6" s="16">
        <f t="shared" si="3"/>
        <v>0</v>
      </c>
      <c r="AS6" s="16">
        <f t="shared" si="3"/>
        <v>0</v>
      </c>
      <c r="AT6" s="20">
        <f>IF(C3="是",ROUND($A$3*AT5/$B$3,2),0)</f>
        <v>5375.42</v>
      </c>
      <c r="AU6" s="2176"/>
      <c r="AV6" s="15" t="s">
        <v>1876</v>
      </c>
      <c r="AW6" s="2174"/>
      <c r="AX6" s="2174"/>
      <c r="AY6" s="21">
        <f>IF(AY3&gt;0,AY3,ROUND($A$3*AZ5/$B$3,2))</f>
        <v>22165.75</v>
      </c>
      <c r="AZ6" s="16" t="s">
        <v>3</v>
      </c>
      <c r="BA6" s="16">
        <f>ROUND($AY$6*BA5/$AZ$5,2)</f>
        <v>19458.47</v>
      </c>
      <c r="BB6" s="16">
        <f>ROUND($AY$6*BB5/$AZ$5,2)</f>
        <v>8464.16</v>
      </c>
      <c r="BC6" s="16">
        <f t="shared" ref="BC6:BH6" si="4">ROUND($AY$6*BC5/$AZ$5,2)</f>
        <v>2646.69</v>
      </c>
      <c r="BD6" s="16">
        <f t="shared" si="4"/>
        <v>6148.62</v>
      </c>
      <c r="BE6" s="16">
        <f t="shared" si="4"/>
        <v>1487.72</v>
      </c>
      <c r="BF6" s="16">
        <f t="shared" si="4"/>
        <v>506.52</v>
      </c>
      <c r="BG6" s="16">
        <f t="shared" si="4"/>
        <v>204.76</v>
      </c>
      <c r="BH6" s="16">
        <f t="shared" si="4"/>
        <v>0</v>
      </c>
      <c r="BI6" s="16">
        <f t="shared" ref="BI6:BT6" si="5">ROUND($AY$6*BI5/$AZ$5,2)</f>
        <v>0</v>
      </c>
      <c r="BJ6" s="16">
        <f t="shared" si="5"/>
        <v>0</v>
      </c>
      <c r="BK6" s="16">
        <f t="shared" si="5"/>
        <v>0</v>
      </c>
      <c r="BL6" s="16">
        <f t="shared" si="5"/>
        <v>2707.28</v>
      </c>
      <c r="BM6" s="16">
        <f t="shared" si="5"/>
        <v>0</v>
      </c>
      <c r="BN6" s="16">
        <f t="shared" si="5"/>
        <v>0</v>
      </c>
      <c r="BO6" s="16">
        <f t="shared" si="5"/>
        <v>0</v>
      </c>
      <c r="BP6" s="16">
        <f t="shared" si="5"/>
        <v>0</v>
      </c>
      <c r="BQ6" s="16">
        <f t="shared" si="5"/>
        <v>25.83</v>
      </c>
      <c r="BR6" s="16">
        <f t="shared" si="5"/>
        <v>2681.45</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3071</v>
      </c>
      <c r="J9" s="980"/>
      <c r="K9" s="2191" t="s">
        <v>3071</v>
      </c>
      <c r="L9" s="980"/>
      <c r="M9" s="2191" t="s">
        <v>3071</v>
      </c>
      <c r="N9" s="980"/>
      <c r="O9" s="2191" t="s">
        <v>3073</v>
      </c>
      <c r="P9" s="980"/>
      <c r="Q9" s="2191" t="s">
        <v>3073</v>
      </c>
      <c r="R9" s="980"/>
      <c r="S9" s="2191" t="s">
        <v>3073</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3074</v>
      </c>
      <c r="R10" s="980"/>
      <c r="S10" s="2197" t="s">
        <v>3119</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3072</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3066</v>
      </c>
      <c r="D13" s="2213" t="s">
        <v>3070</v>
      </c>
      <c r="E13" s="16">
        <f>IF($C$3="是",ROUND($A$3*G13/$B$3,2),ROUND($A$3*(G13-AT13)/$B$3,2))</f>
        <v>15467.64</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10092.209999999999</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3067</v>
      </c>
      <c r="D14" s="2213" t="s">
        <v>3070</v>
      </c>
      <c r="E14" s="16">
        <f>IF($C$3="是",ROUND($A$3*G14/$B$3,2),ROUND($A$3*(G14-AT14)/$B$3,2))</f>
        <v>2646.69</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2646.69</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3068</v>
      </c>
      <c r="D15" s="2213" t="s">
        <v>3070</v>
      </c>
      <c r="E15" s="16">
        <f>IF($C$3="是",ROUND($A$3*G15/$B$3,2),ROUND($A$3*(G15-AT15)/$B$3,2))</f>
        <v>7841.1</v>
      </c>
      <c r="F15" s="32"/>
      <c r="G15" s="33">
        <f>H15+AC15+AT15</f>
        <v>49854.77</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1301.8900000000001</v>
      </c>
      <c r="AD15" s="2215"/>
      <c r="AE15" s="2215"/>
      <c r="AF15" s="2215"/>
      <c r="AG15" s="2215"/>
      <c r="AH15" s="2215"/>
      <c r="AI15" s="2215"/>
      <c r="AJ15" s="2215"/>
      <c r="AK15" s="2215"/>
      <c r="AL15" s="2215"/>
      <c r="AM15" s="2215"/>
      <c r="AN15" s="2215">
        <v>1301.8900000000001</v>
      </c>
      <c r="AO15" s="2215"/>
      <c r="AP15" s="2215"/>
      <c r="AQ15" s="2215"/>
      <c r="AR15" s="2215"/>
      <c r="AS15" s="2215"/>
      <c r="AT15" s="2216"/>
      <c r="AU15" s="2217"/>
      <c r="AV15" s="11">
        <f t="shared" si="6"/>
        <v>0</v>
      </c>
      <c r="AW15" s="11">
        <f t="shared" si="6"/>
        <v>0</v>
      </c>
      <c r="AX15" s="11" t="str">
        <f t="shared" si="6"/>
        <v>商业</v>
      </c>
      <c r="AY15" s="1805">
        <f>ROUND($AY$6*AZ15/$AZ$5,2)</f>
        <v>7841.1</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7" customFormat="1" ht="12.75">
      <c r="A16" s="1271"/>
      <c r="B16" s="1271"/>
      <c r="C16" s="2962" t="s">
        <v>3069</v>
      </c>
      <c r="D16" s="2213" t="s">
        <v>3070</v>
      </c>
      <c r="E16" s="16">
        <f>IF($C$3="是",ROUND($A$3*G16/$B$3,2),ROUND($A$3*(G16-AT16)/$B$3,2))</f>
        <v>1380.99</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1380.99</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962" t="s">
        <v>3118</v>
      </c>
      <c r="D17" s="2213" t="s">
        <v>3070</v>
      </c>
      <c r="E17" s="16">
        <f>IF($C$3="是",ROUND($A$3*G17/$B$3,2),ROUND($A$3*(G17-AT17)/$B$3,2))</f>
        <v>204.76</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204.76</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5" sqref="J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7" t="s">
        <v>1912</v>
      </c>
      <c r="F2" s="1391"/>
      <c r="G2" s="2228"/>
      <c r="H2" s="2229"/>
      <c r="I2" s="2230" t="s">
        <v>1936</v>
      </c>
      <c r="J2" s="1391"/>
      <c r="K2" s="1391"/>
      <c r="L2" s="1391"/>
      <c r="M2" s="1391"/>
      <c r="N2" s="1426"/>
      <c r="O2" s="1391"/>
      <c r="P2" s="1391"/>
    </row>
    <row r="3" spans="1:16" ht="15.75" thickBot="1">
      <c r="A3" s="3072" t="s">
        <v>1909</v>
      </c>
      <c r="B3" s="3072"/>
      <c r="C3" s="3072"/>
      <c r="D3" s="46">
        <f>'数据-基础表'!AY6</f>
        <v>22165.75</v>
      </c>
      <c r="E3" s="46">
        <f>'数据-基础表'!AZ5</f>
        <v>140932.81</v>
      </c>
      <c r="F3" s="1391"/>
      <c r="G3" s="1398"/>
      <c r="H3" s="1246" t="s">
        <v>1910</v>
      </c>
      <c r="I3" s="55">
        <f>ROUND('数据-基础表'!B3/'数据-基础表'!A3,2)</f>
        <v>6.36</v>
      </c>
      <c r="J3" s="1391"/>
      <c r="K3" s="1391"/>
      <c r="L3" s="1391"/>
      <c r="M3" s="1391"/>
      <c r="N3" s="1426"/>
      <c r="O3" s="1391"/>
      <c r="P3" s="1391"/>
    </row>
    <row r="4" spans="1:16" ht="15">
      <c r="A4" s="3073"/>
      <c r="B4" s="3074"/>
      <c r="C4" s="307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6.36</v>
      </c>
      <c r="J5" s="1391"/>
      <c r="K5" s="1391"/>
      <c r="L5" s="1391"/>
      <c r="M5" s="1391"/>
      <c r="N5" s="1391"/>
      <c r="O5" s="1391"/>
      <c r="P5" s="1391"/>
    </row>
    <row r="6" spans="1:16" ht="15" thickBot="1">
      <c r="A6" s="2234"/>
      <c r="B6" s="3076" t="s">
        <v>1915</v>
      </c>
      <c r="C6" s="3076"/>
      <c r="D6" s="48">
        <f>ROUND($D$3*E6/$E$3,2)</f>
        <v>22165.75</v>
      </c>
      <c r="E6" s="49">
        <f>E3-E5</f>
        <v>140932.81</v>
      </c>
      <c r="F6" s="1391"/>
      <c r="G6" s="2235" t="s">
        <v>1916</v>
      </c>
      <c r="H6" s="1398" t="s">
        <v>1917</v>
      </c>
      <c r="I6" s="938">
        <f>ROUND(F31/D31,2)</f>
        <v>4.96</v>
      </c>
      <c r="J6" s="1391"/>
      <c r="K6" s="1391"/>
      <c r="L6" s="1391"/>
      <c r="M6" s="1391"/>
      <c r="N6" s="1391"/>
      <c r="O6" s="1391"/>
      <c r="P6" s="1391"/>
    </row>
    <row r="7" spans="1:16" ht="15">
      <c r="A7" s="3068"/>
      <c r="B7" s="3069"/>
      <c r="C7" s="3070"/>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17259.47</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1487.72</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204.76</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c r="A13" s="2238"/>
      <c r="B13" s="2239"/>
      <c r="C13" s="48" t="s">
        <v>1926</v>
      </c>
      <c r="D13" s="48">
        <f t="shared" si="0"/>
        <v>506.52</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19458.47</v>
      </c>
      <c r="E16" s="53">
        <f>SUM(E8:E15)</f>
        <v>123719.55</v>
      </c>
      <c r="F16" s="1391"/>
      <c r="G16" s="2237"/>
      <c r="H16" s="2240" t="s">
        <v>1939</v>
      </c>
      <c r="I16" s="2241"/>
      <c r="J16" s="1391"/>
      <c r="K16" s="3065" t="s">
        <v>1939</v>
      </c>
      <c r="L16" s="3066"/>
      <c r="M16" s="3066"/>
      <c r="N16" s="3066"/>
      <c r="O16" s="3066"/>
      <c r="P16" s="3067"/>
    </row>
    <row r="17" spans="1:19" ht="15">
      <c r="A17" s="2242" t="s">
        <v>1940</v>
      </c>
      <c r="B17" s="2243" t="s">
        <v>1941</v>
      </c>
      <c r="C17" s="2244" t="s">
        <v>1942</v>
      </c>
      <c r="D17" s="2245" t="s">
        <v>1930</v>
      </c>
      <c r="E17" s="2246" t="s">
        <v>1931</v>
      </c>
      <c r="F17" s="2247"/>
      <c r="G17" s="2248"/>
      <c r="H17" s="2249" t="s">
        <v>1943</v>
      </c>
      <c r="I17" s="2250" t="s">
        <v>1928</v>
      </c>
      <c r="J17" s="1391"/>
      <c r="K17" s="3062" t="s">
        <v>1944</v>
      </c>
      <c r="L17" s="3063"/>
      <c r="M17" s="3064"/>
      <c r="N17" s="3062" t="s">
        <v>1945</v>
      </c>
      <c r="O17" s="3063"/>
      <c r="P17" s="3064"/>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3066</v>
      </c>
      <c r="D19" s="48">
        <f>ROUND($D$3*E19/$E$3,2)</f>
        <v>8464.16</v>
      </c>
      <c r="E19" s="56">
        <f t="shared" ref="E19:E26" si="1">SUM(F19:G19)</f>
        <v>53816.27</v>
      </c>
      <c r="F19" s="57">
        <f>'数据-基础表'!I13</f>
        <v>53816.27</v>
      </c>
      <c r="G19" s="58"/>
      <c r="H19" s="723">
        <f>ROUND($D$3*I19/$E$3,2)</f>
        <v>1177.6300000000001</v>
      </c>
      <c r="I19" s="51">
        <f t="shared" ref="I19:I26" si="2">IF($I$17="自定义",P19,M19)</f>
        <v>7487.53</v>
      </c>
      <c r="J19" s="1391"/>
      <c r="K19" s="1390">
        <f t="shared" ref="K19:K26" si="3">ROUND(E$28*E19/E$27,2)</f>
        <v>7487.53</v>
      </c>
      <c r="L19" s="1246">
        <f t="shared" ref="L19:L26" si="4">ROUND(IF(COUNTIF(C19,"*住宅*")&gt;0,E$29*E19/E$32,0),2)</f>
        <v>0</v>
      </c>
      <c r="M19" s="1402">
        <f>K19+L19</f>
        <v>7487.53</v>
      </c>
      <c r="N19" s="2260"/>
      <c r="O19" s="2261"/>
      <c r="P19" s="1402">
        <f>N19+O19</f>
        <v>0</v>
      </c>
      <c r="R19" s="1246">
        <f t="shared" ref="R19:S26" si="5">D19+H19</f>
        <v>9641.7900000000009</v>
      </c>
      <c r="S19" s="1247">
        <f t="shared" si="5"/>
        <v>61303.799999999996</v>
      </c>
    </row>
    <row r="20" spans="1:19">
      <c r="A20" s="2262"/>
      <c r="B20" s="50" t="s">
        <v>1957</v>
      </c>
      <c r="C20" s="2965" t="s">
        <v>3075</v>
      </c>
      <c r="D20" s="48">
        <f t="shared" ref="D20:D26" si="6">ROUND($D$3*E20/$E$3,2)</f>
        <v>2646.69</v>
      </c>
      <c r="E20" s="56">
        <f t="shared" si="1"/>
        <v>16827.990000000002</v>
      </c>
      <c r="F20" s="57">
        <f>'数据-基础表'!K14</f>
        <v>16827.990000000002</v>
      </c>
      <c r="G20" s="58"/>
      <c r="H20" s="723">
        <f t="shared" ref="H20:H26" si="7">ROUND($D$3*I20/$E$3,2)</f>
        <v>368.24</v>
      </c>
      <c r="I20" s="51">
        <f t="shared" si="2"/>
        <v>2341.3000000000002</v>
      </c>
      <c r="J20" s="1391"/>
      <c r="K20" s="1390">
        <f t="shared" si="3"/>
        <v>2341.3000000000002</v>
      </c>
      <c r="L20" s="1246">
        <f t="shared" si="4"/>
        <v>0</v>
      </c>
      <c r="M20" s="1402">
        <f t="shared" ref="M20:M26" si="8">K20+L20</f>
        <v>2341.3000000000002</v>
      </c>
      <c r="N20" s="2260"/>
      <c r="O20" s="2261"/>
      <c r="P20" s="1402">
        <f t="shared" ref="P20:P26" si="9">N20+O20</f>
        <v>0</v>
      </c>
      <c r="R20" s="1246">
        <f t="shared" si="5"/>
        <v>3014.9300000000003</v>
      </c>
      <c r="S20" s="1247">
        <f t="shared" si="5"/>
        <v>19169.29</v>
      </c>
    </row>
    <row r="21" spans="1:19">
      <c r="A21" s="2262"/>
      <c r="B21" s="50" t="s">
        <v>1957</v>
      </c>
      <c r="C21" s="2964" t="s">
        <v>3076</v>
      </c>
      <c r="D21" s="48">
        <f t="shared" si="6"/>
        <v>6148.62</v>
      </c>
      <c r="E21" s="56">
        <f t="shared" si="1"/>
        <v>39093.74</v>
      </c>
      <c r="F21" s="57">
        <f>'数据-基础表'!M15</f>
        <v>39093.74</v>
      </c>
      <c r="G21" s="58"/>
      <c r="H21" s="723">
        <f t="shared" si="7"/>
        <v>855.46</v>
      </c>
      <c r="I21" s="51">
        <f t="shared" si="2"/>
        <v>5439.16</v>
      </c>
      <c r="J21" s="1391"/>
      <c r="K21" s="1390">
        <f t="shared" si="3"/>
        <v>5439.16</v>
      </c>
      <c r="L21" s="1246">
        <f t="shared" si="4"/>
        <v>0</v>
      </c>
      <c r="M21" s="1402">
        <f t="shared" si="8"/>
        <v>5439.16</v>
      </c>
      <c r="N21" s="2260"/>
      <c r="O21" s="2261"/>
      <c r="P21" s="1402">
        <f t="shared" si="9"/>
        <v>0</v>
      </c>
      <c r="R21" s="1246">
        <f t="shared" si="5"/>
        <v>7004.08</v>
      </c>
      <c r="S21" s="1247">
        <f t="shared" si="5"/>
        <v>44532.899999999994</v>
      </c>
    </row>
    <row r="22" spans="1:19">
      <c r="A22" s="2262"/>
      <c r="B22" s="50" t="s">
        <v>1957</v>
      </c>
      <c r="C22" s="2966" t="s">
        <v>3077</v>
      </c>
      <c r="D22" s="48">
        <f t="shared" si="6"/>
        <v>1487.72</v>
      </c>
      <c r="E22" s="56">
        <f t="shared" si="1"/>
        <v>9459.14</v>
      </c>
      <c r="F22" s="61"/>
      <c r="G22" s="62">
        <f>'数据-基础表'!O15</f>
        <v>9459.14</v>
      </c>
      <c r="H22" s="723">
        <f t="shared" si="7"/>
        <v>206.99</v>
      </c>
      <c r="I22" s="51">
        <f t="shared" si="2"/>
        <v>1316.06</v>
      </c>
      <c r="J22" s="1391"/>
      <c r="K22" s="1390">
        <f t="shared" si="3"/>
        <v>1316.06</v>
      </c>
      <c r="L22" s="1246">
        <f t="shared" si="4"/>
        <v>0</v>
      </c>
      <c r="M22" s="1402">
        <f t="shared" si="8"/>
        <v>1316.06</v>
      </c>
      <c r="N22" s="2260"/>
      <c r="O22" s="2261"/>
      <c r="P22" s="1402">
        <f t="shared" si="9"/>
        <v>0</v>
      </c>
      <c r="R22" s="1246">
        <f t="shared" si="5"/>
        <v>1694.71</v>
      </c>
      <c r="S22" s="1247">
        <f t="shared" si="5"/>
        <v>10775.199999999999</v>
      </c>
    </row>
    <row r="23" spans="1:19">
      <c r="A23" s="2262"/>
      <c r="B23" s="50" t="s">
        <v>1957</v>
      </c>
      <c r="C23" s="2966" t="s">
        <v>3069</v>
      </c>
      <c r="D23" s="48">
        <f>ROUND($D$3*E23/$E$3,2)</f>
        <v>506.52</v>
      </c>
      <c r="E23" s="56">
        <f>SUM(F23:G23)</f>
        <v>3220.52</v>
      </c>
      <c r="F23" s="61"/>
      <c r="G23" s="62">
        <f>'数据-基础表'!Q16</f>
        <v>3220.52</v>
      </c>
      <c r="H23" s="723">
        <f>ROUND($D$3*I23/$E$3,2)</f>
        <v>70.47</v>
      </c>
      <c r="I23" s="51">
        <f t="shared" si="2"/>
        <v>448.08</v>
      </c>
      <c r="J23" s="1391"/>
      <c r="K23" s="1390">
        <f t="shared" si="3"/>
        <v>448.08</v>
      </c>
      <c r="L23" s="1246">
        <f t="shared" si="4"/>
        <v>0</v>
      </c>
      <c r="M23" s="1402">
        <f t="shared" si="8"/>
        <v>448.08</v>
      </c>
      <c r="N23" s="2260"/>
      <c r="O23" s="2261"/>
      <c r="P23" s="1402">
        <f t="shared" si="9"/>
        <v>0</v>
      </c>
      <c r="R23" s="1246">
        <f t="shared" si="5"/>
        <v>576.99</v>
      </c>
      <c r="S23" s="1247">
        <f t="shared" si="5"/>
        <v>3668.6</v>
      </c>
    </row>
    <row r="24" spans="1:19">
      <c r="A24" s="2262"/>
      <c r="B24" s="50" t="s">
        <v>1957</v>
      </c>
      <c r="C24" s="2962" t="s">
        <v>3118</v>
      </c>
      <c r="D24" s="48">
        <f>ROUND($D$3*E24/$E$3,2)</f>
        <v>204.76</v>
      </c>
      <c r="E24" s="56">
        <f>SUM(F24:G24)</f>
        <v>1301.8900000000001</v>
      </c>
      <c r="F24" s="61"/>
      <c r="G24" s="62">
        <f>'数据-基础表'!S17</f>
        <v>1301.8900000000001</v>
      </c>
      <c r="H24" s="723">
        <f>ROUND($D$3*I24/$E$3,2)</f>
        <v>28.49</v>
      </c>
      <c r="I24" s="51">
        <f t="shared" si="2"/>
        <v>181.13</v>
      </c>
      <c r="J24" s="1391"/>
      <c r="K24" s="1390">
        <f t="shared" si="3"/>
        <v>181.13</v>
      </c>
      <c r="L24" s="1246">
        <f t="shared" si="4"/>
        <v>0</v>
      </c>
      <c r="M24" s="1402">
        <f t="shared" si="8"/>
        <v>181.13</v>
      </c>
      <c r="N24" s="2260"/>
      <c r="O24" s="2261"/>
      <c r="P24" s="1402">
        <f t="shared" si="9"/>
        <v>0</v>
      </c>
      <c r="R24" s="1246">
        <f t="shared" si="5"/>
        <v>233.25</v>
      </c>
      <c r="S24" s="1247">
        <f t="shared" si="5"/>
        <v>1483.02</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19458.47</v>
      </c>
      <c r="E27" s="1393">
        <f>IF(SUM(E19:E26)='数据-基础表'!BA5,SUM(E19:E26),IF(F27="地上面积有误","面积有误","地下面积有误"))</f>
        <v>123719.55</v>
      </c>
      <c r="F27" s="1392">
        <f>IF(SUM(F19:F26)=E8,SUM(F19:F26),"地上面积有误")</f>
        <v>109738</v>
      </c>
      <c r="G27" s="1394">
        <f>SUM(G19:G26)</f>
        <v>13981.55</v>
      </c>
      <c r="H27" s="1395">
        <f>SUM(H19:H26)</f>
        <v>2707.2799999999993</v>
      </c>
      <c r="I27" s="1396">
        <f>SUM(I19:I26)</f>
        <v>17213.260000000002</v>
      </c>
      <c r="J27" s="1391"/>
      <c r="K27" s="1399">
        <f>SUM(K19:K26)</f>
        <v>17213.260000000002</v>
      </c>
      <c r="L27" s="1400">
        <f>SUM(L19:L26)</f>
        <v>0</v>
      </c>
      <c r="M27" s="1403">
        <f>SUM(M19:M26)</f>
        <v>17213.260000000002</v>
      </c>
      <c r="N27" s="1399">
        <f t="shared" ref="N27:O27" si="10">SUM(N19:N26)</f>
        <v>0</v>
      </c>
      <c r="O27" s="1400">
        <f t="shared" si="10"/>
        <v>0</v>
      </c>
      <c r="P27" s="1401">
        <f>SUM(P19:P26)</f>
        <v>0</v>
      </c>
      <c r="R27" s="1248">
        <f>IF(SUM(R19:R26)=$D$3,SUM(R19:R26),SUM(R19:R26)&amp;"误差"&amp;ROUND(SUM(R19:R26)-$D$3,2))</f>
        <v>22165.750000000004</v>
      </c>
      <c r="S27" s="1246">
        <f>IF(SUM(S19:S26)=$E$3,SUM(S19:S26),SUM(S19:S26)&amp;"误差"&amp;ROUND(SUM(S19:S26)-E3,2))</f>
        <v>140932.81</v>
      </c>
    </row>
    <row r="28" spans="1:19">
      <c r="A28" s="2262"/>
      <c r="B28" s="50" t="s">
        <v>1959</v>
      </c>
      <c r="C28" s="1258" t="s">
        <v>1960</v>
      </c>
      <c r="D28" s="48">
        <f>ROUND($D$3*E28/$E$3,2)</f>
        <v>2707.28</v>
      </c>
      <c r="E28" s="56">
        <f>SUM(F28:G28)</f>
        <v>17213.260000000002</v>
      </c>
      <c r="F28" s="64">
        <f>'数据-基础表'!BQ5+'数据-基础表'!BS5</f>
        <v>164.25</v>
      </c>
      <c r="G28" s="65">
        <f>'数据-基础表'!BR5+'数据-基础表'!BT5</f>
        <v>17049.010000000002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2707.28</v>
      </c>
      <c r="E30" s="1392">
        <f>SUM(E28:E29)</f>
        <v>17213.260000000002</v>
      </c>
      <c r="F30" s="1392">
        <f>SUM(F28:F29)</f>
        <v>164.25</v>
      </c>
      <c r="G30" s="1394">
        <f>SUM(G28:G29)</f>
        <v>17049.010000000002</v>
      </c>
      <c r="H30" s="1391"/>
      <c r="I30" s="1391"/>
      <c r="J30" s="1391"/>
      <c r="K30" s="1391"/>
      <c r="L30" s="1391"/>
      <c r="M30" s="1391"/>
      <c r="N30" s="1391"/>
      <c r="O30" s="1391"/>
      <c r="P30" s="1391"/>
    </row>
    <row r="31" spans="1:19" ht="15.75" thickBot="1">
      <c r="A31" s="2268"/>
      <c r="B31" s="2269"/>
      <c r="C31" s="1006" t="s">
        <v>1962</v>
      </c>
      <c r="D31" s="729">
        <f>D27+D30</f>
        <v>22165.75</v>
      </c>
      <c r="E31" s="729">
        <f>E27+E30</f>
        <v>140932.81</v>
      </c>
      <c r="F31" s="730">
        <f>F27+F30</f>
        <v>109902.25</v>
      </c>
      <c r="G31" s="731">
        <f>G27+G30</f>
        <v>31030.560000000001</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0.24</v>
      </c>
      <c r="O6" s="75">
        <f>IF($N$5="成新度","——",ROUND(M6*N6,0))</f>
        <v>4521</v>
      </c>
      <c r="P6" s="76">
        <f>IF($N$5="成新度","——",M6-O6)</f>
        <v>14315</v>
      </c>
      <c r="Q6" s="804">
        <v>0.15</v>
      </c>
      <c r="R6" s="77">
        <f ca="1">SUMIF('数据-汇总表'!C$19:C$33,A6,'数据-汇总表'!R$19:R$27)</f>
        <v>9641.7900000000009</v>
      </c>
      <c r="S6" s="54">
        <f>IF('数据-汇总表'!$I$17="按面积比例",SUMIF('数据-汇总表'!C$19:C$33,A6,'数据-汇总表'!K$19:K$33),SUMIF('数据-汇总表'!C$19:C$33,A6,'数据-汇总表'!N$19:N$33))</f>
        <v>7487.53</v>
      </c>
      <c r="T6" s="1442">
        <f>ROUND($L$14*S6/10000,0)</f>
        <v>1498</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3094</v>
      </c>
      <c r="AO6" s="55">
        <f ca="1">SUMIF(INDIRECT("'"&amp;AN6&amp;"'"&amp;"!A:A"),"总价",INDIRECT("'"&amp;AN6&amp;"'"&amp;"!B:B"))</f>
        <v>141978</v>
      </c>
      <c r="AP6" s="2309">
        <f>IF(C6="住宅",K6*L6,0)</f>
        <v>0</v>
      </c>
      <c r="AQ6" s="55">
        <f>ROUND($L$14*$N$14*S6/10000,0)</f>
        <v>359</v>
      </c>
      <c r="AR6" s="55">
        <f>ROUND($L$14*(1-$N$14)*S6/10000,0)</f>
        <v>1138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v>0.24</v>
      </c>
      <c r="O7" s="75">
        <f t="shared" ref="O7:O14" si="3">IF($N$5="成新度","——",ROUND(M7*N7,0))</f>
        <v>1818</v>
      </c>
      <c r="P7" s="76">
        <f t="shared" ref="P7:P14" si="4">IF($N$5="成新度","——",M7-O7)</f>
        <v>5755</v>
      </c>
      <c r="Q7" s="804">
        <v>0.15</v>
      </c>
      <c r="R7" s="77">
        <f ca="1">SUMIF('数据-汇总表'!C$19:C$33,A7,'数据-汇总表'!R$19:R$27)</f>
        <v>3014.9300000000003</v>
      </c>
      <c r="S7" s="54">
        <f>IF('数据-汇总表'!$I$17="按面积比例",SUMIF('数据-汇总表'!C$19:C$33,A7,'数据-汇总表'!K$19:K$33),SUMIF('数据-汇总表'!C$19:C$33,A7,'数据-汇总表'!N$19:N$33))</f>
        <v>2341.3000000000002</v>
      </c>
      <c r="T7" s="1442">
        <f t="shared" ref="T7:T13" si="5">ROUND($L$14*S7/10000,0)</f>
        <v>468</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3086</v>
      </c>
      <c r="AO7" s="55">
        <f t="shared" ref="AO7:AO13" ca="1" si="8">SUMIF(INDIRECT("'"&amp;AN7&amp;"'"&amp;"!A:A"),"总价",INDIRECT("'"&amp;AN7&amp;"'"&amp;"!B:B"))</f>
        <v>47942</v>
      </c>
      <c r="AP7" s="2309">
        <f t="shared" ref="AP7:AP13" si="9">IF(C7="住宅",K7*L7,0)</f>
        <v>0</v>
      </c>
      <c r="AQ7" s="55">
        <f t="shared" ref="AQ7:AQ13" si="10">ROUND($L$14*$N$14*S7/10000,0)</f>
        <v>112</v>
      </c>
      <c r="AR7" s="55">
        <f t="shared" ref="AR7:AR13" si="11">ROUND($L$14*(1-$N$14)*S7/10000,0)</f>
        <v>356</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v>3500</v>
      </c>
      <c r="M8" s="75">
        <f>ROUND(K8*L8/10000,0)</f>
        <v>13683</v>
      </c>
      <c r="N8" s="801">
        <v>0.24</v>
      </c>
      <c r="O8" s="75">
        <f t="shared" si="3"/>
        <v>3284</v>
      </c>
      <c r="P8" s="76">
        <f t="shared" si="4"/>
        <v>10399</v>
      </c>
      <c r="Q8" s="804">
        <v>0.2</v>
      </c>
      <c r="R8" s="77">
        <f ca="1">SUMIF('数据-汇总表'!C$19:C$33,A8,'数据-汇总表'!R$19:R$27)</f>
        <v>7004.08</v>
      </c>
      <c r="S8" s="54">
        <f>IF('数据-汇总表'!$I$17="按面积比例",SUMIF('数据-汇总表'!C$19:C$33,A8,'数据-汇总表'!K$19:K$33),SUMIF('数据-汇总表'!C$19:C$33,A8,'数据-汇总表'!N$19:N$33))</f>
        <v>5439.16</v>
      </c>
      <c r="T8" s="1442">
        <f t="shared" si="5"/>
        <v>1088</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3088</v>
      </c>
      <c r="AO8" s="55">
        <f t="shared" ca="1" si="8"/>
        <v>72684</v>
      </c>
      <c r="AP8" s="2309">
        <f t="shared" si="9"/>
        <v>0</v>
      </c>
      <c r="AQ8" s="55">
        <f t="shared" si="10"/>
        <v>261</v>
      </c>
      <c r="AR8" s="55">
        <f t="shared" si="11"/>
        <v>827</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v>3200</v>
      </c>
      <c r="M9" s="75">
        <f t="shared" si="0"/>
        <v>3027</v>
      </c>
      <c r="N9" s="801">
        <v>0.24</v>
      </c>
      <c r="O9" s="75">
        <f t="shared" si="3"/>
        <v>726</v>
      </c>
      <c r="P9" s="76">
        <f t="shared" si="4"/>
        <v>2301</v>
      </c>
      <c r="Q9" s="90">
        <v>0.2</v>
      </c>
      <c r="R9" s="77">
        <f ca="1">SUMIF('数据-汇总表'!C$19:C$33,A9,'数据-汇总表'!R$19:R$27)</f>
        <v>1694.71</v>
      </c>
      <c r="S9" s="54">
        <f>IF('数据-汇总表'!$I$17="按面积比例",SUMIF('数据-汇总表'!C$19:C$33,A9,'数据-汇总表'!K$19:K$33),SUMIF('数据-汇总表'!C$19:C$33,A9,'数据-汇总表'!N$19:N$33))</f>
        <v>1316.06</v>
      </c>
      <c r="T9" s="1442">
        <f t="shared" si="5"/>
        <v>263</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3090</v>
      </c>
      <c r="AO9" s="55">
        <f t="shared" ca="1" si="8"/>
        <v>12848</v>
      </c>
      <c r="AP9" s="2309">
        <f t="shared" si="9"/>
        <v>0</v>
      </c>
      <c r="AQ9" s="55">
        <f t="shared" si="10"/>
        <v>63</v>
      </c>
      <c r="AR9" s="55">
        <f t="shared" si="11"/>
        <v>200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3074</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v>3000</v>
      </c>
      <c r="M10" s="75">
        <f t="shared" si="0"/>
        <v>966</v>
      </c>
      <c r="N10" s="801">
        <v>0.24</v>
      </c>
      <c r="O10" s="75">
        <f t="shared" si="3"/>
        <v>232</v>
      </c>
      <c r="P10" s="76">
        <f t="shared" si="4"/>
        <v>734</v>
      </c>
      <c r="Q10" s="90">
        <v>0.05</v>
      </c>
      <c r="R10" s="77">
        <f ca="1">SUMIF('数据-汇总表'!C$19:C$33,A10,'数据-汇总表'!R$19:R$27)</f>
        <v>576.99</v>
      </c>
      <c r="S10" s="54">
        <f>IF('数据-汇总表'!$I$17="按面积比例",SUMIF('数据-汇总表'!C$19:C$33,A10,'数据-汇总表'!K$19:K$33),SUMIF('数据-汇总表'!C$19:C$33,A10,'数据-汇总表'!N$19:N$33))</f>
        <v>448.08</v>
      </c>
      <c r="T10" s="1442">
        <f t="shared" si="5"/>
        <v>90</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3092</v>
      </c>
      <c r="AO10" s="55">
        <f t="shared" ca="1" si="8"/>
        <v>348</v>
      </c>
      <c r="AP10" s="2309">
        <f t="shared" si="9"/>
        <v>0</v>
      </c>
      <c r="AQ10" s="55">
        <f t="shared" si="10"/>
        <v>22</v>
      </c>
      <c r="AR10" s="55">
        <f t="shared" si="11"/>
        <v>68</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t="str">
        <f>'数据-汇总表'!C24</f>
        <v>库房</v>
      </c>
      <c r="B11" s="2306" t="str">
        <f t="shared" si="1"/>
        <v>经营性</v>
      </c>
      <c r="C11" s="2307" t="s">
        <v>3119</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91">
        <v>3000</v>
      </c>
      <c r="M11" s="75">
        <f t="shared" si="0"/>
        <v>391</v>
      </c>
      <c r="N11" s="92">
        <v>0.24</v>
      </c>
      <c r="O11" s="75">
        <f t="shared" si="3"/>
        <v>94</v>
      </c>
      <c r="P11" s="76">
        <f t="shared" si="4"/>
        <v>297</v>
      </c>
      <c r="Q11" s="90">
        <v>0.1</v>
      </c>
      <c r="R11" s="77">
        <f ca="1">SUMIF('数据-汇总表'!C$19:C$33,A11,'数据-汇总表'!R$19:R$27)</f>
        <v>233.25</v>
      </c>
      <c r="S11" s="54">
        <f>IF('数据-汇总表'!$I$17="按面积比例",SUMIF('数据-汇总表'!C$19:C$33,A11,'数据-汇总表'!K$19:K$33),SUMIF('数据-汇总表'!C$19:C$33,A11,'数据-汇总表'!N$19:N$33))</f>
        <v>181.13</v>
      </c>
      <c r="T11" s="1442">
        <f t="shared" si="5"/>
        <v>36</v>
      </c>
      <c r="U11" s="2985">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3115</v>
      </c>
      <c r="AO11" s="55">
        <f t="shared" ca="1" si="8"/>
        <v>478</v>
      </c>
      <c r="AP11" s="2309">
        <f t="shared" si="9"/>
        <v>0</v>
      </c>
      <c r="AQ11" s="55">
        <f t="shared" si="10"/>
        <v>9</v>
      </c>
      <c r="AR11" s="55">
        <f t="shared" si="11"/>
        <v>28</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17213.260000000002</v>
      </c>
      <c r="L14" s="91">
        <v>2000</v>
      </c>
      <c r="M14" s="75">
        <f t="shared" si="0"/>
        <v>3443</v>
      </c>
      <c r="N14" s="92">
        <v>0.24</v>
      </c>
      <c r="O14" s="75">
        <f t="shared" si="3"/>
        <v>826</v>
      </c>
      <c r="P14" s="76">
        <f t="shared" si="4"/>
        <v>2617</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140932.81</v>
      </c>
      <c r="L16" s="102">
        <f>ROUND(M16*10000/SUM(K6:K14),0)</f>
        <v>3400</v>
      </c>
      <c r="M16" s="102">
        <f>SUM(M6:M14)</f>
        <v>47919</v>
      </c>
      <c r="N16" s="103">
        <f>ROUND(SUMPRODUCT(M6:M14,N6:N14)/M16,3)</f>
        <v>0.24</v>
      </c>
      <c r="O16" s="102">
        <f>SUM(O6:O14)</f>
        <v>11501</v>
      </c>
      <c r="P16" s="102">
        <f>SUM(P6:P14)</f>
        <v>36418</v>
      </c>
      <c r="Q16" s="104">
        <f>ROUND(SUMPRODUCT(Q6:Q13,K6:K13)/SUMPRODUCT((Q6:Q13&gt;0)*(K6:K13)),2)</f>
        <v>0.17</v>
      </c>
      <c r="R16" s="1254">
        <f ca="1">SUM(R6:R13)</f>
        <v>22165.750000000004</v>
      </c>
      <c r="S16" s="105">
        <f>SUM(S6:S13)</f>
        <v>17213.260000000002</v>
      </c>
      <c r="T16" s="106">
        <f>IF(SUMIF(T6:T13,"&lt;9E307")=M14,SUMIF(T6:T13,"&lt;9E307"),"有误，请检查")</f>
        <v>3443</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3078</v>
      </c>
      <c r="O24" s="2968" t="s">
        <v>3079</v>
      </c>
      <c r="P24" s="2969" t="s">
        <v>3078</v>
      </c>
      <c r="Q24" s="2968" t="s">
        <v>3079</v>
      </c>
      <c r="R24" s="2970"/>
      <c r="S24" s="1580"/>
      <c r="T24" s="1580"/>
      <c r="U24" s="1580" t="s">
        <v>3114</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((P25+Q25)/(N25+Q25))*40%</f>
        <v>0.24761904761904763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3080</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3081</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3082</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3083</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3084</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3085</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9" sqref="E2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156045.76999999999</v>
      </c>
      <c r="C1" s="1741"/>
      <c r="D1" s="1741"/>
      <c r="E1" s="1741"/>
      <c r="F1" s="1741"/>
      <c r="G1" s="1739"/>
    </row>
    <row r="2" spans="1:10" ht="16.5">
      <c r="A2" s="1742" t="s">
        <v>1349</v>
      </c>
      <c r="B2" s="1742">
        <f>SUM(C14:C23)</f>
        <v>22165.75</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206847</v>
      </c>
      <c r="C5" s="1742">
        <f ca="1">ROUND(B5*10000/$B$1,0)</f>
        <v>13256</v>
      </c>
      <c r="D5" s="1742">
        <f ca="1">ROUND(B5*10000/$B$2,0)</f>
        <v>93318</v>
      </c>
      <c r="E5" s="1741"/>
      <c r="F5" s="1739"/>
      <c r="G5" s="1739"/>
    </row>
    <row r="6" spans="1:10" ht="16.5">
      <c r="A6" s="1742" t="s">
        <v>1352</v>
      </c>
      <c r="B6" s="1742">
        <f ca="1">SUM(G14:G23)</f>
        <v>206847</v>
      </c>
      <c r="C6" s="1742">
        <f ca="1">ROUND(B6*10000/$B$1,0)</f>
        <v>13256</v>
      </c>
      <c r="D6" s="1742">
        <f ca="1">ROUND(B6*10000/$B$2,0)</f>
        <v>93318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140932.81</v>
      </c>
      <c r="C14" s="1740">
        <f>结果表!C118</f>
        <v>22165.75</v>
      </c>
      <c r="D14" s="1740">
        <f ca="1">结果表!H118</f>
        <v>173181</v>
      </c>
      <c r="E14" s="1740">
        <f ca="1">ROUND(D14*10000/B14,0)</f>
        <v>12288</v>
      </c>
      <c r="F14" s="1740">
        <f ca="1">ROUND(D14*10000/C14,0)</f>
        <v>78130</v>
      </c>
      <c r="G14" s="1740">
        <f ca="1">结果表!D122</f>
        <v>173181</v>
      </c>
      <c r="H14" s="1740" t="str">
        <f>结果表!D124</f>
        <v>——</v>
      </c>
      <c r="I14" s="1740" t="str">
        <f>结果表!D126</f>
        <v>——</v>
      </c>
      <c r="J14" s="1739"/>
    </row>
    <row r="15" spans="1:10" ht="16.5">
      <c r="A15" s="1738" t="s">
        <v>1345</v>
      </c>
      <c r="B15" s="1745">
        <f>'[1]数据-汇总表'!$E$31</f>
        <v>8292.93</v>
      </c>
      <c r="C15" s="1745"/>
      <c r="D15" s="3315">
        <v>17383</v>
      </c>
      <c r="E15" s="1740">
        <f t="shared" ref="E15:E23" si="0">ROUND(D15*10000/B15,0)</f>
        <v>20961</v>
      </c>
      <c r="F15" s="1740" t="e">
        <f t="shared" ref="F15:F23" si="1">ROUND(D15*10000/C15,0)</f>
        <v>#DIV/0!</v>
      </c>
      <c r="G15" s="3315">
        <v>17383</v>
      </c>
      <c r="H15" s="1746"/>
      <c r="I15" s="1745"/>
      <c r="J15" s="1739"/>
    </row>
    <row r="16" spans="1:10" ht="16.5">
      <c r="A16" s="1738" t="s">
        <v>1344</v>
      </c>
      <c r="B16" s="1745">
        <f>'[2]数据-汇总表'!$F$27</f>
        <v>4901.170000000001</v>
      </c>
      <c r="C16" s="1745"/>
      <c r="D16" s="3315">
        <v>10371</v>
      </c>
      <c r="E16" s="1740">
        <f t="shared" si="0"/>
        <v>21160</v>
      </c>
      <c r="F16" s="1740" t="e">
        <f t="shared" si="1"/>
        <v>#DIV/0!</v>
      </c>
      <c r="G16" s="1746">
        <f t="shared" ref="G16:G17" si="2">D16</f>
        <v>10371</v>
      </c>
      <c r="H16" s="1746"/>
      <c r="I16" s="1745"/>
    </row>
    <row r="17" spans="1:9" ht="16.5">
      <c r="A17" s="1738" t="s">
        <v>1343</v>
      </c>
      <c r="B17" s="1745">
        <f>[3]典型户型修正!$B$22</f>
        <v>1918.8600000000001</v>
      </c>
      <c r="C17" s="1745"/>
      <c r="D17" s="3315">
        <v>5912</v>
      </c>
      <c r="E17" s="1740">
        <f t="shared" si="0"/>
        <v>30810</v>
      </c>
      <c r="F17" s="1740" t="e">
        <f t="shared" si="1"/>
        <v>#DIV/0!</v>
      </c>
      <c r="G17" s="1746">
        <f t="shared" si="2"/>
        <v>5912</v>
      </c>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51" t="str">
        <f>项目基本情况!S2</f>
        <v>北京市出让国有建设用地使用权及在建建筑物房地产</v>
      </c>
      <c r="B2" s="3152"/>
      <c r="C2" s="3152"/>
      <c r="D2" s="3152"/>
      <c r="E2" s="3152"/>
      <c r="F2" s="3152"/>
      <c r="G2" s="3152"/>
      <c r="H2" s="3152"/>
      <c r="I2" s="3153"/>
    </row>
    <row r="3" spans="1:12" ht="12.75">
      <c r="A3" s="3154" t="s">
        <v>2121</v>
      </c>
      <c r="B3" s="3155"/>
      <c r="C3" s="3155"/>
      <c r="D3" s="3155"/>
      <c r="E3" s="3155"/>
      <c r="F3" s="3155"/>
      <c r="G3" s="3155"/>
      <c r="H3" s="3155"/>
      <c r="I3" s="3155"/>
    </row>
    <row r="4" spans="1:12" ht="14.25">
      <c r="A4" s="2425" t="s">
        <v>2122</v>
      </c>
      <c r="B4" s="2426" t="s">
        <v>2123</v>
      </c>
      <c r="C4" s="2427" t="s">
        <v>3110</v>
      </c>
      <c r="D4" s="2427" t="s">
        <v>3111</v>
      </c>
      <c r="E4" s="3135" t="s">
        <v>2124</v>
      </c>
      <c r="F4" s="3148"/>
      <c r="G4" s="3148"/>
      <c r="H4" s="3148"/>
      <c r="I4" s="313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2125</v>
      </c>
      <c r="B5" s="3052">
        <v>25</v>
      </c>
      <c r="C5" s="3156"/>
      <c r="D5" s="3144"/>
      <c r="E5" s="140" t="s">
        <v>2126</v>
      </c>
      <c r="F5" s="2429"/>
      <c r="G5" s="2429"/>
      <c r="H5" s="2429"/>
      <c r="I5" s="1830"/>
    </row>
    <row r="6" spans="1:12" ht="12.75">
      <c r="A6" s="3126"/>
      <c r="B6" s="3052"/>
      <c r="C6" s="3158"/>
      <c r="D6" s="3144"/>
      <c r="E6" s="140" t="s">
        <v>2127</v>
      </c>
      <c r="F6" s="2429"/>
      <c r="G6" s="2429"/>
      <c r="H6" s="2429"/>
      <c r="I6" s="1830"/>
    </row>
    <row r="7" spans="1:12" ht="12.75">
      <c r="A7" s="3126"/>
      <c r="B7" s="3052"/>
      <c r="C7" s="3157"/>
      <c r="D7" s="3144"/>
      <c r="E7" s="140" t="s">
        <v>2128</v>
      </c>
      <c r="F7" s="2429"/>
      <c r="G7" s="2429"/>
      <c r="H7" s="2429"/>
      <c r="I7" s="1830"/>
    </row>
    <row r="8" spans="1:12" ht="12.75">
      <c r="A8" s="3126" t="s">
        <v>2129</v>
      </c>
      <c r="B8" s="3052">
        <v>15</v>
      </c>
      <c r="C8" s="3156"/>
      <c r="D8" s="3144"/>
      <c r="E8" s="140" t="s">
        <v>2130</v>
      </c>
      <c r="F8" s="2429"/>
      <c r="G8" s="2429"/>
      <c r="H8" s="2429"/>
      <c r="I8" s="1830"/>
    </row>
    <row r="9" spans="1:12" ht="12.75">
      <c r="A9" s="3126"/>
      <c r="B9" s="3052"/>
      <c r="C9" s="3157"/>
      <c r="D9" s="3144"/>
      <c r="E9" s="140" t="s">
        <v>2131</v>
      </c>
      <c r="F9" s="2429"/>
      <c r="G9" s="2429"/>
      <c r="H9" s="2429"/>
      <c r="I9" s="1830"/>
    </row>
    <row r="10" spans="1:12" ht="12.75">
      <c r="A10" s="3126" t="s">
        <v>2132</v>
      </c>
      <c r="B10" s="3052">
        <v>15</v>
      </c>
      <c r="C10" s="3156"/>
      <c r="D10" s="3144"/>
      <c r="E10" s="140" t="s">
        <v>2133</v>
      </c>
      <c r="F10" s="2429"/>
      <c r="G10" s="2429"/>
      <c r="H10" s="2429"/>
      <c r="I10" s="1830"/>
    </row>
    <row r="11" spans="1:12" ht="12.75">
      <c r="A11" s="3126"/>
      <c r="B11" s="3052"/>
      <c r="C11" s="3157"/>
      <c r="D11" s="3144"/>
      <c r="E11" s="140" t="s">
        <v>2134</v>
      </c>
      <c r="F11" s="2429"/>
      <c r="G11" s="2429"/>
      <c r="H11" s="2429"/>
      <c r="I11" s="1830"/>
    </row>
    <row r="12" spans="1:12" ht="12.75">
      <c r="A12" s="3126" t="s">
        <v>2135</v>
      </c>
      <c r="B12" s="3052">
        <v>15</v>
      </c>
      <c r="C12" s="3156"/>
      <c r="D12" s="3144"/>
      <c r="E12" s="140" t="s">
        <v>2136</v>
      </c>
      <c r="F12" s="2429"/>
      <c r="G12" s="2429"/>
      <c r="H12" s="2429"/>
      <c r="I12" s="1830"/>
    </row>
    <row r="13" spans="1:12" ht="12.75">
      <c r="A13" s="3126"/>
      <c r="B13" s="3052"/>
      <c r="C13" s="3157"/>
      <c r="D13" s="3144"/>
      <c r="E13" s="140" t="s">
        <v>2137</v>
      </c>
      <c r="F13" s="2429"/>
      <c r="G13" s="2429"/>
      <c r="H13" s="2429"/>
      <c r="I13" s="1830"/>
    </row>
    <row r="14" spans="1:12" ht="12.75">
      <c r="A14" s="3126" t="s">
        <v>2138</v>
      </c>
      <c r="B14" s="3052">
        <v>30</v>
      </c>
      <c r="C14" s="3156">
        <v>5</v>
      </c>
      <c r="D14" s="3144">
        <v>5</v>
      </c>
      <c r="E14" s="140" t="s">
        <v>2139</v>
      </c>
      <c r="F14" s="2429"/>
      <c r="G14" s="2429"/>
      <c r="H14" s="2429"/>
      <c r="I14" s="1830"/>
    </row>
    <row r="15" spans="1:12" ht="12.75">
      <c r="A15" s="3126"/>
      <c r="B15" s="3052"/>
      <c r="C15" s="3158"/>
      <c r="D15" s="3144"/>
      <c r="E15" s="140" t="s">
        <v>2140</v>
      </c>
      <c r="F15" s="2429"/>
      <c r="G15" s="2429"/>
      <c r="H15" s="2429"/>
      <c r="I15" s="1830"/>
    </row>
    <row r="16" spans="1:12" ht="12.75">
      <c r="A16" s="3126"/>
      <c r="B16" s="3052"/>
      <c r="C16" s="3157"/>
      <c r="D16" s="3144"/>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140932.81</v>
      </c>
      <c r="M18" s="2428">
        <f>IF(C1="",'数据-汇总表'!E3,SUMIF(项目类型,C1,'数据-汇总表'!E17:E26))</f>
        <v>140932.81</v>
      </c>
    </row>
    <row r="19" spans="1:35" ht="15">
      <c r="A19" s="2434" t="s">
        <v>2147</v>
      </c>
      <c r="B19" s="2435" t="s">
        <v>2148</v>
      </c>
      <c r="C19" s="143">
        <f ca="1">SUMIF(INDIRECT("'"&amp;C4&amp;"'"&amp;"!A:A"),结果表!B19,INDIRECT("'"&amp;C4&amp;"'"&amp;"!B:B"))</f>
        <v>185104</v>
      </c>
      <c r="D19" s="144">
        <f ca="1">SUMIF(INDIRECT("'"&amp;D4&amp;"'"&amp;"!A:A"),结果表!B19,INDIRECT("'"&amp;D4&amp;"'"&amp;"!B:B"))</f>
        <v>161258</v>
      </c>
      <c r="E19" s="2434" t="s">
        <v>2149</v>
      </c>
      <c r="F19" s="2435" t="s">
        <v>2148</v>
      </c>
      <c r="G19" s="145">
        <f ca="1">ROUND(C19*$C$18+D19*$D$18,0)</f>
        <v>173181</v>
      </c>
      <c r="H19" s="2436" t="s">
        <v>2150</v>
      </c>
      <c r="I19" s="138"/>
      <c r="K19" s="2428" t="s">
        <v>2151</v>
      </c>
      <c r="L19" s="2428">
        <f>IF(C1="",'数据-汇总表'!D3,SUMIF(项目类型,C1,'数据-汇总表'!D17:D26)+SUMIF(项目类型,C1,'数据-汇总表'!H17:H27))</f>
        <v>22165.75</v>
      </c>
      <c r="M19" s="2428">
        <f>IF(C1="",'数据-汇总表'!D3,SUMIF(项目类型,C1,'数据-汇总表'!D17:D26))</f>
        <v>22165.75</v>
      </c>
    </row>
    <row r="20" spans="1:35" ht="15">
      <c r="A20" s="2437"/>
      <c r="B20" s="1246" t="s">
        <v>2152</v>
      </c>
      <c r="C20" s="146">
        <f ca="1">SUMIF(INDIRECT("'"&amp;C4&amp;"'"&amp;"!A:A"),结果表!B20,INDIRECT("'"&amp;C4&amp;"'"&amp;"!B:B"))</f>
        <v>13134</v>
      </c>
      <c r="D20" s="147">
        <f ca="1">SUMIF(INDIRECT("'"&amp;D4&amp;"'"&amp;"!A:A"),结果表!B20,INDIRECT("'"&amp;D4&amp;"'"&amp;"!B:B"))</f>
        <v>11442</v>
      </c>
      <c r="E20" s="2437"/>
      <c r="F20" s="1246" t="s">
        <v>2152</v>
      </c>
      <c r="G20" s="148">
        <f ca="1">ROUND(C20*$C$18+D20*$D$18,0)</f>
        <v>12288</v>
      </c>
      <c r="H20" s="979" t="s">
        <v>2153</v>
      </c>
      <c r="I20" s="138"/>
    </row>
    <row r="21" spans="1:35" ht="15" customHeight="1" thickBot="1">
      <c r="A21" s="999"/>
      <c r="B21" s="2438" t="s">
        <v>2154</v>
      </c>
      <c r="C21" s="789">
        <f ca="1">ROUND(C19*10000/L19,0)</f>
        <v>83509</v>
      </c>
      <c r="D21" s="790">
        <f ca="1">ROUND(D19*10000/L19,0)</f>
        <v>72751</v>
      </c>
      <c r="E21" s="999"/>
      <c r="F21" s="2438" t="s">
        <v>2154</v>
      </c>
      <c r="G21" s="149">
        <f ca="1">ROUND(G19*10000/L19,0)</f>
        <v>78130</v>
      </c>
      <c r="H21" s="2439" t="s">
        <v>2153</v>
      </c>
      <c r="I21" s="138"/>
    </row>
    <row r="22" spans="1:35" ht="15" thickBot="1">
      <c r="A22" s="2280" t="s">
        <v>2155</v>
      </c>
      <c r="B22" s="2440"/>
      <c r="C22" s="2441"/>
      <c r="D22" s="791">
        <f ca="1">IF(C19&lt;D19,D19/C19-1,C19/D19-1)</f>
        <v>0.14787483411675706</v>
      </c>
      <c r="E22" s="138"/>
      <c r="F22" s="138"/>
      <c r="G22" s="138"/>
      <c r="H22" s="138"/>
      <c r="I22" s="138"/>
    </row>
    <row r="23" spans="1:35" ht="13.5" thickBot="1">
      <c r="A23" s="2418"/>
      <c r="B23" s="2418"/>
      <c r="C23" s="2418"/>
      <c r="D23" s="2418"/>
      <c r="E23" s="138"/>
      <c r="F23" s="138"/>
      <c r="G23" s="138"/>
      <c r="H23" s="138"/>
      <c r="I23" s="138"/>
    </row>
    <row r="24" spans="1:35" ht="14.25">
      <c r="A24" s="3165" t="s">
        <v>2156</v>
      </c>
      <c r="B24" s="2435" t="s">
        <v>2148</v>
      </c>
      <c r="C24" s="145">
        <f>IF(B30=0,0,D30)</f>
        <v>0</v>
      </c>
      <c r="D24" s="2442"/>
      <c r="E24" s="138"/>
      <c r="F24" s="138"/>
      <c r="G24" s="138"/>
      <c r="H24" s="138"/>
      <c r="I24" s="138"/>
    </row>
    <row r="25" spans="1:35" ht="14.25">
      <c r="A25" s="3166"/>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173181</v>
      </c>
      <c r="D32" s="2449" t="s">
        <v>2163</v>
      </c>
      <c r="E32" s="138"/>
      <c r="F32" s="138"/>
      <c r="G32" s="138"/>
      <c r="H32" s="138"/>
      <c r="I32" s="138"/>
    </row>
    <row r="33" spans="1:15" ht="15">
      <c r="A33" s="956"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7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45" t="s">
        <v>2170</v>
      </c>
      <c r="B36" s="2461" t="s">
        <v>2171</v>
      </c>
      <c r="C36" s="154"/>
      <c r="D36" s="2462"/>
      <c r="E36" s="2463"/>
      <c r="F36" s="2464"/>
      <c r="G36" s="138"/>
      <c r="H36" s="138"/>
      <c r="I36" s="138"/>
    </row>
    <row r="37" spans="1:15" ht="15.75" thickBot="1">
      <c r="A37" s="3146"/>
      <c r="B37" s="2266" t="s">
        <v>2172</v>
      </c>
      <c r="C37" s="156"/>
      <c r="D37" s="1391"/>
      <c r="E37" s="1391"/>
      <c r="F37" s="2464"/>
      <c r="G37" s="138"/>
      <c r="H37" s="138"/>
      <c r="I37" s="138"/>
    </row>
    <row r="38" spans="1:15" ht="15.75" thickBot="1">
      <c r="A38" s="3147"/>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62" t="s">
        <v>2184</v>
      </c>
      <c r="B45" s="3163"/>
      <c r="C45" s="3164"/>
      <c r="D45" s="164">
        <f ca="1">ROUND(H101*F45,0)</f>
        <v>173181</v>
      </c>
      <c r="E45" s="165" t="s">
        <v>2185</v>
      </c>
      <c r="F45" s="166">
        <v>1</v>
      </c>
      <c r="G45" s="167" t="s">
        <v>2186</v>
      </c>
      <c r="H45" s="138"/>
      <c r="I45" s="138"/>
      <c r="J45" s="3081" t="s">
        <v>2187</v>
      </c>
      <c r="K45" s="3081"/>
      <c r="L45" s="3081"/>
      <c r="M45" s="3081"/>
      <c r="N45" s="3081"/>
      <c r="O45" s="3081"/>
    </row>
    <row r="46" spans="1:15" ht="14.25" customHeight="1">
      <c r="A46" s="3159" t="s">
        <v>2188</v>
      </c>
      <c r="B46" s="3160"/>
      <c r="C46" s="3160"/>
      <c r="D46" s="3160"/>
      <c r="E46" s="3160"/>
      <c r="F46" s="3160"/>
      <c r="G46" s="3161"/>
      <c r="H46" s="2480"/>
      <c r="I46" s="168"/>
      <c r="J46" s="1808">
        <v>1</v>
      </c>
      <c r="K46" s="3081" t="s">
        <v>2189</v>
      </c>
      <c r="L46" s="3081"/>
      <c r="M46" s="3082"/>
      <c r="N46" s="3082"/>
      <c r="O46" s="3082"/>
    </row>
    <row r="47" spans="1:15" ht="12" customHeight="1">
      <c r="A47" s="169" t="s">
        <v>2190</v>
      </c>
      <c r="B47" s="170"/>
      <c r="C47" s="171"/>
      <c r="D47" s="172" t="s">
        <v>2191</v>
      </c>
      <c r="E47" s="24" t="s">
        <v>2192</v>
      </c>
      <c r="F47" s="173" t="s">
        <v>2193</v>
      </c>
      <c r="G47" s="174" t="s">
        <v>2194</v>
      </c>
      <c r="H47" s="2480"/>
      <c r="I47" s="168"/>
      <c r="J47" s="1808">
        <v>2</v>
      </c>
      <c r="K47" s="3081" t="s">
        <v>2195</v>
      </c>
      <c r="L47" s="3081"/>
      <c r="M47" s="3083">
        <f>'数据-取费表'!B2</f>
        <v>43633</v>
      </c>
      <c r="N47" s="3083"/>
      <c r="O47" s="3083"/>
    </row>
    <row r="48" spans="1:15" ht="25.5">
      <c r="A48" s="3149" t="s">
        <v>2196</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081" t="s">
        <v>2199</v>
      </c>
      <c r="L48" s="3081"/>
      <c r="M48" s="3084">
        <f ca="1">H101</f>
        <v>173181</v>
      </c>
      <c r="N48" s="3084"/>
      <c r="O48" s="3084"/>
    </row>
    <row r="49" spans="1:35" ht="25.5" customHeight="1">
      <c r="A49" s="176" t="s">
        <v>2200</v>
      </c>
      <c r="B49" s="3129" t="s">
        <v>2201</v>
      </c>
      <c r="C49" s="3129"/>
      <c r="D49" s="177">
        <v>0</v>
      </c>
      <c r="E49" s="23" t="s">
        <v>2202</v>
      </c>
      <c r="F49" s="28" t="s">
        <v>34</v>
      </c>
      <c r="G49" s="3110"/>
      <c r="H49" s="138"/>
      <c r="I49" s="2483"/>
      <c r="J49" s="1808">
        <v>4</v>
      </c>
      <c r="K49" s="3081" t="str">
        <f>IF(项目基本情况!E8="房地产抵押价值","房地产抵押价值","抵押担保权已注销时的房地产抵押价值")</f>
        <v>房地产抵押价值</v>
      </c>
      <c r="L49" s="3081"/>
      <c r="M49" s="3084">
        <f ca="1">IF(项目基本情况!E8="房地产抵押价值",H107,H109)</f>
        <v>173181</v>
      </c>
      <c r="N49" s="3084"/>
      <c r="O49" s="3084"/>
    </row>
    <row r="50" spans="1:35" ht="25.5" customHeight="1">
      <c r="A50" s="178"/>
      <c r="B50" s="3129" t="s">
        <v>2203</v>
      </c>
      <c r="C50" s="3129"/>
      <c r="D50" s="179"/>
      <c r="E50" s="31"/>
      <c r="F50" s="180"/>
      <c r="G50" s="3111"/>
      <c r="H50" s="138"/>
      <c r="I50" s="2483"/>
      <c r="J50" s="3081" t="s">
        <v>2204</v>
      </c>
      <c r="K50" s="3081"/>
      <c r="L50" s="3081"/>
      <c r="M50" s="3081"/>
      <c r="N50" s="3081"/>
      <c r="O50" s="3081"/>
    </row>
    <row r="51" spans="1:35" ht="12" customHeight="1">
      <c r="A51" s="181"/>
      <c r="B51" s="3129" t="s">
        <v>2205</v>
      </c>
      <c r="C51" s="3129"/>
      <c r="D51" s="182"/>
      <c r="E51" s="30"/>
      <c r="F51" s="180"/>
      <c r="G51" s="3112"/>
      <c r="H51" s="138"/>
      <c r="I51" s="2483"/>
      <c r="J51" s="2484" t="s">
        <v>2206</v>
      </c>
      <c r="K51" s="3081" t="s">
        <v>2207</v>
      </c>
      <c r="L51" s="3081"/>
      <c r="M51" s="2484" t="s">
        <v>2208</v>
      </c>
      <c r="N51" s="2484" t="s">
        <v>2209</v>
      </c>
      <c r="O51" s="2484" t="s">
        <v>2210</v>
      </c>
    </row>
    <row r="52" spans="1:35" ht="24" customHeight="1">
      <c r="A52" s="183" t="s">
        <v>2211</v>
      </c>
      <c r="B52" s="3129" t="s">
        <v>2212</v>
      </c>
      <c r="C52" s="3129"/>
      <c r="D52" s="182">
        <f ca="1">ROUND(D45*'数据-取费表'!B41/(1+'数据-取费表'!C42),0)</f>
        <v>9236</v>
      </c>
      <c r="E52" s="11" t="s">
        <v>2213</v>
      </c>
      <c r="F52" s="184">
        <f>'数据-取费表'!B41</f>
        <v>5.6000000000000001E-2</v>
      </c>
      <c r="G52" s="2485"/>
      <c r="H52" s="138"/>
      <c r="I52" s="2483"/>
      <c r="J52" s="1808">
        <v>1</v>
      </c>
      <c r="K52" s="3104" t="s">
        <v>2214</v>
      </c>
      <c r="L52" s="3104"/>
      <c r="M52" s="1750">
        <f>D48</f>
        <v>0</v>
      </c>
      <c r="N52" s="1808" t="str">
        <f>E48</f>
        <v>销售额×税（费）率</v>
      </c>
      <c r="O52" s="1751" t="str">
        <f>F48</f>
        <v>免征</v>
      </c>
    </row>
    <row r="53" spans="1:35" ht="12" customHeight="1">
      <c r="A53" s="183" t="s">
        <v>2215</v>
      </c>
      <c r="B53" s="3130" t="s">
        <v>2216</v>
      </c>
      <c r="C53" s="3131"/>
      <c r="D53" s="182">
        <f ca="1">ROUND(D45*'数据-取费表'!B41/(1+'数据-取费表'!C42),0)</f>
        <v>9236</v>
      </c>
      <c r="E53" s="11" t="s">
        <v>2213</v>
      </c>
      <c r="F53" s="184">
        <f>'数据-取费表'!B41</f>
        <v>5.6000000000000001E-2</v>
      </c>
      <c r="G53" s="2485"/>
      <c r="H53" s="138"/>
      <c r="I53" s="2483"/>
      <c r="J53" s="1808">
        <v>2</v>
      </c>
      <c r="K53" s="3104" t="s">
        <v>2217</v>
      </c>
      <c r="L53" s="3104"/>
      <c r="M53" s="1750">
        <f t="shared" ref="M53:O54" ca="1" si="0">D55</f>
        <v>87</v>
      </c>
      <c r="N53" s="1808" t="str">
        <f t="shared" si="0"/>
        <v>销售额×税（费）率</v>
      </c>
      <c r="O53" s="1751">
        <f t="shared" si="0"/>
        <v>5.0000000000000001E-4</v>
      </c>
    </row>
    <row r="54" spans="1:35" ht="12" customHeight="1">
      <c r="A54" s="183" t="s">
        <v>2218</v>
      </c>
      <c r="B54" s="3130" t="s">
        <v>2219</v>
      </c>
      <c r="C54" s="3131"/>
      <c r="D54" s="182">
        <f ca="1">C68</f>
        <v>9236</v>
      </c>
      <c r="E54" s="30" t="s">
        <v>2220</v>
      </c>
      <c r="F54" s="184">
        <f>'数据-取费表'!B41</f>
        <v>5.6000000000000001E-2</v>
      </c>
      <c r="G54" s="2485"/>
      <c r="H54" s="2486"/>
      <c r="I54" s="2483"/>
      <c r="J54" s="1808">
        <v>3</v>
      </c>
      <c r="K54" s="3104" t="s">
        <v>2221</v>
      </c>
      <c r="L54" s="3104"/>
      <c r="M54" s="1750">
        <f t="shared" ca="1" si="0"/>
        <v>98020</v>
      </c>
      <c r="N54" s="1808" t="str">
        <f t="shared" si="0"/>
        <v>增值额×税（费）率</v>
      </c>
      <c r="O54" s="1752" t="str">
        <f t="shared" si="0"/>
        <v>——</v>
      </c>
    </row>
    <row r="55" spans="1:35" ht="24" customHeight="1">
      <c r="A55" s="3168" t="s">
        <v>2222</v>
      </c>
      <c r="B55" s="3150"/>
      <c r="C55" s="3150"/>
      <c r="D55" s="185">
        <f ca="1">IF(H55="个人住宅",0,ROUND(D45*I55,0))</f>
        <v>87</v>
      </c>
      <c r="E55" s="11" t="s">
        <v>2223</v>
      </c>
      <c r="F55" s="184">
        <f>IF(H55="正常",I55,"免征")</f>
        <v>5.0000000000000001E-4</v>
      </c>
      <c r="G55" s="2485"/>
      <c r="H55" s="2482" t="s">
        <v>2224</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2225</v>
      </c>
      <c r="B56" s="3150"/>
      <c r="C56" s="3150"/>
      <c r="D56" s="185">
        <f ca="1">IF(H56="个人住宅",D57,D58)</f>
        <v>98020</v>
      </c>
      <c r="E56" s="11" t="s">
        <v>2226</v>
      </c>
      <c r="F56" s="184" t="str">
        <f>IF(H56="正常",F58,"免征")</f>
        <v>——</v>
      </c>
      <c r="G56" s="2487" t="s">
        <v>2227</v>
      </c>
      <c r="H56" s="2488" t="s">
        <v>2224</v>
      </c>
      <c r="I56" s="2489"/>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2200</v>
      </c>
      <c r="B57" s="3135" t="s">
        <v>2228</v>
      </c>
      <c r="C57" s="3136"/>
      <c r="D57" s="187">
        <v>0</v>
      </c>
      <c r="E57" s="23" t="s">
        <v>2202</v>
      </c>
      <c r="F57" s="155"/>
      <c r="G57" s="2485"/>
      <c r="H57" s="2489"/>
      <c r="I57" s="2489"/>
      <c r="J57" s="3104">
        <f>IF(AND(J55="",J56=""),4,IF(项目基本情况!K6="上海银行",结果表!J56+1,结果表!J55+1))</f>
        <v>4</v>
      </c>
      <c r="K57" s="3104" t="s">
        <v>2229</v>
      </c>
      <c r="L57" s="2490" t="s">
        <v>2230</v>
      </c>
      <c r="M57" s="1755"/>
      <c r="N57" s="1756">
        <f ca="1">SUMIF(M52:M56,"&lt;9e307")</f>
        <v>98107</v>
      </c>
      <c r="O57" s="2491"/>
      <c r="P57" s="1749">
        <f ca="1">N57/M49</f>
        <v>0.56649978923784938</v>
      </c>
    </row>
    <row r="58" spans="1:35" ht="24.75">
      <c r="A58" s="183" t="s">
        <v>2211</v>
      </c>
      <c r="B58" s="3135" t="s">
        <v>2231</v>
      </c>
      <c r="C58" s="3148"/>
      <c r="D58" s="185">
        <f ca="1">IF(H58="转让取得",C81,C97)</f>
        <v>98020</v>
      </c>
      <c r="E58" s="11" t="s">
        <v>2226</v>
      </c>
      <c r="F58" s="24" t="s">
        <v>34</v>
      </c>
      <c r="G58" s="2485"/>
      <c r="H58" s="2488" t="s">
        <v>2232</v>
      </c>
      <c r="I58" s="2489"/>
      <c r="J58" s="3104"/>
      <c r="K58" s="3104"/>
      <c r="L58" s="2490" t="s">
        <v>2233</v>
      </c>
      <c r="M58" s="1757"/>
      <c r="N58" s="2492" t="str">
        <f ca="1">NUMBERSTRING(INT(N57*10000),2)&amp;"元整"</f>
        <v>玖亿捌仟壹佰零柒万元整</v>
      </c>
      <c r="O58" s="2493"/>
    </row>
    <row r="59" spans="1:35" ht="24.75" thickBot="1">
      <c r="A59" s="3108" t="s">
        <v>2234</v>
      </c>
      <c r="B59" s="3109"/>
      <c r="C59" s="310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06">
        <f>J57+1</f>
        <v>5</v>
      </c>
      <c r="K59" s="3104" t="s">
        <v>2236</v>
      </c>
      <c r="L59" s="1808" t="s">
        <v>2230</v>
      </c>
      <c r="M59" s="1758"/>
      <c r="N59" s="1759">
        <f ca="1">M49-N57</f>
        <v>75074</v>
      </c>
      <c r="O59" s="2495"/>
    </row>
    <row r="60" spans="1:35" ht="12" customHeight="1">
      <c r="A60" s="2496"/>
      <c r="B60" s="2418"/>
      <c r="C60" s="2418"/>
      <c r="D60" s="2418"/>
      <c r="E60" s="2166"/>
      <c r="F60" s="2489"/>
      <c r="G60" s="2489"/>
      <c r="H60" s="2497"/>
      <c r="I60" s="138"/>
      <c r="J60" s="3107"/>
      <c r="K60" s="3104"/>
      <c r="L60" s="2490" t="s">
        <v>2233</v>
      </c>
      <c r="M60" s="1757"/>
      <c r="N60" s="2492" t="str">
        <f ca="1">NUMBERSTRING(INT(N59*10000),2)&amp;"元整"</f>
        <v>柒亿伍仟零柒拾肆万元整</v>
      </c>
      <c r="O60" s="2493"/>
    </row>
    <row r="61" spans="1:35" ht="13.5" thickBot="1">
      <c r="A61" s="3167" t="s">
        <v>2237</v>
      </c>
      <c r="B61" s="3167"/>
      <c r="C61" s="3167"/>
      <c r="D61" s="3167"/>
      <c r="E61" s="3167"/>
      <c r="F61" s="2489"/>
      <c r="G61" s="2489"/>
      <c r="H61" s="2497"/>
      <c r="I61" s="138"/>
      <c r="J61" s="1808">
        <f>J59+1</f>
        <v>6</v>
      </c>
      <c r="K61" s="3104" t="s">
        <v>2238</v>
      </c>
      <c r="L61" s="3104"/>
      <c r="M61" s="1760"/>
      <c r="N61" s="1761">
        <f ca="1">ROUND(N59*10000/'数据-汇总表'!E3,0)</f>
        <v>5327</v>
      </c>
      <c r="O61" s="2498"/>
    </row>
    <row r="62" spans="1:35" ht="12.75">
      <c r="A62" s="3124" t="s">
        <v>2239</v>
      </c>
      <c r="B62" s="3125"/>
      <c r="C62" s="1800"/>
      <c r="D62" s="1800" t="s">
        <v>2240</v>
      </c>
      <c r="E62" s="192" t="s">
        <v>2241</v>
      </c>
      <c r="F62" s="2489"/>
      <c r="G62" s="2489"/>
      <c r="H62" s="2497"/>
      <c r="I62" s="138"/>
    </row>
    <row r="63" spans="1:35" ht="12.75">
      <c r="A63" s="203" t="s">
        <v>775</v>
      </c>
      <c r="B63" s="193" t="s">
        <v>2242</v>
      </c>
      <c r="C63" s="194">
        <f ca="1">ROUND((C64+C65)/(1+'数据-取费表'!C42),0)</f>
        <v>164934</v>
      </c>
      <c r="D63" s="195"/>
      <c r="E63" s="196"/>
      <c r="F63" s="2489"/>
      <c r="G63" s="2489"/>
      <c r="H63" s="2497"/>
      <c r="I63" s="138"/>
      <c r="J63" s="3089" t="s">
        <v>2243</v>
      </c>
      <c r="K63" s="2499" t="s">
        <v>2244</v>
      </c>
      <c r="L63" s="1748">
        <f ca="1">IF(M49&gt;10000,M49*0.5%,IF(AND(M49&gt;1000,M49&lt;=10000),M49*1%,IF(AND(M49&gt;100,M49&lt;=1000),M49*3%,IF(AND(M49&gt;10,M49&lt;=100),M49*5%,M49*8%))))</f>
        <v>865.90499999999997</v>
      </c>
      <c r="M63" s="24">
        <f ca="1">ROUND(L63,1)</f>
        <v>865.9</v>
      </c>
      <c r="Z63" s="2423"/>
      <c r="AI63" s="2424"/>
    </row>
    <row r="64" spans="1:35" ht="14.25" customHeight="1">
      <c r="A64" s="197" t="s">
        <v>770</v>
      </c>
      <c r="B64" s="198" t="s">
        <v>2245</v>
      </c>
      <c r="C64" s="199">
        <f ca="1">D45</f>
        <v>173181</v>
      </c>
      <c r="D64" s="200" t="s">
        <v>32</v>
      </c>
      <c r="E64" s="201"/>
      <c r="F64" s="2489"/>
      <c r="G64" s="2489"/>
      <c r="H64" s="2497"/>
      <c r="I64" s="138"/>
      <c r="J64" s="3089"/>
      <c r="K64" s="2499" t="s">
        <v>2246</v>
      </c>
      <c r="L64" s="1748">
        <f ca="1">IF(M49&gt;2000,M49*0.5%,IF(AND(M49&gt;1000,M49&lt;=2000),M49*0.6%,IF(AND(M49&gt;500,M49&lt;=1000),M49*0.7%,IF(AND(M49&gt;200,M49&lt;=500),M49*0.8%,IF(AND(M49&gt;100,M49&lt;=200),M49*0.9%,IF(AND(M49&gt;50,M49&lt;=100),M49*1%,IF(AND(M49&gt;20,M49&lt;=50),M49*1.5%,IF(AND(M49&gt;10,M49&lt;=20),M49*2%,IF(AND(M49&gt;1,M49&lt;=10),M49*2.5%)))))))))</f>
        <v>865.90499999999997</v>
      </c>
      <c r="M64" s="24">
        <f t="shared" ref="M64:M65" ca="1" si="1">ROUND(L64,1)</f>
        <v>865.9</v>
      </c>
      <c r="N64" s="138" t="s">
        <v>2247</v>
      </c>
      <c r="Z64" s="2423"/>
      <c r="AI64" s="2424"/>
    </row>
    <row r="65" spans="1:35" ht="14.25" customHeight="1">
      <c r="A65" s="197" t="s">
        <v>771</v>
      </c>
      <c r="B65" s="198" t="s">
        <v>2248</v>
      </c>
      <c r="C65" s="202"/>
      <c r="D65" s="200"/>
      <c r="E65" s="201"/>
      <c r="F65" s="2489"/>
      <c r="G65" s="2489"/>
      <c r="H65" s="2497"/>
      <c r="I65" s="138"/>
      <c r="J65" s="3089"/>
      <c r="K65" s="2499" t="s">
        <v>2249</v>
      </c>
      <c r="L65" s="1748">
        <f ca="1">IF(M49&gt;1000,M49*0.1%,IF(AND(M49&gt;500,M49&lt;=1000),M49*0.5%,IF(AND(M49&gt;50,M49&lt;=500),M49*1%,IF(AND(M49&gt;1,M49&lt;=50),M49*1.5%))))</f>
        <v>173.18100000000001</v>
      </c>
      <c r="M65" s="24">
        <f t="shared" ca="1" si="1"/>
        <v>173.2</v>
      </c>
      <c r="N65" s="138" t="s">
        <v>2247</v>
      </c>
      <c r="Z65" s="2423"/>
      <c r="AI65" s="2424"/>
    </row>
    <row r="66" spans="1:35" ht="14.25" customHeight="1">
      <c r="A66" s="203" t="s">
        <v>772</v>
      </c>
      <c r="B66" s="204" t="s">
        <v>2250</v>
      </c>
      <c r="C66" s="205"/>
      <c r="D66" s="206" t="s">
        <v>32</v>
      </c>
      <c r="E66" s="1772" t="s">
        <v>1367</v>
      </c>
      <c r="F66" s="2489"/>
      <c r="G66" s="2489"/>
      <c r="H66" s="2497"/>
      <c r="I66" s="138"/>
      <c r="J66" s="3089"/>
      <c r="K66" s="2499" t="s">
        <v>2251</v>
      </c>
      <c r="L66" s="1748">
        <f ca="1">M49*0.5%</f>
        <v>865.90499999999997</v>
      </c>
      <c r="M66" s="24">
        <f ca="1">IF(L66&gt;0.5,0.5,ROUND(L66,0))</f>
        <v>0.5</v>
      </c>
      <c r="N66" s="138" t="s">
        <v>2252</v>
      </c>
      <c r="Z66" s="2423"/>
      <c r="AI66" s="2424"/>
    </row>
    <row r="67" spans="1:35" ht="14.25" customHeight="1">
      <c r="A67" s="203" t="s">
        <v>773</v>
      </c>
      <c r="B67" s="204" t="s">
        <v>2253</v>
      </c>
      <c r="C67" s="207">
        <f ca="1">C63-C66</f>
        <v>164934</v>
      </c>
      <c r="D67" s="200" t="s">
        <v>32</v>
      </c>
      <c r="E67" s="201"/>
      <c r="F67" s="2489"/>
      <c r="G67" s="2489"/>
      <c r="H67" s="2497"/>
      <c r="I67" s="138"/>
      <c r="J67" s="3089"/>
      <c r="K67" s="2499" t="s">
        <v>2254</v>
      </c>
      <c r="L67" s="1748">
        <f ca="1">IF(M49&gt;=10000,(8.25+(M49-10000)*0.01%),IF(AND(M49&gt;=8000,M49&lt;10000),(7.85+(M49-8000)*0.02%),IF(AND(M49&gt;=5000,M49&lt;8000),(6.65+(M49-5000)*0.04%),IF(AND(M49&gt;=2000,M49&lt;5000),(4.25+(PM49-2000)*0.08%),IF(AND(M49&gt;=1000,M49&lt;2000),(2.75+(M49-1000)*0.15%),IF(AND(M49&gt;=100,M49&lt;1000),(0.5+(M49-100)*0.25%),IF(AND(M49&gt;0,M49&lt;100),M49*0.5%)))))))</f>
        <v>24.568100000000001</v>
      </c>
      <c r="M67" s="24">
        <f ca="1">ROUND(L67*0.9,1)</f>
        <v>22.1</v>
      </c>
      <c r="Z67" s="2423"/>
      <c r="AI67" s="2424"/>
    </row>
    <row r="68" spans="1:35" ht="14.25" customHeight="1" thickBot="1">
      <c r="A68" s="208" t="s">
        <v>774</v>
      </c>
      <c r="B68" s="209" t="s">
        <v>2255</v>
      </c>
      <c r="C68" s="210">
        <f ca="1">IF(C67&lt;=0,0,ROUND(C67*D68,0))</f>
        <v>9236</v>
      </c>
      <c r="D68" s="211">
        <f>'数据-取费表'!B41</f>
        <v>5.6000000000000001E-2</v>
      </c>
      <c r="E68" s="212"/>
      <c r="F68" s="2489"/>
      <c r="G68" s="2489"/>
      <c r="H68" s="2497"/>
      <c r="I68" s="138"/>
      <c r="J68" s="3089"/>
      <c r="K68" s="2499" t="s">
        <v>2256</v>
      </c>
      <c r="L68" s="1748">
        <f ca="1">IF(M49&gt;10000,M49*0.5%,IF(AND(M49&gt;5000,M49&lt;=10000),M49*1%,IF(AND(M49&gt;1000,M49&lt;=5000),M49*2%,IF(AND(M49&gt;200,M49&lt;=1000),M49*3%,M49*5%))))</f>
        <v>865.90499999999997</v>
      </c>
      <c r="M68" s="24">
        <f ca="1">ROUND(L68,1)</f>
        <v>865.9</v>
      </c>
      <c r="Z68" s="2423"/>
      <c r="AI68" s="2424"/>
    </row>
    <row r="69" spans="1:35" s="2446" customFormat="1" ht="16.5" customHeight="1">
      <c r="A69" s="2500"/>
      <c r="B69" s="2501"/>
      <c r="C69" s="2502"/>
      <c r="D69" s="2503"/>
      <c r="E69" s="2504"/>
      <c r="F69" s="2166"/>
      <c r="G69" s="2166"/>
      <c r="H69" s="2165"/>
      <c r="I69" s="2418"/>
      <c r="J69" s="3089"/>
      <c r="K69" s="2499" t="s">
        <v>2257</v>
      </c>
      <c r="L69" s="2505"/>
      <c r="M69" s="24">
        <f ca="1">ROUND(SUM(M63:M68),0)</f>
        <v>2794</v>
      </c>
      <c r="N69" s="1749">
        <f ca="1">M69/M49</f>
        <v>1.6133409554165874E-2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2258</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2239</v>
      </c>
      <c r="B71" s="3125"/>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164934</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990</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30" t="s">
        <v>2267</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990</v>
      </c>
      <c r="D78" s="226">
        <f>'数据-取费表'!B43</f>
        <v>6.000000000000001E-3</v>
      </c>
      <c r="E78" s="3121" t="s">
        <v>2272</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163944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98020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2276</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2239</v>
      </c>
      <c r="B84" s="3125"/>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164934</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990</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21" t="s">
        <v>2285</v>
      </c>
      <c r="F91" s="3122"/>
      <c r="G91" s="312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21" t="s">
        <v>2289</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990</v>
      </c>
      <c r="D93" s="226">
        <f>'数据-取费表'!B43</f>
        <v>6.000000000000001E-3</v>
      </c>
      <c r="E93" s="3121" t="s">
        <v>2272</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69" t="s">
        <v>2293</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163944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98020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3" t="s">
        <v>2295</v>
      </c>
      <c r="B100" s="3074"/>
      <c r="C100" s="3074"/>
      <c r="D100" s="3105"/>
      <c r="E100" s="3074" t="s">
        <v>2296</v>
      </c>
      <c r="F100" s="3074"/>
      <c r="G100" s="3074"/>
      <c r="H100" s="3105"/>
      <c r="I100" s="138"/>
    </row>
    <row r="101" spans="1:35" ht="18.75" customHeight="1">
      <c r="A101" s="3113" t="s">
        <v>2297</v>
      </c>
      <c r="B101" s="3114"/>
      <c r="C101" s="736" t="str">
        <f>C4</f>
        <v>成本法</v>
      </c>
      <c r="D101" s="737" t="str">
        <f>D4</f>
        <v>假设开发法</v>
      </c>
      <c r="E101" s="3085" t="s">
        <v>2298</v>
      </c>
      <c r="F101" s="3086"/>
      <c r="G101" s="2520" t="s">
        <v>2299</v>
      </c>
      <c r="H101" s="1044">
        <f ca="1">H118</f>
        <v>173181</v>
      </c>
      <c r="I101" s="138"/>
    </row>
    <row r="102" spans="1:35" ht="18.75" customHeight="1">
      <c r="A102" s="3115" t="s">
        <v>2300</v>
      </c>
      <c r="B102" s="2520" t="s">
        <v>2299</v>
      </c>
      <c r="C102" s="736">
        <f ca="1">C19</f>
        <v>185104</v>
      </c>
      <c r="D102" s="737">
        <f ca="1">D19</f>
        <v>161258</v>
      </c>
      <c r="E102" s="3085"/>
      <c r="F102" s="3086"/>
      <c r="G102" s="2520" t="s">
        <v>2301</v>
      </c>
      <c r="H102" s="371">
        <f ca="1">I118</f>
        <v>12288</v>
      </c>
      <c r="I102" s="138"/>
    </row>
    <row r="103" spans="1:35" ht="42.75" customHeight="1">
      <c r="A103" s="3115"/>
      <c r="B103" s="2520" t="s">
        <v>2301</v>
      </c>
      <c r="C103" s="738">
        <f ca="1">C20</f>
        <v>13134</v>
      </c>
      <c r="D103" s="739">
        <f ca="1">D20</f>
        <v>11442</v>
      </c>
      <c r="E103" s="3079" t="s">
        <v>2302</v>
      </c>
      <c r="F103" s="3080"/>
      <c r="G103" s="2521" t="s">
        <v>2303</v>
      </c>
      <c r="H103" s="1044">
        <f>IF(D36="正常操作",H104+H105+H106,H105+H106)</f>
        <v>0</v>
      </c>
      <c r="I103" s="138"/>
    </row>
    <row r="104" spans="1:35" ht="18.75" customHeight="1">
      <c r="A104" s="3115" t="s">
        <v>2304</v>
      </c>
      <c r="B104" s="2522" t="s">
        <v>2299</v>
      </c>
      <c r="C104" s="740">
        <f ca="1">H118</f>
        <v>173181</v>
      </c>
      <c r="D104" s="741"/>
      <c r="E104" s="2266" t="s">
        <v>2305</v>
      </c>
      <c r="F104" s="2258"/>
      <c r="G104" s="2521" t="s">
        <v>2303</v>
      </c>
      <c r="H104" s="1045">
        <f>IF(D36="同一抵押权人同一抵押物续贷",C36&amp;"（未扣减，详见特别提示）",C36)</f>
        <v>0</v>
      </c>
      <c r="I104" s="138"/>
    </row>
    <row r="105" spans="1:35" ht="18.75" customHeight="1" thickBot="1">
      <c r="A105" s="3127"/>
      <c r="B105" s="2523" t="s">
        <v>2301</v>
      </c>
      <c r="C105" s="742">
        <f ca="1">I118</f>
        <v>12288</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6" t="str">
        <f>IF(项目基本情况!E8="已注销","——","3.房地产抵押价值")</f>
        <v>3.房地产抵押价值</v>
      </c>
      <c r="F107" s="3086"/>
      <c r="G107" s="2520" t="s">
        <v>2299</v>
      </c>
      <c r="H107" s="1044">
        <f ca="1">IF(E107="——","——",H101-H103)</f>
        <v>173181</v>
      </c>
      <c r="I107" s="138"/>
    </row>
    <row r="108" spans="1:35" ht="18.75" customHeight="1">
      <c r="A108" s="138"/>
      <c r="B108" s="138"/>
      <c r="C108" s="138"/>
      <c r="D108" s="138"/>
      <c r="E108" s="3116"/>
      <c r="F108" s="3086"/>
      <c r="G108" s="2520" t="s">
        <v>2301</v>
      </c>
      <c r="H108" s="371">
        <f ca="1">ROUND(H107*10000/'数据-汇总表'!E3,0)</f>
        <v>12288</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2299</v>
      </c>
      <c r="H109" s="348" t="str">
        <f>IF(E109="——","——",H101-H105-H106)</f>
        <v>——</v>
      </c>
      <c r="I109" s="138"/>
    </row>
    <row r="110" spans="1:35" ht="18.75" customHeight="1">
      <c r="A110" s="138"/>
      <c r="B110" s="138"/>
      <c r="C110" s="138"/>
      <c r="D110" s="138"/>
      <c r="E110" s="3116"/>
      <c r="F110" s="3086"/>
      <c r="G110" s="2520" t="s">
        <v>2301</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2299</v>
      </c>
      <c r="H111" s="1044" t="str">
        <f>IF(E111="——","——",N59)</f>
        <v>——</v>
      </c>
      <c r="I111" s="138"/>
    </row>
    <row r="112" spans="1:35" ht="18.75" customHeight="1" thickBot="1">
      <c r="A112" s="138"/>
      <c r="B112" s="138"/>
      <c r="C112" s="138"/>
      <c r="D112" s="138"/>
      <c r="E112" s="3119"/>
      <c r="F112" s="3120"/>
      <c r="G112" s="2525" t="s">
        <v>2301</v>
      </c>
      <c r="H112" s="790" t="str">
        <f>IF(E111="——","——",N61)</f>
        <v>——</v>
      </c>
      <c r="I112" s="138"/>
    </row>
    <row r="113" spans="1:11" ht="18.75" customHeight="1">
      <c r="A113" s="138"/>
      <c r="B113" s="138"/>
      <c r="C113" s="138"/>
      <c r="D113" s="138"/>
      <c r="E113" s="3128" t="s">
        <v>2307</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2309</v>
      </c>
      <c r="B115" s="3142"/>
      <c r="C115" s="3142"/>
      <c r="D115" s="3142"/>
      <c r="E115" s="3142"/>
      <c r="F115" s="3142"/>
      <c r="G115" s="3142"/>
      <c r="H115" s="3142"/>
      <c r="I115" s="3143"/>
    </row>
    <row r="116" spans="1:11" ht="27" customHeight="1">
      <c r="A116" s="3052" t="s">
        <v>2310</v>
      </c>
      <c r="B116" s="3095" t="s">
        <v>2311</v>
      </c>
      <c r="C116" s="3095" t="s">
        <v>2312</v>
      </c>
      <c r="D116" s="3101" t="s">
        <v>2313</v>
      </c>
      <c r="E116" s="3102"/>
      <c r="F116" s="3137" t="s">
        <v>2314</v>
      </c>
      <c r="G116" s="3137"/>
      <c r="H116" s="3052" t="s">
        <v>2315</v>
      </c>
      <c r="I116" s="3052"/>
    </row>
    <row r="117" spans="1:11" ht="18.75" customHeight="1">
      <c r="A117" s="3052"/>
      <c r="B117" s="3096"/>
      <c r="C117" s="3096"/>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140932.81</v>
      </c>
      <c r="C118" s="1794">
        <f>M19</f>
        <v>22165.75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173181</v>
      </c>
      <c r="I118" s="1794">
        <f ca="1">ROUND(IF(D32="楼面单价",C32,H118*10000/B118),0)</f>
        <v>12288</v>
      </c>
    </row>
    <row r="119" spans="1:11" ht="18.75" customHeight="1">
      <c r="A119" s="3052" t="s">
        <v>2319</v>
      </c>
      <c r="B119" s="3052"/>
      <c r="C119" s="3052"/>
      <c r="D119" s="3097" t="e">
        <f ca="1">NUMBERSTRING(INT(D118*10000),2)&amp;"元整"</f>
        <v>#REF!</v>
      </c>
      <c r="E119" s="3098"/>
      <c r="F119" s="3097" t="e">
        <f ca="1">NUMBERSTRING(INT(F118*10000),2)&amp;"元整"</f>
        <v>#REF!</v>
      </c>
      <c r="G119" s="3098"/>
      <c r="H119" s="3097" t="str">
        <f ca="1">NUMBERSTRING(INT(H118*10000),2)&amp;"元整"</f>
        <v>壹拾柒亿叁仟壹佰捌拾壹万元整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2319</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173181</v>
      </c>
      <c r="E122" s="3093"/>
      <c r="F122" s="3093"/>
      <c r="G122" s="3093"/>
      <c r="H122" s="3093"/>
      <c r="I122" s="3094"/>
    </row>
    <row r="123" spans="1:11" ht="18.75" customHeight="1">
      <c r="A123" s="3052" t="s">
        <v>2319</v>
      </c>
      <c r="B123" s="3052"/>
      <c r="C123" s="3052"/>
      <c r="D123" s="3097" t="str">
        <f ca="1">NUMBERSTRING(INT(D122*10000),2)&amp;"元整"</f>
        <v>壹拾柒亿叁仟壹佰捌拾壹万元整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2319</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2319</v>
      </c>
      <c r="B127" s="3052"/>
      <c r="C127" s="3052"/>
      <c r="D127" s="3097" t="e">
        <f>NUMBERSTRING(INT(D126*10000),2)&amp;"元整"</f>
        <v>#VALUE!</v>
      </c>
      <c r="E127" s="3099"/>
      <c r="F127" s="3099"/>
      <c r="G127" s="3099"/>
      <c r="H127" s="3099"/>
      <c r="I127" s="3098"/>
    </row>
    <row r="128" spans="1:11" ht="21.75" customHeight="1">
      <c r="A128" s="3100" t="s">
        <v>2320</v>
      </c>
      <c r="B128" s="3100"/>
      <c r="C128" s="3100"/>
      <c r="D128" s="3100"/>
      <c r="E128" s="3100"/>
      <c r="F128" s="3100"/>
      <c r="G128" s="3100"/>
      <c r="H128" s="3100"/>
      <c r="I128" s="310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8">
        <f>MATCH(B1,'数据-取费表'!A6:A16,0)+5</f>
        <v>12</v>
      </c>
      <c r="H1" s="1281" t="str">
        <f>IF(ISERROR(FIND("住宅",B1)),"非住宅","住宅")</f>
        <v>非住宅</v>
      </c>
    </row>
    <row r="2" spans="1:8" s="244" customFormat="1" ht="18" customHeight="1">
      <c r="A2" s="245" t="s">
        <v>2329</v>
      </c>
      <c r="B2" s="246">
        <f ca="1">ROUND(IF(D2="——",C52/10000,C52/10000-E2),0)</f>
        <v>77478</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5498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28186562</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28186562</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28186562</v>
      </c>
      <c r="D10" s="1031">
        <f ca="1">IF(B1="",'数据-汇总表'!E6,IF(INDIRECT("'数据-取费表'!c"&amp;$G$1)="住宅",INDIRECT("'数据-取费表'!s"&amp;$G$1),INDIRECT("'数据-取费表'!k"&amp;$G$1)+INDIRECT("'数据-取费表'!s"&amp;$G$1)))</f>
        <v>140932.81</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14093281</v>
      </c>
      <c r="D19" s="1035">
        <f ca="1">D9+D10</f>
        <v>140932.81</v>
      </c>
      <c r="E19" s="255">
        <f>'数据-取费表'!B31</f>
        <v>100</v>
      </c>
      <c r="F19" s="275"/>
      <c r="G19" s="2552"/>
    </row>
    <row r="20" spans="1:7" s="258" customFormat="1" ht="13.5" customHeight="1">
      <c r="A20" s="299" t="s">
        <v>2441</v>
      </c>
      <c r="B20" s="254" t="s">
        <v>2442</v>
      </c>
      <c r="C20" s="276">
        <f ca="1">ROUND((C5+C19)*F20,0)</f>
        <v>845597</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5251505</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3467335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1733668</v>
      </c>
      <c r="D24" s="282"/>
      <c r="E24" s="282"/>
      <c r="F24" s="283"/>
      <c r="G24" s="284" t="s">
        <v>2453</v>
      </c>
    </row>
    <row r="25" spans="1:7" s="258" customFormat="1" ht="24">
      <c r="A25" s="950" t="s">
        <v>2343</v>
      </c>
      <c r="B25" s="259" t="s">
        <v>2454</v>
      </c>
      <c r="C25" s="1380">
        <f ca="1">ROUND(IF('数据-取费表'!B22&lt;=1,C20*F22*'数据-取费表'!B22/2,C20*(POWER((1+F22),'数据-取费表'!B22/2)-1)),0)</f>
        <v>50502</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7331325</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7331325</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60017529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528923380</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479173988</v>
      </c>
      <c r="D34" s="261"/>
      <c r="E34" s="264"/>
      <c r="F34" s="301"/>
      <c r="G34" s="263"/>
    </row>
    <row r="35" spans="1:7" ht="13.5" customHeight="1">
      <c r="A35" s="950" t="s">
        <v>796</v>
      </c>
      <c r="B35" s="259" t="s">
        <v>2394</v>
      </c>
      <c r="C35" s="264">
        <f ca="1">ROUND(C34*F35,0)</f>
        <v>14375220</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28186562</v>
      </c>
      <c r="D37" s="261">
        <f ca="1">D19</f>
        <v>140932.81</v>
      </c>
      <c r="E37" s="293">
        <f>'数据-取费表'!B35</f>
        <v>200</v>
      </c>
      <c r="F37" s="303"/>
      <c r="G37" s="305"/>
    </row>
    <row r="38" spans="1:7" ht="13.5" customHeight="1">
      <c r="A38" s="950" t="s">
        <v>799</v>
      </c>
      <c r="B38" s="259" t="s">
        <v>2400</v>
      </c>
      <c r="C38" s="264">
        <f ca="1">ROUND(C34*F38,0)</f>
        <v>7187610</v>
      </c>
      <c r="D38" s="264"/>
      <c r="E38" s="264"/>
      <c r="F38" s="303">
        <f>'数据-取费表'!B36</f>
        <v>1.4999999999999999E-2</v>
      </c>
      <c r="G38" s="263" t="s">
        <v>2395</v>
      </c>
    </row>
    <row r="39" spans="1:7" s="258" customFormat="1" ht="13.5" customHeight="1">
      <c r="A39" s="299" t="s">
        <v>2401</v>
      </c>
      <c r="B39" s="254" t="s">
        <v>2402</v>
      </c>
      <c r="C39" s="276">
        <f ca="1">ROUND(C33*F20,0)</f>
        <v>10578468</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32220904</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31589122</v>
      </c>
      <c r="D42" s="282"/>
      <c r="E42" s="282"/>
      <c r="F42" s="283"/>
      <c r="G42" s="3172" t="s">
        <v>2458</v>
      </c>
    </row>
    <row r="43" spans="1:7" ht="13.5" customHeight="1">
      <c r="A43" s="950" t="s">
        <v>792</v>
      </c>
      <c r="B43" s="259" t="s">
        <v>2412</v>
      </c>
      <c r="C43" s="282">
        <f ca="1">ROUND(IF('数据-取费表'!B22&lt;=1,C39*F22*'数据-取费表'!B20/2,C39*(POWER((1+F22),'数据-取费表'!B20/2)-1)),0)</f>
        <v>631782</v>
      </c>
      <c r="D43" s="282"/>
      <c r="E43" s="282"/>
      <c r="F43" s="283"/>
      <c r="G43" s="3173"/>
    </row>
    <row r="44" spans="1:7" ht="13.5" customHeight="1">
      <c r="A44" s="950" t="s">
        <v>793</v>
      </c>
      <c r="B44" s="259" t="s">
        <v>2413</v>
      </c>
      <c r="C44" s="282">
        <f ca="1">ROUND(IF('数据-取费表'!B22&lt;=1,C40*F22*'数据-取费表'!B20/2,C40*(POWER((1+F22),'数据-取费表'!B20/2)-1)),4)</f>
        <v>8.9999999999999998E-4</v>
      </c>
      <c r="D44" s="282"/>
      <c r="E44" s="282"/>
      <c r="F44" s="283"/>
      <c r="G44" s="3174"/>
    </row>
    <row r="45" spans="1:7" s="258" customFormat="1" ht="13.5" customHeight="1">
      <c r="A45" s="299" t="s">
        <v>2414</v>
      </c>
      <c r="B45" s="288" t="s">
        <v>2380</v>
      </c>
      <c r="C45" s="289">
        <f ca="1">C46</f>
        <v>91715314</v>
      </c>
      <c r="D45" s="279">
        <f ca="1">C47</f>
        <v>2.5999999999999999E-3</v>
      </c>
      <c r="E45" s="280" t="s">
        <v>2406</v>
      </c>
      <c r="F45" s="290"/>
      <c r="G45" s="291" t="s">
        <v>2415</v>
      </c>
    </row>
    <row r="46" spans="1:7" s="258" customFormat="1" ht="13.5" customHeight="1">
      <c r="A46" s="950" t="s">
        <v>791</v>
      </c>
      <c r="B46" s="292" t="s">
        <v>2416</v>
      </c>
      <c r="C46" s="293">
        <f ca="1">ROUND((C33+C39)*F27,0)</f>
        <v>91715314</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714757666</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714757666</v>
      </c>
      <c r="D51" s="276"/>
      <c r="E51" s="276"/>
      <c r="F51" s="308"/>
      <c r="G51" s="278" t="s">
        <v>2427</v>
      </c>
    </row>
    <row r="52" spans="1:7" s="252" customFormat="1" ht="16.5" thickBot="1">
      <c r="A52" s="309" t="s">
        <v>2428</v>
      </c>
      <c r="B52" s="310"/>
      <c r="C52" s="311">
        <f ca="1">C31+C51</f>
        <v>774775195</v>
      </c>
      <c r="D52" s="310"/>
      <c r="E52" s="310"/>
      <c r="F52" s="310"/>
      <c r="G52" s="312"/>
    </row>
    <row r="55" spans="1:7" ht="15">
      <c r="B55" s="314" t="s">
        <v>2429</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北京市出让国有建设用地使用权及在建建筑物房地产抵押价值预评估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10" sqref="J10"/>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80"/>
      <c r="C1" s="1581"/>
      <c r="D1" s="1579"/>
      <c r="E1" s="320"/>
      <c r="F1" s="320"/>
      <c r="G1" s="1580"/>
      <c r="H1" s="320"/>
      <c r="I1" s="320"/>
      <c r="J1" s="320"/>
      <c r="K1" s="320">
        <f>MATCH(C1,'数据-取费表'!A6:A16,0)+5</f>
        <v>12</v>
      </c>
    </row>
    <row r="2" spans="1:33" ht="18" customHeight="1">
      <c r="A2" s="245" t="s">
        <v>2329</v>
      </c>
      <c r="B2" s="248">
        <f ca="1">C32</f>
        <v>161258</v>
      </c>
      <c r="C2" s="320" t="s">
        <v>2462</v>
      </c>
      <c r="D2" s="320"/>
      <c r="E2" s="320"/>
      <c r="F2" s="320"/>
      <c r="G2" s="320"/>
      <c r="H2" s="320"/>
      <c r="I2" s="320"/>
      <c r="J2" s="320"/>
      <c r="K2" s="320"/>
    </row>
    <row r="3" spans="1:33" ht="18" customHeight="1" thickBot="1">
      <c r="A3" s="247" t="s">
        <v>2331</v>
      </c>
      <c r="B3" s="248">
        <f ca="1">ROUND(B2*10000/IF(C1="",'数据-汇总表'!E3,INDIRECT("'数据-取费表'!K"&amp;$K$1)),0)</f>
        <v>11442</v>
      </c>
      <c r="C3" s="320" t="s">
        <v>2463</v>
      </c>
      <c r="D3" s="320"/>
      <c r="E3" s="320"/>
      <c r="F3" s="320"/>
      <c r="G3" s="320"/>
      <c r="H3" s="320"/>
      <c r="I3" s="320"/>
      <c r="J3" s="320"/>
      <c r="K3" s="320"/>
    </row>
    <row r="4" spans="1:33" s="955" customFormat="1" ht="16.5" customHeight="1">
      <c r="A4" s="952" t="s">
        <v>2464</v>
      </c>
      <c r="B4" s="953"/>
      <c r="C4" s="995">
        <f ca="1">SUM(C8:K8)</f>
        <v>276276.96771499998</v>
      </c>
      <c r="D4" s="953"/>
      <c r="E4" s="953"/>
      <c r="F4" s="953"/>
      <c r="G4" s="953"/>
      <c r="H4" s="953"/>
      <c r="I4" s="953"/>
      <c r="J4" s="953"/>
      <c r="K4" s="954"/>
    </row>
    <row r="5" spans="1:33" s="959" customFormat="1" ht="15">
      <c r="A5" s="956" t="s">
        <v>2465</v>
      </c>
      <c r="B5" s="957" t="s">
        <v>2466</v>
      </c>
      <c r="C5" s="2556" t="s">
        <v>27</v>
      </c>
      <c r="D5" s="2556" t="s">
        <v>3072</v>
      </c>
      <c r="E5" s="2556" t="s">
        <v>3100</v>
      </c>
      <c r="F5" s="2556" t="s">
        <v>3101</v>
      </c>
      <c r="G5" s="2556" t="s">
        <v>3102</v>
      </c>
      <c r="H5" s="2556" t="s">
        <v>3117</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26382</v>
      </c>
      <c r="D6" s="961">
        <f ca="1">收益法公寓!B3</f>
        <v>28489</v>
      </c>
      <c r="E6" s="961">
        <f ca="1">收益法地上商业!B3</f>
        <v>18592</v>
      </c>
      <c r="F6" s="961">
        <f ca="1">收益法地下商业!B3</f>
        <v>13583</v>
      </c>
      <c r="G6" s="961">
        <f ca="1">收益法车库!B3</f>
        <v>1081</v>
      </c>
      <c r="H6" s="961">
        <f ca="1">收益法库房!B3</f>
        <v>3672</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141978.083514</v>
      </c>
      <c r="D8" s="996">
        <f ca="1">D6*D7/10000</f>
        <v>47941.26071100001</v>
      </c>
      <c r="E8" s="996">
        <f ca="1">E6*E7/10000</f>
        <v>72683.081407999998</v>
      </c>
      <c r="F8" s="997">
        <f ca="1">F6*F7/10000</f>
        <v>12848.349861999999</v>
      </c>
      <c r="G8" s="997">
        <f ca="1">G7*G6/10000</f>
        <v>348.13821200000001</v>
      </c>
      <c r="H8" s="997">
        <f ca="1">H6*H7/10000</f>
        <v>478.05400800000001</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36418</v>
      </c>
      <c r="D11" s="972"/>
      <c r="E11" s="375"/>
      <c r="F11" s="973">
        <f ca="1">1-IF('数据-取费表'!B24=0,1,IF(C1="",'数据-取费表'!N16,INDIRECT("'数据-取费表'!n"&amp;$K$1)))</f>
        <v>0.76</v>
      </c>
      <c r="G11" s="8"/>
      <c r="H11" s="967"/>
      <c r="I11" s="967"/>
      <c r="J11" s="967"/>
      <c r="K11" s="968"/>
    </row>
    <row r="12" spans="1:33" s="974" customFormat="1" ht="13.5" customHeight="1">
      <c r="A12" s="970" t="s">
        <v>1331</v>
      </c>
      <c r="B12" s="971" t="s">
        <v>2480</v>
      </c>
      <c r="C12" s="24">
        <f ca="1">ROUND(C11*F12,0)</f>
        <v>1093</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2142</v>
      </c>
      <c r="D14" s="1032">
        <f ca="1">IF(C1="",'数据-汇总表'!E3,INDIRECT("'数据-取费表'!K"&amp;$K$1)+INDIRECT("'数据-取费表'!S"&amp;$K$1))</f>
        <v>140932.81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546</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40199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1409</v>
      </c>
      <c r="D17" s="1032">
        <f ca="1">D14</f>
        <v>140932.81</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2819</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2819</v>
      </c>
      <c r="D20" s="1032">
        <f ca="1">IF(C1="",'数据-汇总表'!E6,IF(INDIRECT("'数据-取费表'!c"&amp;$K$1)="住宅",INDIRECT("'数据-取费表'!s"&amp;$K$1),INDIRECT("'数据-取费表'!k"&amp;$K$1)+INDIRECT("'数据-取费表'!s"&amp;$K$1)))</f>
        <v>140932.81</v>
      </c>
      <c r="E20" s="24">
        <f>'数据-取费表'!B28</f>
        <v>200</v>
      </c>
      <c r="F20" s="975"/>
      <c r="G20" s="15"/>
      <c r="H20" s="980"/>
      <c r="I20" s="980"/>
      <c r="J20" s="980"/>
      <c r="K20" s="981"/>
    </row>
    <row r="21" spans="1:33" s="974" customFormat="1" ht="13.5" customHeight="1">
      <c r="A21" s="960" t="s">
        <v>802</v>
      </c>
      <c r="B21" s="984" t="s">
        <v>2495</v>
      </c>
      <c r="C21" s="985">
        <f ca="1">C16+C17+C18</f>
        <v>44427</v>
      </c>
      <c r="D21" s="986"/>
      <c r="E21" s="325"/>
      <c r="F21" s="325"/>
      <c r="G21" s="140" t="s">
        <v>2496</v>
      </c>
      <c r="H21" s="978"/>
      <c r="I21" s="978"/>
      <c r="J21" s="978"/>
      <c r="K21" s="979"/>
    </row>
    <row r="22" spans="1:33" s="974" customFormat="1" ht="13.5" customHeight="1">
      <c r="A22" s="960" t="s">
        <v>2468</v>
      </c>
      <c r="B22" s="984" t="s">
        <v>2497</v>
      </c>
      <c r="C22" s="985">
        <f ca="1">ROUND(C21*F22,0)</f>
        <v>889</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3150</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2184</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2184</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8239</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8239</v>
      </c>
      <c r="D30" s="328"/>
      <c r="E30" s="329"/>
      <c r="F30" s="334"/>
      <c r="G30" s="140"/>
      <c r="H30" s="978"/>
      <c r="I30" s="978"/>
      <c r="J30" s="978"/>
      <c r="K30" s="979"/>
    </row>
    <row r="31" spans="1:33" s="974" customFormat="1" ht="13.5" customHeight="1" thickBot="1">
      <c r="A31" s="2562" t="s">
        <v>2513</v>
      </c>
      <c r="B31" s="1004" t="s">
        <v>2514</v>
      </c>
      <c r="C31" s="1005">
        <f ca="1">ROUND(C4*F31/(1+'数据-取费表'!C42),0)</f>
        <v>14735</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161258</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3095</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141978</v>
      </c>
      <c r="C2" s="1844" t="s">
        <v>1512</v>
      </c>
      <c r="D2" s="1844"/>
      <c r="E2" s="1845"/>
      <c r="F2" s="1846"/>
      <c r="G2" s="1847"/>
      <c r="H2" s="1839"/>
      <c r="I2" s="1839"/>
      <c r="J2" s="1839"/>
      <c r="K2" s="1840"/>
      <c r="L2" s="1839"/>
      <c r="M2" s="1839"/>
    </row>
    <row r="3" spans="1:37" ht="18" customHeight="1" thickBot="1">
      <c r="A3" s="1848" t="s">
        <v>1513</v>
      </c>
      <c r="B3" s="1849">
        <f ca="1">IF(ISERROR(B2*10000/F43),0,ROUND(B2*10000/F43,0))</f>
        <v>26382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9183</v>
      </c>
      <c r="D6" s="164" t="s">
        <v>3030</v>
      </c>
      <c r="E6" s="347" t="s">
        <v>1401</v>
      </c>
      <c r="F6" s="348">
        <f ca="1">INDIRECT("'数据-取费表'!u"&amp;$G$1)</f>
        <v>5.5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53816.27</v>
      </c>
      <c r="G7" s="1850"/>
      <c r="H7" s="349"/>
      <c r="I7" s="3178"/>
      <c r="J7" s="351"/>
      <c r="K7" s="352"/>
      <c r="L7" s="347" t="s">
        <v>1402</v>
      </c>
      <c r="M7" s="348">
        <f ca="1">F7</f>
        <v>53816.27</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29869</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20334</v>
      </c>
      <c r="D14" s="1799" t="s">
        <v>1414</v>
      </c>
      <c r="E14" s="1793"/>
      <c r="F14" s="364"/>
      <c r="G14" s="1850"/>
      <c r="H14" s="1200" t="s">
        <v>1032</v>
      </c>
      <c r="I14" s="347" t="s">
        <v>1415</v>
      </c>
      <c r="J14" s="24">
        <f ca="1">C29</f>
        <v>29869</v>
      </c>
      <c r="K14" s="15"/>
      <c r="L14" s="978"/>
      <c r="M14" s="979"/>
    </row>
    <row r="15" spans="1:37" s="1857" customFormat="1" ht="18" customHeight="1" thickBot="1">
      <c r="A15" s="1200" t="s">
        <v>1033</v>
      </c>
      <c r="B15" s="347" t="s">
        <v>1416</v>
      </c>
      <c r="C15" s="24">
        <f ca="1">ROUND(C14*F15,0)</f>
        <v>610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711</v>
      </c>
      <c r="K16" s="1336" t="s">
        <v>1421</v>
      </c>
      <c r="L16" s="1337"/>
      <c r="M16" s="1293"/>
    </row>
    <row r="17" spans="1:37" s="1857" customFormat="1" ht="18" customHeight="1">
      <c r="A17" s="1200" t="s">
        <v>1386</v>
      </c>
      <c r="B17" s="347" t="s">
        <v>1422</v>
      </c>
      <c r="C17" s="24">
        <f ca="1">ROUND(F17*(F43+INDIRECT("'数据-取费表'!S"&amp;$G$1))/10000,0)</f>
        <v>1226</v>
      </c>
      <c r="D17" s="347" t="s">
        <v>1423</v>
      </c>
      <c r="E17" s="347" t="s">
        <v>1424</v>
      </c>
      <c r="F17" s="26">
        <f>'数据-取费表'!B35</f>
        <v>200</v>
      </c>
      <c r="G17" s="1853"/>
      <c r="H17" s="1200" t="s">
        <v>1032</v>
      </c>
      <c r="I17" s="347" t="s">
        <v>1425</v>
      </c>
      <c r="J17" s="24">
        <f ca="1">ROUND(IF(项目基本情况!B11="自然人",J5*M17,J18+J19+J20),1)</f>
        <v>262.5</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305</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22475</v>
      </c>
      <c r="D19" s="140" t="s">
        <v>1432</v>
      </c>
      <c r="E19" s="1817"/>
      <c r="F19" s="26"/>
      <c r="G19" s="1850"/>
      <c r="H19" s="1200" t="s">
        <v>1033</v>
      </c>
      <c r="I19" s="347" t="s">
        <v>1433</v>
      </c>
      <c r="J19" s="24">
        <f ca="1">IF(K19="按租金收入计税",ROUND(J5*M19,2),ROUND(C29*M19*0.7,2))</f>
        <v>250.9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450</v>
      </c>
      <c r="D20" s="369" t="s">
        <v>1436</v>
      </c>
      <c r="E20" s="347" t="s">
        <v>1418</v>
      </c>
      <c r="F20" s="367">
        <f>'数据-取费表'!B37</f>
        <v>0.02</v>
      </c>
      <c r="G20" s="1853"/>
      <c r="H20" s="1200" t="s">
        <v>1385</v>
      </c>
      <c r="I20" s="164" t="s">
        <v>1437</v>
      </c>
      <c r="J20" s="25">
        <f ca="1">ROUND(M20*M21/10000,2)</f>
        <v>11.57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9641.7900000000009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448</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1369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-711</v>
      </c>
      <c r="K25" s="1344" t="s">
        <v>1460</v>
      </c>
      <c r="L25" s="1345"/>
      <c r="M25" s="1346"/>
    </row>
    <row r="26" spans="1:37">
      <c r="A26" s="1200" t="s">
        <v>1031</v>
      </c>
      <c r="B26" s="347" t="s">
        <v>1461</v>
      </c>
      <c r="C26" s="24">
        <f ca="1">ROUND((C19+C20)*F26,0)</f>
        <v>3439</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29869</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2188</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9641.7900000000009</v>
      </c>
      <c r="G35" s="1850"/>
      <c r="H35" s="745"/>
      <c r="I35" s="1859"/>
      <c r="J35" s="1860"/>
      <c r="K35" s="1861"/>
      <c r="L35" s="1858"/>
      <c r="M35" s="1858"/>
    </row>
    <row r="36" spans="1:18" ht="18" customHeight="1">
      <c r="A36" s="1351" t="s">
        <v>1036</v>
      </c>
      <c r="B36" s="347" t="s">
        <v>1445</v>
      </c>
      <c r="C36" s="24">
        <f ca="1">ROUND(C29*F36,1)</f>
        <v>448</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44.8</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6995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141978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26382</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-184724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141978</v>
      </c>
      <c r="R47" s="1885" t="s">
        <v>1525</v>
      </c>
    </row>
    <row r="48" spans="1:18" s="1841" customFormat="1" ht="28.5" thickBot="1">
      <c r="A48" s="1359" t="s">
        <v>1132</v>
      </c>
      <c r="B48" s="345" t="s">
        <v>1397</v>
      </c>
      <c r="C48" s="181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29869</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69146</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141978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29869</v>
      </c>
      <c r="D56" s="1913"/>
      <c r="E56" s="1914"/>
      <c r="F56" s="1906"/>
      <c r="I56" s="1915" t="s">
        <v>1550</v>
      </c>
      <c r="J56" s="1916" t="s">
        <v>3070</v>
      </c>
      <c r="K56" s="1886" t="s">
        <v>1551</v>
      </c>
      <c r="L56" s="1889" t="str">
        <f ca="1">IF(L48&lt;J51,"——",L48-J53)</f>
        <v>——</v>
      </c>
      <c r="O56" s="1883" t="s">
        <v>1037</v>
      </c>
      <c r="P56" s="1884" t="s">
        <v>1524</v>
      </c>
      <c r="Q56" s="1885">
        <f ca="1">C40+J29</f>
        <v>141978</v>
      </c>
      <c r="R56" s="1885" t="s">
        <v>1525</v>
      </c>
    </row>
    <row r="57" spans="1:18" s="1841" customFormat="1" ht="24.75" thickBot="1">
      <c r="A57" s="1917"/>
      <c r="B57" s="1168" t="s">
        <v>1474</v>
      </c>
      <c r="C57" s="282">
        <f ca="1">C29</f>
        <v>29869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3013</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2520.6</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2509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11.57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141978</v>
      </c>
      <c r="R62" s="1885" t="s">
        <v>1044</v>
      </c>
    </row>
    <row r="63" spans="1:18" s="1841" customFormat="1" ht="13.5" thickBot="1">
      <c r="A63" s="372"/>
      <c r="B63" s="1174"/>
      <c r="C63" s="29"/>
      <c r="D63" s="1184"/>
      <c r="E63" s="1168" t="s">
        <v>1495</v>
      </c>
      <c r="F63" s="348">
        <f t="shared" ca="1" si="0"/>
        <v>9641.7900000000009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448</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44.8</v>
      </c>
      <c r="D65" s="1182" t="s">
        <v>1450</v>
      </c>
      <c r="E65" s="1168" t="s">
        <v>1451</v>
      </c>
      <c r="F65" s="376">
        <f t="shared" ca="1" si="0"/>
        <v>1.5E-3</v>
      </c>
      <c r="I65" s="1928" t="s">
        <v>1575</v>
      </c>
      <c r="J65" s="1929">
        <v>40</v>
      </c>
      <c r="K65" s="1929">
        <v>30</v>
      </c>
      <c r="L65" s="1929">
        <v>50</v>
      </c>
      <c r="M65" s="1931">
        <v>0.02</v>
      </c>
      <c r="O65" s="1883" t="s">
        <v>1037</v>
      </c>
      <c r="P65" s="1884" t="s">
        <v>1576</v>
      </c>
      <c r="Q65" s="1885">
        <f ca="1">C40+J29</f>
        <v>141978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-3013</v>
      </c>
      <c r="D67" s="1181" t="s">
        <v>1460</v>
      </c>
      <c r="E67" s="1186"/>
      <c r="F67" s="1187"/>
      <c r="O67" s="1893" t="s">
        <v>1039</v>
      </c>
      <c r="P67" s="1884" t="s">
        <v>1558</v>
      </c>
      <c r="Q67" s="1932">
        <f ca="1">L51</f>
        <v>69146</v>
      </c>
      <c r="R67" s="1885" t="s">
        <v>1578</v>
      </c>
    </row>
    <row r="68" spans="1:18" s="1841" customFormat="1" ht="16.5" thickBot="1">
      <c r="A68" s="1165" t="s">
        <v>1029</v>
      </c>
      <c r="B68" s="1166" t="s">
        <v>1481</v>
      </c>
      <c r="C68" s="346">
        <f ca="1">ROUND(C67*(1-((1+F70)/(1+F68))^F69)/(F68-F70),0)</f>
        <v>-42746</v>
      </c>
      <c r="D68" s="1183" t="s">
        <v>1465</v>
      </c>
      <c r="E68" s="1168" t="s">
        <v>1466</v>
      </c>
      <c r="F68" s="357">
        <f ca="1">F40</f>
        <v>0.06</v>
      </c>
      <c r="O68" s="1893" t="s">
        <v>1040</v>
      </c>
      <c r="P68" s="1933" t="s">
        <v>1579</v>
      </c>
      <c r="Q68" s="1885">
        <f ca="1">ROUND(Q69-Q70*Q71,0)</f>
        <v>4456</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6995</v>
      </c>
      <c r="R69" s="1885" t="s">
        <v>1525</v>
      </c>
    </row>
    <row r="70" spans="1:18" s="1841" customFormat="1" ht="13.5" thickBot="1">
      <c r="A70" s="1172"/>
      <c r="B70" s="1173"/>
      <c r="C70" s="355"/>
      <c r="D70" s="1184"/>
      <c r="E70" s="1168" t="s">
        <v>1473</v>
      </c>
      <c r="F70" s="1274"/>
      <c r="O70" s="1893" t="s">
        <v>1046</v>
      </c>
      <c r="P70" s="1933" t="s">
        <v>1581</v>
      </c>
      <c r="Q70" s="1885">
        <f ca="1">C13</f>
        <v>29869</v>
      </c>
      <c r="R70" s="1885" t="s">
        <v>1525</v>
      </c>
    </row>
    <row r="71" spans="1:18" s="1841" customFormat="1" ht="13.5" thickBot="1">
      <c r="A71" s="1189" t="s">
        <v>1030</v>
      </c>
      <c r="B71" s="1190" t="s">
        <v>1483</v>
      </c>
      <c r="C71" s="382">
        <f ca="1">ROUND(C68*10000/F71,0)</f>
        <v>-7943</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2539</v>
      </c>
      <c r="D75" s="1841"/>
      <c r="E75" s="1841"/>
      <c r="F75" s="1841"/>
      <c r="K75" s="1867"/>
      <c r="L75" s="1841"/>
      <c r="O75" s="1883" t="s">
        <v>1043</v>
      </c>
      <c r="P75" s="1884" t="s">
        <v>1545</v>
      </c>
      <c r="Q75" s="1885">
        <f ca="1">Q65+Q66</f>
        <v>141978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0.63700000000000001</v>
      </c>
    </row>
    <row r="80" spans="1:18">
      <c r="B80" s="386" t="s">
        <v>1507</v>
      </c>
      <c r="C80" s="318">
        <f ca="1">ROUND(C75/C39,3)</f>
        <v>0.36299999999999999</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7" t="s">
        <v>1399</v>
      </c>
      <c r="C6" s="1295">
        <f ca="1">ROUND(F6*F8*F7*(1-F9),0)</f>
        <v>0</v>
      </c>
      <c r="D6" s="164" t="s">
        <v>3027</v>
      </c>
      <c r="E6" s="347" t="s">
        <v>1401</v>
      </c>
      <c r="F6" s="348">
        <f ca="1">INDIRECT("'数据-取费表'!u"&amp;$G$1)</f>
        <v>0</v>
      </c>
      <c r="G6" s="1850"/>
      <c r="H6" s="1290" t="s">
        <v>1032</v>
      </c>
      <c r="I6" s="3177" t="s">
        <v>1399</v>
      </c>
      <c r="J6" s="346">
        <f ca="1">ROUND(M6*M8*M7*(1-M9),0)</f>
        <v>0</v>
      </c>
      <c r="K6" s="1833" t="s">
        <v>3028</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0</v>
      </c>
      <c r="G7" s="1850"/>
      <c r="H7" s="349"/>
      <c r="I7" s="3178"/>
      <c r="J7" s="351"/>
      <c r="K7" s="352"/>
      <c r="L7" s="347" t="s">
        <v>1402</v>
      </c>
      <c r="M7" s="348">
        <f ca="1">F7</f>
        <v>0</v>
      </c>
    </row>
    <row r="8" spans="1:37" ht="18" customHeight="1">
      <c r="A8" s="349"/>
      <c r="B8" s="3178"/>
      <c r="C8" s="351"/>
      <c r="D8" s="352"/>
      <c r="E8" s="347" t="s">
        <v>1403</v>
      </c>
      <c r="F8" s="348">
        <f ca="1">INDIRECT("'数据-取费表'!ai"&amp;$G$1)</f>
        <v>0</v>
      </c>
      <c r="G8" s="1850"/>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5" t="s">
        <v>1544</v>
      </c>
      <c r="L53" s="3176"/>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276278</v>
      </c>
      <c r="C2" s="2568" t="s">
        <v>2518</v>
      </c>
      <c r="D2" s="2569" t="s">
        <v>2519</v>
      </c>
      <c r="E2" s="2570">
        <f>SUM(E6:E13)</f>
        <v>140932.81</v>
      </c>
    </row>
    <row r="3" spans="1:6" ht="15.75">
      <c r="A3" s="2566" t="s">
        <v>1391</v>
      </c>
      <c r="B3" s="2567">
        <f ca="1">ROUND(B2*10000/E2,0)</f>
        <v>19604</v>
      </c>
      <c r="C3" s="2568" t="s">
        <v>2526</v>
      </c>
      <c r="D3" s="2571"/>
      <c r="E3" s="2572"/>
    </row>
    <row r="4" spans="1:6" ht="15.75">
      <c r="A4" s="2573"/>
      <c r="B4" s="2571"/>
      <c r="C4" s="2571"/>
      <c r="D4" s="2571"/>
      <c r="E4" s="2572"/>
    </row>
    <row r="5" spans="1:6" ht="15">
      <c r="A5" s="2574" t="s">
        <v>2520</v>
      </c>
      <c r="B5" s="3180" t="s">
        <v>2521</v>
      </c>
      <c r="C5" s="3180"/>
      <c r="D5" s="2575"/>
      <c r="E5" s="2576" t="s">
        <v>2522</v>
      </c>
      <c r="F5" s="2577" t="s">
        <v>2523</v>
      </c>
    </row>
    <row r="6" spans="1:6">
      <c r="A6" s="2578" t="str">
        <f>'数据-取费表'!AN6</f>
        <v>收益法</v>
      </c>
      <c r="B6" s="2577">
        <f ca="1">IF(F6="是",'数据-取费表'!AO6,0)</f>
        <v>141978</v>
      </c>
      <c r="C6" s="2568" t="s">
        <v>2518</v>
      </c>
      <c r="D6" s="2571"/>
      <c r="E6" s="2579">
        <f>IF(OR(A6=0,F6="否"),0,'数据-取费表'!K6+'数据-取费表'!S6)</f>
        <v>61303.799999999996</v>
      </c>
      <c r="F6" s="2580" t="s">
        <v>2524</v>
      </c>
    </row>
    <row r="7" spans="1:6">
      <c r="A7" s="2578" t="str">
        <f>'数据-取费表'!AN7</f>
        <v>收益法公寓</v>
      </c>
      <c r="B7" s="2577">
        <f ca="1">IF(F7="是",'数据-取费表'!AO7,0)</f>
        <v>47942</v>
      </c>
      <c r="C7" s="2568" t="s">
        <v>2518</v>
      </c>
      <c r="D7" s="2571"/>
      <c r="E7" s="2579">
        <f>IF(OR(A7=0,F7="否"),0,'数据-取费表'!K7+'数据-取费表'!S7)</f>
        <v>19169.29</v>
      </c>
      <c r="F7" s="2580" t="s">
        <v>2524</v>
      </c>
    </row>
    <row r="8" spans="1:6">
      <c r="A8" s="2578" t="str">
        <f>'数据-取费表'!AN8</f>
        <v>收益法地上商业</v>
      </c>
      <c r="B8" s="2577">
        <f ca="1">IF(F8="是",'数据-取费表'!AO8,0)</f>
        <v>72684</v>
      </c>
      <c r="C8" s="2568" t="s">
        <v>2518</v>
      </c>
      <c r="D8" s="2571"/>
      <c r="E8" s="2579">
        <f>IF(OR(A8=0,F8="否"),0,'数据-取费表'!K8+'数据-取费表'!S8)</f>
        <v>44532.899999999994</v>
      </c>
      <c r="F8" s="2580" t="s">
        <v>2524</v>
      </c>
    </row>
    <row r="9" spans="1:6">
      <c r="A9" s="2578" t="str">
        <f>'数据-取费表'!AN9</f>
        <v>收益法地下商业</v>
      </c>
      <c r="B9" s="2577">
        <f ca="1">IF(F9="是",'数据-取费表'!AO9,0)</f>
        <v>12848</v>
      </c>
      <c r="C9" s="2568" t="s">
        <v>2518</v>
      </c>
      <c r="D9" s="2571"/>
      <c r="E9" s="2579">
        <f>IF(OR(A9=0,F9="否"),0,'数据-取费表'!K9+'数据-取费表'!S9)</f>
        <v>10775.199999999999</v>
      </c>
      <c r="F9" s="2580" t="s">
        <v>2524</v>
      </c>
    </row>
    <row r="10" spans="1:6">
      <c r="A10" s="2578" t="str">
        <f>'数据-取费表'!AN10</f>
        <v>收益法车库</v>
      </c>
      <c r="B10" s="2577">
        <f ca="1">IF(F10="是",'数据-取费表'!AO10,0)</f>
        <v>348</v>
      </c>
      <c r="C10" s="2568" t="s">
        <v>2518</v>
      </c>
      <c r="D10" s="2571"/>
      <c r="E10" s="2579">
        <f>IF(OR(A10=0,F10="否"),0,'数据-取费表'!K10+'数据-取费表'!S10)</f>
        <v>3668.6</v>
      </c>
      <c r="F10" s="2580" t="s">
        <v>2524</v>
      </c>
    </row>
    <row r="11" spans="1:6">
      <c r="A11" s="2578" t="str">
        <f>'数据-取费表'!AN11</f>
        <v>收益法库房</v>
      </c>
      <c r="B11" s="2577">
        <f ca="1">IF(F11="是",'数据-取费表'!AO11,0)</f>
        <v>478</v>
      </c>
      <c r="C11" s="2568" t="s">
        <v>2518</v>
      </c>
      <c r="D11" s="2571"/>
      <c r="E11" s="2579">
        <f>IF(OR(A11=0,F11="否"),0,'数据-取费表'!K11+'数据-取费表'!S11)</f>
        <v>1483.02</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4.25">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4.25">
      <c r="A17" s="3186"/>
      <c r="B17" s="3187" t="s">
        <v>1103</v>
      </c>
      <c r="C17" s="3187"/>
      <c r="D17" s="1302"/>
      <c r="E17" s="1302"/>
      <c r="F17" s="1303"/>
      <c r="G17" s="1304"/>
      <c r="H17" s="1314"/>
      <c r="I17" s="1315">
        <f>ROUND(D17*E17*F17*G17/10000,0)</f>
        <v>0</v>
      </c>
    </row>
    <row r="18" spans="1:9" ht="14.25">
      <c r="A18" s="3186"/>
      <c r="B18" s="3187" t="s">
        <v>1104</v>
      </c>
      <c r="C18" s="3187"/>
      <c r="D18" s="1302"/>
      <c r="E18" s="1302"/>
      <c r="F18" s="1303"/>
      <c r="G18" s="1304"/>
      <c r="H18" s="1314"/>
      <c r="I18" s="1315">
        <f>ROUND(D18*E18*F18*G18/10000,0)</f>
        <v>0</v>
      </c>
    </row>
    <row r="19" spans="1:9" ht="14.25">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90"/>
      <c r="C21" s="3190"/>
      <c r="D21" s="3190"/>
      <c r="E21" s="3190"/>
      <c r="F21" s="3190"/>
      <c r="G21" s="3190"/>
      <c r="H21" s="1764">
        <v>0.1</v>
      </c>
      <c r="I21" s="1309">
        <f>ROUND(I10*H21,0)</f>
        <v>0</v>
      </c>
    </row>
    <row r="22" spans="1:9" ht="14.25">
      <c r="A22" s="3191" t="s">
        <v>1107</v>
      </c>
      <c r="B22" s="3192"/>
      <c r="C22" s="3193"/>
      <c r="D22" s="1316" t="s">
        <v>1108</v>
      </c>
      <c r="E22" s="1316" t="s">
        <v>1109</v>
      </c>
      <c r="F22" s="1317" t="s">
        <v>1110</v>
      </c>
      <c r="G22" s="1317" t="s">
        <v>1111</v>
      </c>
      <c r="H22" s="1310" t="s">
        <v>1112</v>
      </c>
      <c r="I22" s="1301" t="s">
        <v>1113</v>
      </c>
    </row>
    <row r="23" spans="1:9" ht="14.25" thickBot="1">
      <c r="A23" s="3194"/>
      <c r="B23" s="3195"/>
      <c r="C23" s="3196"/>
      <c r="D23" s="1318"/>
      <c r="E23" s="1318"/>
      <c r="F23" s="1318"/>
      <c r="G23" s="1319"/>
      <c r="H23" s="1320"/>
      <c r="I23" s="1321">
        <f>ROUND(E23*D23*F23*(1-G23)/10000,0)</f>
        <v>0</v>
      </c>
    </row>
    <row r="26" spans="1:9">
      <c r="A26" s="1322" t="s">
        <v>1114</v>
      </c>
      <c r="B26" s="1322"/>
      <c r="C26" s="1322"/>
      <c r="D26" s="1322"/>
      <c r="E26" s="3197">
        <f>C27-C30-C31-C32</f>
        <v>0</v>
      </c>
      <c r="F26" s="3197"/>
      <c r="G26" s="3197"/>
      <c r="H26" s="1736" t="s">
        <v>1336</v>
      </c>
    </row>
    <row r="27" spans="1:9">
      <c r="A27" s="1323">
        <v>1</v>
      </c>
      <c r="B27" s="1324" t="s">
        <v>1115</v>
      </c>
      <c r="C27" s="1324">
        <f>C28+C29</f>
        <v>0</v>
      </c>
      <c r="D27" s="1324"/>
      <c r="E27" s="3198"/>
      <c r="F27" s="3198"/>
      <c r="G27" s="3198"/>
    </row>
    <row r="28" spans="1:9">
      <c r="A28" s="1325" t="s">
        <v>1116</v>
      </c>
      <c r="B28" s="1324" t="s">
        <v>1117</v>
      </c>
      <c r="C28" s="1324"/>
      <c r="D28" s="1324"/>
      <c r="E28" s="3198"/>
      <c r="F28" s="3198"/>
      <c r="G28" s="31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9"/>
      <c r="F32" s="3189"/>
      <c r="G32" s="3189"/>
    </row>
    <row r="33" spans="1:7" hidden="1">
      <c r="A33" s="3199" t="s">
        <v>1126</v>
      </c>
      <c r="B33" s="3200"/>
      <c r="C33" s="3200"/>
      <c r="D33" s="3201"/>
      <c r="E33" s="3197"/>
      <c r="F33" s="3197"/>
      <c r="G33" s="3197"/>
    </row>
    <row r="34" spans="1:7" hidden="1">
      <c r="A34" s="1327">
        <v>1</v>
      </c>
      <c r="B34" s="1324" t="s">
        <v>1127</v>
      </c>
      <c r="C34" s="1324"/>
      <c r="D34" s="1324"/>
      <c r="E34" s="3198"/>
      <c r="F34" s="3198"/>
      <c r="G34" s="3198"/>
    </row>
    <row r="35" spans="1:7" hidden="1">
      <c r="A35" s="1327">
        <v>2</v>
      </c>
      <c r="B35" s="1324" t="s">
        <v>1128</v>
      </c>
      <c r="C35" s="1324"/>
      <c r="D35" s="1324"/>
      <c r="E35" s="3198"/>
      <c r="F35" s="3198"/>
      <c r="G35" s="3198"/>
    </row>
    <row r="36" spans="1:7" hidden="1">
      <c r="A36" s="1327">
        <v>3</v>
      </c>
      <c r="B36" s="1324" t="s">
        <v>1129</v>
      </c>
      <c r="C36" s="1324"/>
      <c r="D36" s="1324"/>
      <c r="E36" s="3198"/>
      <c r="F36" s="3198"/>
      <c r="G36" s="3198"/>
    </row>
    <row r="37" spans="1:7" hidden="1">
      <c r="A37" s="1327">
        <v>4</v>
      </c>
      <c r="B37" s="1324" t="s">
        <v>1130</v>
      </c>
      <c r="C37" s="1324"/>
      <c r="D37" s="1324"/>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140932.81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2534</v>
      </c>
      <c r="B4" s="402"/>
      <c r="C4" s="3220" t="s">
        <v>2535</v>
      </c>
      <c r="D4" s="3221"/>
      <c r="E4" s="3222" t="s">
        <v>2536</v>
      </c>
      <c r="F4" s="3223"/>
      <c r="G4" s="3220" t="s">
        <v>2537</v>
      </c>
      <c r="H4" s="3221"/>
      <c r="I4" s="3220" t="s">
        <v>2538</v>
      </c>
      <c r="J4" s="3221"/>
      <c r="K4" s="2598" t="s">
        <v>2539</v>
      </c>
      <c r="L4" s="1129"/>
      <c r="M4" s="1130"/>
      <c r="N4" s="1130"/>
      <c r="O4" s="1130"/>
      <c r="P4" s="3224" t="s">
        <v>2540</v>
      </c>
      <c r="Q4" s="3225"/>
      <c r="R4" s="3207" t="s">
        <v>2536</v>
      </c>
      <c r="S4" s="3208"/>
      <c r="T4" s="3207" t="s">
        <v>2537</v>
      </c>
      <c r="U4" s="3208"/>
      <c r="V4" s="3232" t="s">
        <v>2538</v>
      </c>
      <c r="W4" s="3232"/>
      <c r="X4" s="1812"/>
      <c r="Y4" s="3207" t="s">
        <v>2540</v>
      </c>
      <c r="Z4" s="3208"/>
      <c r="AA4" s="3202" t="s">
        <v>2536</v>
      </c>
      <c r="AB4" s="3202" t="s">
        <v>2537</v>
      </c>
      <c r="AC4" s="3202" t="s">
        <v>2538</v>
      </c>
    </row>
    <row r="5" spans="1:29" ht="15">
      <c r="A5" s="404"/>
      <c r="B5" s="405"/>
      <c r="C5" s="3213" t="s">
        <v>2541</v>
      </c>
      <c r="D5" s="3214"/>
      <c r="E5" s="3211" t="s">
        <v>2542</v>
      </c>
      <c r="F5" s="3212"/>
      <c r="G5" s="3213" t="s">
        <v>2543</v>
      </c>
      <c r="H5" s="3214"/>
      <c r="I5" s="3213" t="s">
        <v>2544</v>
      </c>
      <c r="J5" s="3214"/>
      <c r="K5" s="2599"/>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2599" t="s">
        <v>2546</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05" t="s">
        <v>2548</v>
      </c>
      <c r="Q7" s="3233"/>
      <c r="R7" s="770" t="s">
        <v>23</v>
      </c>
      <c r="S7" s="771">
        <f t="shared" ref="S7:S15" si="0">F7</f>
        <v>0</v>
      </c>
      <c r="T7" s="770" t="s">
        <v>23</v>
      </c>
      <c r="U7" s="771">
        <f t="shared" ref="U7:U15" si="1">H7</f>
        <v>0</v>
      </c>
      <c r="V7" s="770" t="s">
        <v>23</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05" t="s">
        <v>2551</v>
      </c>
      <c r="Q8" s="3206"/>
      <c r="R8" s="770" t="s">
        <v>23</v>
      </c>
      <c r="S8" s="771">
        <f t="shared" si="0"/>
        <v>0</v>
      </c>
      <c r="T8" s="770" t="s">
        <v>23</v>
      </c>
      <c r="U8" s="771">
        <f t="shared" si="1"/>
        <v>0</v>
      </c>
      <c r="V8" s="770" t="s">
        <v>23</v>
      </c>
      <c r="W8" s="771">
        <f t="shared" si="2"/>
        <v>0</v>
      </c>
      <c r="X8" s="772"/>
      <c r="Y8" s="3205" t="s">
        <v>2551</v>
      </c>
      <c r="Z8" s="320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9"/>
      <c r="Q11" s="1794"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9"/>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9"/>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9"/>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6" t="s">
        <v>2559</v>
      </c>
      <c r="Q15" s="1809" t="str">
        <f t="shared" si="6"/>
        <v>居住社区成熟度</v>
      </c>
      <c r="R15" s="774" t="s">
        <v>21</v>
      </c>
      <c r="S15" s="775">
        <f t="shared" si="0"/>
        <v>100</v>
      </c>
      <c r="T15" s="774" t="s">
        <v>21</v>
      </c>
      <c r="U15" s="775">
        <f t="shared" si="1"/>
        <v>100</v>
      </c>
      <c r="V15" s="774" t="s">
        <v>21</v>
      </c>
      <c r="W15" s="775">
        <f t="shared" si="2"/>
        <v>100</v>
      </c>
      <c r="X15" s="1812"/>
      <c r="Y15" s="3239"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47"/>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7"/>
      <c r="Q17" s="1809" t="str">
        <f>B17</f>
        <v>交通便捷度</v>
      </c>
      <c r="R17" s="774" t="s">
        <v>21</v>
      </c>
      <c r="S17" s="775">
        <f>F17</f>
        <v>100</v>
      </c>
      <c r="T17" s="774" t="s">
        <v>21</v>
      </c>
      <c r="U17" s="775">
        <f>H17</f>
        <v>100</v>
      </c>
      <c r="V17" s="774" t="s">
        <v>21</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47"/>
      <c r="Q18" s="1809"/>
      <c r="R18" s="774"/>
      <c r="S18" s="775"/>
      <c r="T18" s="774"/>
      <c r="U18" s="775"/>
      <c r="V18" s="774"/>
      <c r="W18" s="775"/>
      <c r="X18" s="1812"/>
      <c r="Y18" s="3240"/>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7"/>
      <c r="Q19" s="1809" t="str">
        <f>B19</f>
        <v>公共配套设施</v>
      </c>
      <c r="R19" s="774" t="s">
        <v>21</v>
      </c>
      <c r="S19" s="775">
        <f>F19</f>
        <v>100</v>
      </c>
      <c r="T19" s="774" t="s">
        <v>21</v>
      </c>
      <c r="U19" s="775">
        <f>H19</f>
        <v>100</v>
      </c>
      <c r="V19" s="774" t="s">
        <v>21</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47"/>
      <c r="Q20" s="1809"/>
      <c r="R20" s="774"/>
      <c r="S20" s="775"/>
      <c r="T20" s="774"/>
      <c r="U20" s="775"/>
      <c r="V20" s="774"/>
      <c r="W20" s="775"/>
      <c r="X20" s="1812"/>
      <c r="Y20" s="3240"/>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47"/>
      <c r="Q22" s="1809"/>
      <c r="R22" s="774"/>
      <c r="S22" s="775"/>
      <c r="T22" s="774"/>
      <c r="U22" s="775"/>
      <c r="V22" s="774"/>
      <c r="W22" s="775"/>
      <c r="X22" s="1812"/>
      <c r="Y22" s="3240"/>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7"/>
      <c r="Q23" s="1809" t="str">
        <f>B23</f>
        <v>自然及人文环境</v>
      </c>
      <c r="R23" s="774" t="s">
        <v>21</v>
      </c>
      <c r="S23" s="775">
        <f>F23</f>
        <v>100</v>
      </c>
      <c r="T23" s="774" t="s">
        <v>21</v>
      </c>
      <c r="U23" s="775">
        <f>H23</f>
        <v>100</v>
      </c>
      <c r="V23" s="774" t="s">
        <v>21</v>
      </c>
      <c r="W23" s="775">
        <f>J23</f>
        <v>100</v>
      </c>
      <c r="X23" s="1812"/>
      <c r="Y23" s="324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4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0"/>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47"/>
      <c r="Q26" s="1809" t="str">
        <f t="shared" si="11"/>
        <v>朝向</v>
      </c>
      <c r="R26" s="774" t="s">
        <v>21</v>
      </c>
      <c r="S26" s="775">
        <f t="shared" si="12"/>
        <v>100</v>
      </c>
      <c r="T26" s="774" t="s">
        <v>21</v>
      </c>
      <c r="U26" s="775">
        <f t="shared" si="13"/>
        <v>100</v>
      </c>
      <c r="V26" s="774" t="s">
        <v>21</v>
      </c>
      <c r="W26" s="775">
        <f t="shared" si="14"/>
        <v>100</v>
      </c>
      <c r="X26" s="1812"/>
      <c r="Y26" s="324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47"/>
      <c r="Q27" s="1794">
        <f t="shared" si="11"/>
        <v>111</v>
      </c>
      <c r="R27" s="770" t="s">
        <v>21</v>
      </c>
      <c r="S27" s="771">
        <f t="shared" si="12"/>
        <v>100</v>
      </c>
      <c r="T27" s="770" t="s">
        <v>21</v>
      </c>
      <c r="U27" s="771">
        <f t="shared" si="13"/>
        <v>100</v>
      </c>
      <c r="V27" s="770" t="s">
        <v>21</v>
      </c>
      <c r="W27" s="771">
        <f t="shared" si="14"/>
        <v>100</v>
      </c>
      <c r="X27" s="772"/>
      <c r="Y27" s="324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47"/>
      <c r="Q28" s="1809">
        <f t="shared" si="11"/>
        <v>111</v>
      </c>
      <c r="R28" s="774" t="s">
        <v>21</v>
      </c>
      <c r="S28" s="775">
        <f t="shared" si="12"/>
        <v>100</v>
      </c>
      <c r="T28" s="774" t="s">
        <v>21</v>
      </c>
      <c r="U28" s="775">
        <f t="shared" si="13"/>
        <v>100</v>
      </c>
      <c r="V28" s="774" t="s">
        <v>21</v>
      </c>
      <c r="W28" s="775">
        <f t="shared" si="14"/>
        <v>100</v>
      </c>
      <c r="X28" s="1812"/>
      <c r="Y28" s="324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47"/>
      <c r="Q29" s="1809">
        <f t="shared" si="11"/>
        <v>111</v>
      </c>
      <c r="R29" s="774" t="s">
        <v>21</v>
      </c>
      <c r="S29" s="775">
        <f t="shared" si="12"/>
        <v>100</v>
      </c>
      <c r="T29" s="774" t="s">
        <v>21</v>
      </c>
      <c r="U29" s="775">
        <f t="shared" si="13"/>
        <v>100</v>
      </c>
      <c r="V29" s="774" t="s">
        <v>21</v>
      </c>
      <c r="W29" s="775">
        <f t="shared" si="14"/>
        <v>100</v>
      </c>
      <c r="X29" s="1812"/>
      <c r="Y29" s="324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47"/>
      <c r="Q30" s="1809">
        <f t="shared" si="11"/>
        <v>111</v>
      </c>
      <c r="R30" s="774" t="s">
        <v>21</v>
      </c>
      <c r="S30" s="775">
        <f t="shared" si="12"/>
        <v>100</v>
      </c>
      <c r="T30" s="774" t="s">
        <v>21</v>
      </c>
      <c r="U30" s="775">
        <f t="shared" si="13"/>
        <v>100</v>
      </c>
      <c r="V30" s="774" t="s">
        <v>21</v>
      </c>
      <c r="W30" s="775">
        <f t="shared" si="14"/>
        <v>100</v>
      </c>
      <c r="X30" s="1812"/>
      <c r="Y30" s="324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47"/>
      <c r="Q31" s="1809">
        <f t="shared" si="11"/>
        <v>111</v>
      </c>
      <c r="R31" s="774" t="s">
        <v>21</v>
      </c>
      <c r="S31" s="775">
        <f t="shared" si="12"/>
        <v>100</v>
      </c>
      <c r="T31" s="774" t="s">
        <v>21</v>
      </c>
      <c r="U31" s="775">
        <f t="shared" si="13"/>
        <v>100</v>
      </c>
      <c r="V31" s="774" t="s">
        <v>21</v>
      </c>
      <c r="W31" s="775">
        <f t="shared" si="14"/>
        <v>100</v>
      </c>
      <c r="X31" s="1812"/>
      <c r="Y31" s="3240"/>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41" t="s">
        <v>2564</v>
      </c>
      <c r="Q32" s="1809" t="str">
        <f t="shared" si="11"/>
        <v>建筑类型</v>
      </c>
      <c r="R32" s="774" t="s">
        <v>21</v>
      </c>
      <c r="S32" s="775">
        <f t="shared" si="12"/>
        <v>100</v>
      </c>
      <c r="T32" s="774" t="s">
        <v>21</v>
      </c>
      <c r="U32" s="775">
        <f t="shared" si="13"/>
        <v>100</v>
      </c>
      <c r="V32" s="774" t="s">
        <v>21</v>
      </c>
      <c r="W32" s="775">
        <f t="shared" si="14"/>
        <v>100</v>
      </c>
      <c r="X32" s="1812"/>
      <c r="Y32" s="3244"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42"/>
      <c r="Q34" s="1809" t="str">
        <f t="shared" si="11"/>
        <v>建筑结构</v>
      </c>
      <c r="R34" s="774" t="s">
        <v>21</v>
      </c>
      <c r="S34" s="775">
        <f t="shared" si="12"/>
        <v>100</v>
      </c>
      <c r="T34" s="774" t="s">
        <v>21</v>
      </c>
      <c r="U34" s="775">
        <f t="shared" si="13"/>
        <v>100</v>
      </c>
      <c r="V34" s="774" t="s">
        <v>21</v>
      </c>
      <c r="W34" s="775">
        <f t="shared" si="14"/>
        <v>100</v>
      </c>
      <c r="X34" s="1812"/>
      <c r="Y34" s="3244"/>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42"/>
      <c r="Q35" s="1809" t="str">
        <f t="shared" si="11"/>
        <v>建筑品质</v>
      </c>
      <c r="R35" s="774" t="s">
        <v>21</v>
      </c>
      <c r="S35" s="775">
        <f t="shared" si="12"/>
        <v>100</v>
      </c>
      <c r="T35" s="774" t="s">
        <v>21</v>
      </c>
      <c r="U35" s="775">
        <f t="shared" si="13"/>
        <v>100</v>
      </c>
      <c r="V35" s="774" t="s">
        <v>21</v>
      </c>
      <c r="W35" s="775">
        <f t="shared" si="14"/>
        <v>100</v>
      </c>
      <c r="X35" s="1812"/>
      <c r="Y35" s="3244"/>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42"/>
      <c r="Q36" s="1809" t="str">
        <f t="shared" si="11"/>
        <v>公共部分装修</v>
      </c>
      <c r="R36" s="774" t="s">
        <v>21</v>
      </c>
      <c r="S36" s="775">
        <f t="shared" si="12"/>
        <v>100</v>
      </c>
      <c r="T36" s="774" t="s">
        <v>21</v>
      </c>
      <c r="U36" s="775">
        <f t="shared" si="13"/>
        <v>100</v>
      </c>
      <c r="V36" s="774" t="s">
        <v>21</v>
      </c>
      <c r="W36" s="775">
        <f t="shared" si="14"/>
        <v>100</v>
      </c>
      <c r="X36" s="1812"/>
      <c r="Y36" s="3244"/>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2"/>
      <c r="Q37" s="1794"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42" t="s">
        <v>2564</v>
      </c>
      <c r="Q38" s="1809" t="str">
        <f t="shared" si="11"/>
        <v>物业管理</v>
      </c>
      <c r="R38" s="774" t="s">
        <v>21</v>
      </c>
      <c r="S38" s="775">
        <f t="shared" si="12"/>
        <v>100</v>
      </c>
      <c r="T38" s="774" t="s">
        <v>21</v>
      </c>
      <c r="U38" s="775">
        <f t="shared" si="13"/>
        <v>100</v>
      </c>
      <c r="V38" s="774" t="s">
        <v>21</v>
      </c>
      <c r="W38" s="775">
        <f t="shared" si="14"/>
        <v>100</v>
      </c>
      <c r="X38" s="1812"/>
      <c r="Y38" s="3244"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42"/>
      <c r="Q39" s="1809" t="str">
        <f t="shared" si="11"/>
        <v>市政基础设施</v>
      </c>
      <c r="R39" s="774" t="s">
        <v>21</v>
      </c>
      <c r="S39" s="775">
        <f t="shared" si="12"/>
        <v>100</v>
      </c>
      <c r="T39" s="774" t="s">
        <v>21</v>
      </c>
      <c r="U39" s="775">
        <f t="shared" si="13"/>
        <v>100</v>
      </c>
      <c r="V39" s="774" t="s">
        <v>21</v>
      </c>
      <c r="W39" s="775">
        <f t="shared" si="14"/>
        <v>100</v>
      </c>
      <c r="X39" s="1812"/>
      <c r="Y39" s="3244"/>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42"/>
      <c r="Q40" s="1809" t="str">
        <f t="shared" si="11"/>
        <v>房型</v>
      </c>
      <c r="R40" s="774" t="s">
        <v>21</v>
      </c>
      <c r="S40" s="775">
        <f t="shared" si="12"/>
        <v>100</v>
      </c>
      <c r="T40" s="774" t="s">
        <v>21</v>
      </c>
      <c r="U40" s="775">
        <f t="shared" si="13"/>
        <v>100</v>
      </c>
      <c r="V40" s="774" t="s">
        <v>21</v>
      </c>
      <c r="W40" s="775">
        <f t="shared" si="14"/>
        <v>100</v>
      </c>
      <c r="X40" s="1812"/>
      <c r="Y40" s="3244"/>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42"/>
      <c r="Q42" s="1809" t="str">
        <f t="shared" si="11"/>
        <v>内部装修</v>
      </c>
      <c r="R42" s="774" t="s">
        <v>21</v>
      </c>
      <c r="S42" s="775">
        <f t="shared" si="12"/>
        <v>100</v>
      </c>
      <c r="T42" s="774" t="s">
        <v>21</v>
      </c>
      <c r="U42" s="775">
        <f t="shared" si="13"/>
        <v>100</v>
      </c>
      <c r="V42" s="774" t="s">
        <v>21</v>
      </c>
      <c r="W42" s="775">
        <f t="shared" si="14"/>
        <v>100</v>
      </c>
      <c r="X42" s="1812"/>
      <c r="Y42" s="3244"/>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42"/>
      <c r="Q43" s="1809" t="str">
        <f t="shared" si="11"/>
        <v>内部装修维护情况</v>
      </c>
      <c r="R43" s="774" t="s">
        <v>21</v>
      </c>
      <c r="S43" s="775">
        <f t="shared" si="12"/>
        <v>100</v>
      </c>
      <c r="T43" s="774" t="s">
        <v>21</v>
      </c>
      <c r="U43" s="775">
        <f t="shared" si="13"/>
        <v>100</v>
      </c>
      <c r="V43" s="774" t="s">
        <v>21</v>
      </c>
      <c r="W43" s="775">
        <f t="shared" si="14"/>
        <v>100</v>
      </c>
      <c r="X43" s="1812"/>
      <c r="Y43" s="324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42"/>
      <c r="Q44" s="1794">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42"/>
      <c r="Q45" s="1809">
        <f t="shared" si="11"/>
        <v>111</v>
      </c>
      <c r="R45" s="774" t="s">
        <v>21</v>
      </c>
      <c r="S45" s="775">
        <f t="shared" si="12"/>
        <v>100</v>
      </c>
      <c r="T45" s="774" t="s">
        <v>21</v>
      </c>
      <c r="U45" s="775">
        <f t="shared" si="13"/>
        <v>100</v>
      </c>
      <c r="V45" s="774" t="s">
        <v>21</v>
      </c>
      <c r="W45" s="775">
        <f t="shared" si="14"/>
        <v>100</v>
      </c>
      <c r="X45" s="1812"/>
      <c r="Y45" s="3244"/>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43"/>
      <c r="Q46" s="1809">
        <f t="shared" si="11"/>
        <v>111</v>
      </c>
      <c r="R46" s="774" t="s">
        <v>20</v>
      </c>
      <c r="S46" s="775">
        <f t="shared" si="12"/>
        <v>100</v>
      </c>
      <c r="T46" s="774" t="s">
        <v>20</v>
      </c>
      <c r="U46" s="775">
        <f t="shared" si="13"/>
        <v>100</v>
      </c>
      <c r="V46" s="774" t="s">
        <v>20</v>
      </c>
      <c r="W46" s="775">
        <f t="shared" si="14"/>
        <v>100</v>
      </c>
      <c r="X46" s="1812"/>
      <c r="Y46" s="3245"/>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3"/>
      <c r="L47" s="1142"/>
      <c r="M47" s="1143"/>
      <c r="N47" s="1130"/>
      <c r="O47" s="1143"/>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5"/>
      <c r="L49" s="1142"/>
      <c r="M49" s="1143"/>
      <c r="N49" s="1143"/>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8"/>
      <c r="Q57" s="504"/>
    </row>
    <row r="58" spans="1:29" s="508" customFormat="1" ht="15">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2610</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2562</v>
      </c>
      <c r="B100" s="528" t="s">
        <v>2611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5.75"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32" t="s">
        <v>2647</v>
      </c>
      <c r="AC4" s="3202" t="s">
        <v>2648</v>
      </c>
    </row>
    <row r="5" spans="1:29"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32"/>
      <c r="AC5" s="3203"/>
    </row>
    <row r="6" spans="1:29" ht="15.7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32"/>
      <c r="AC6" s="3204"/>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6" t="s">
        <v>2559</v>
      </c>
      <c r="Q15" s="1809" t="str">
        <f t="shared" si="6"/>
        <v>商业繁华度</v>
      </c>
      <c r="R15" s="774" t="s">
        <v>17</v>
      </c>
      <c r="S15" s="775">
        <f t="shared" si="0"/>
        <v>100</v>
      </c>
      <c r="T15" s="774" t="s">
        <v>17</v>
      </c>
      <c r="U15" s="775">
        <f t="shared" si="1"/>
        <v>100</v>
      </c>
      <c r="V15" s="774" t="s">
        <v>17</v>
      </c>
      <c r="W15" s="775">
        <f t="shared" si="2"/>
        <v>100</v>
      </c>
      <c r="X15" s="1812"/>
      <c r="Y15" s="3239"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1810">
        <v>1</v>
      </c>
    </row>
    <row r="21" spans="1:29" ht="28.5">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47"/>
      <c r="Q22" s="1809"/>
      <c r="R22" s="774"/>
      <c r="S22" s="775"/>
      <c r="T22" s="774"/>
      <c r="U22" s="775"/>
      <c r="V22" s="774"/>
      <c r="W22" s="775"/>
      <c r="X22" s="1812"/>
      <c r="Y22" s="3240"/>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7"/>
      <c r="Q23" s="1809" t="str">
        <f>B23</f>
        <v>自然及人文环境</v>
      </c>
      <c r="R23" s="774" t="s">
        <v>17</v>
      </c>
      <c r="S23" s="775">
        <f>F23</f>
        <v>100</v>
      </c>
      <c r="T23" s="774" t="s">
        <v>17</v>
      </c>
      <c r="U23" s="775">
        <f>H23</f>
        <v>100</v>
      </c>
      <c r="V23" s="774" t="s">
        <v>17</v>
      </c>
      <c r="W23" s="775">
        <f>J23</f>
        <v>100</v>
      </c>
      <c r="X23" s="1812"/>
      <c r="Y23" s="324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7"/>
      <c r="Q25" s="1809" t="str">
        <f t="shared" ref="Q25:Q46" si="11">B25</f>
        <v>临街状况</v>
      </c>
      <c r="R25" s="774" t="s">
        <v>17</v>
      </c>
      <c r="S25" s="775">
        <f>F25</f>
        <v>100</v>
      </c>
      <c r="T25" s="774" t="s">
        <v>17</v>
      </c>
      <c r="U25" s="775">
        <f>H25</f>
        <v>100</v>
      </c>
      <c r="V25" s="774" t="s">
        <v>17</v>
      </c>
      <c r="W25" s="775">
        <f>J25</f>
        <v>100</v>
      </c>
      <c r="X25" s="1812"/>
      <c r="Y25" s="3240"/>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7"/>
      <c r="Q26" s="1809" t="str">
        <f t="shared" si="11"/>
        <v>平面位置/可视性</v>
      </c>
      <c r="R26" s="774" t="s">
        <v>17</v>
      </c>
      <c r="S26" s="775">
        <f>F26</f>
        <v>100</v>
      </c>
      <c r="T26" s="774" t="s">
        <v>17</v>
      </c>
      <c r="U26" s="775">
        <f>H26</f>
        <v>100</v>
      </c>
      <c r="V26" s="774" t="s">
        <v>17</v>
      </c>
      <c r="W26" s="775">
        <f>J26</f>
        <v>100</v>
      </c>
      <c r="X26" s="1812"/>
      <c r="Y26" s="3240"/>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47"/>
      <c r="Q27" s="1794" t="str">
        <f t="shared" si="11"/>
        <v>人流量</v>
      </c>
      <c r="R27" s="770" t="s">
        <v>17</v>
      </c>
      <c r="S27" s="771">
        <f>F27</f>
        <v>100</v>
      </c>
      <c r="T27" s="770" t="s">
        <v>17</v>
      </c>
      <c r="U27" s="771">
        <f>H27</f>
        <v>100</v>
      </c>
      <c r="V27" s="770" t="s">
        <v>17</v>
      </c>
      <c r="W27" s="771">
        <f>J27</f>
        <v>100</v>
      </c>
      <c r="X27" s="772"/>
      <c r="Y27" s="3240"/>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4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7"/>
      <c r="Q29" s="1809">
        <f t="shared" si="11"/>
        <v>111</v>
      </c>
      <c r="R29" s="774" t="s">
        <v>17</v>
      </c>
      <c r="S29" s="775">
        <f t="shared" si="12"/>
        <v>100</v>
      </c>
      <c r="T29" s="774" t="s">
        <v>17</v>
      </c>
      <c r="U29" s="775">
        <f t="shared" si="13"/>
        <v>100</v>
      </c>
      <c r="V29" s="774" t="s">
        <v>17</v>
      </c>
      <c r="W29" s="775">
        <f t="shared" si="14"/>
        <v>100</v>
      </c>
      <c r="X29" s="1812"/>
      <c r="Y29" s="324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41" t="s">
        <v>2564</v>
      </c>
      <c r="Q32" s="1809" t="str">
        <f t="shared" si="11"/>
        <v>商业类型</v>
      </c>
      <c r="R32" s="774" t="s">
        <v>17</v>
      </c>
      <c r="S32" s="775">
        <f t="shared" si="12"/>
        <v>100</v>
      </c>
      <c r="T32" s="774" t="s">
        <v>17</v>
      </c>
      <c r="U32" s="775">
        <f t="shared" si="13"/>
        <v>100</v>
      </c>
      <c r="V32" s="774" t="s">
        <v>17</v>
      </c>
      <c r="W32" s="775">
        <f t="shared" si="14"/>
        <v>100</v>
      </c>
      <c r="X32" s="1812"/>
      <c r="Y32" s="3244"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42"/>
      <c r="Q34" s="1809" t="str">
        <f t="shared" si="11"/>
        <v>建筑结构</v>
      </c>
      <c r="R34" s="774" t="s">
        <v>17</v>
      </c>
      <c r="S34" s="775">
        <f t="shared" si="12"/>
        <v>100</v>
      </c>
      <c r="T34" s="774" t="s">
        <v>17</v>
      </c>
      <c r="U34" s="775">
        <f t="shared" si="13"/>
        <v>100</v>
      </c>
      <c r="V34" s="774" t="s">
        <v>17</v>
      </c>
      <c r="W34" s="775">
        <f t="shared" si="14"/>
        <v>100</v>
      </c>
      <c r="X34" s="1812"/>
      <c r="Y34" s="3244"/>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42"/>
      <c r="Q35" s="1809" t="str">
        <f t="shared" si="11"/>
        <v>公共部分装修</v>
      </c>
      <c r="R35" s="774" t="s">
        <v>17</v>
      </c>
      <c r="S35" s="775">
        <f t="shared" si="12"/>
        <v>100</v>
      </c>
      <c r="T35" s="774" t="s">
        <v>17</v>
      </c>
      <c r="U35" s="775">
        <f t="shared" si="13"/>
        <v>100</v>
      </c>
      <c r="V35" s="774" t="s">
        <v>17</v>
      </c>
      <c r="W35" s="775">
        <f t="shared" si="14"/>
        <v>100</v>
      </c>
      <c r="X35" s="1812"/>
      <c r="Y35" s="3244"/>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2"/>
      <c r="Q36" s="1809" t="str">
        <f t="shared" si="11"/>
        <v>成新度</v>
      </c>
      <c r="R36" s="774" t="s">
        <v>17</v>
      </c>
      <c r="S36" s="775" t="e">
        <f t="shared" si="12"/>
        <v>#N/A</v>
      </c>
      <c r="T36" s="774" t="s">
        <v>17</v>
      </c>
      <c r="U36" s="775" t="e">
        <f t="shared" si="13"/>
        <v>#N/A</v>
      </c>
      <c r="V36" s="774" t="s">
        <v>17</v>
      </c>
      <c r="W36" s="775" t="e">
        <f t="shared" si="14"/>
        <v>#N/A</v>
      </c>
      <c r="X36" s="1812"/>
      <c r="Y36" s="3244"/>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42"/>
      <c r="Q37" s="1794"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42" t="s">
        <v>2564</v>
      </c>
      <c r="Q38" s="1809" t="str">
        <f t="shared" si="11"/>
        <v>业态</v>
      </c>
      <c r="R38" s="774" t="s">
        <v>17</v>
      </c>
      <c r="S38" s="775">
        <f t="shared" si="12"/>
        <v>100</v>
      </c>
      <c r="T38" s="774" t="s">
        <v>17</v>
      </c>
      <c r="U38" s="775">
        <f t="shared" si="13"/>
        <v>100</v>
      </c>
      <c r="V38" s="774" t="s">
        <v>17</v>
      </c>
      <c r="W38" s="775">
        <f t="shared" si="14"/>
        <v>100</v>
      </c>
      <c r="X38" s="1812"/>
      <c r="Y38" s="3244"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42"/>
      <c r="Q39" s="1809" t="str">
        <f t="shared" si="11"/>
        <v>层高</v>
      </c>
      <c r="R39" s="774" t="s">
        <v>17</v>
      </c>
      <c r="S39" s="775">
        <f t="shared" si="12"/>
        <v>100</v>
      </c>
      <c r="T39" s="774" t="s">
        <v>17</v>
      </c>
      <c r="U39" s="775">
        <f t="shared" si="13"/>
        <v>100</v>
      </c>
      <c r="V39" s="774" t="s">
        <v>17</v>
      </c>
      <c r="W39" s="775">
        <f t="shared" si="14"/>
        <v>100</v>
      </c>
      <c r="X39" s="1812"/>
      <c r="Y39" s="3244"/>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2"/>
      <c r="Q40" s="1809" t="str">
        <f t="shared" si="11"/>
        <v>单套建筑面积</v>
      </c>
      <c r="R40" s="774" t="s">
        <v>17</v>
      </c>
      <c r="S40" s="775">
        <f t="shared" si="12"/>
        <v>100</v>
      </c>
      <c r="T40" s="774" t="s">
        <v>17</v>
      </c>
      <c r="U40" s="775">
        <f t="shared" si="13"/>
        <v>100</v>
      </c>
      <c r="V40" s="774" t="s">
        <v>17</v>
      </c>
      <c r="W40" s="775">
        <f t="shared" si="14"/>
        <v>100</v>
      </c>
      <c r="X40" s="1812"/>
      <c r="Y40" s="3244"/>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42"/>
      <c r="Q42" s="1809" t="str">
        <f t="shared" si="11"/>
        <v>内部装修</v>
      </c>
      <c r="R42" s="774" t="s">
        <v>17</v>
      </c>
      <c r="S42" s="775">
        <f t="shared" si="12"/>
        <v>100</v>
      </c>
      <c r="T42" s="774" t="s">
        <v>17</v>
      </c>
      <c r="U42" s="775">
        <f t="shared" si="13"/>
        <v>100</v>
      </c>
      <c r="V42" s="774" t="s">
        <v>17</v>
      </c>
      <c r="W42" s="775">
        <f t="shared" si="14"/>
        <v>100</v>
      </c>
      <c r="X42" s="1812"/>
      <c r="Y42" s="3244"/>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42"/>
      <c r="Q43" s="1809" t="str">
        <f t="shared" si="11"/>
        <v>内部装修维护情况</v>
      </c>
      <c r="R43" s="774" t="s">
        <v>17</v>
      </c>
      <c r="S43" s="775">
        <f t="shared" si="12"/>
        <v>100</v>
      </c>
      <c r="T43" s="774" t="s">
        <v>17</v>
      </c>
      <c r="U43" s="775">
        <f t="shared" si="13"/>
        <v>100</v>
      </c>
      <c r="V43" s="774" t="s">
        <v>17</v>
      </c>
      <c r="W43" s="775">
        <f t="shared" si="14"/>
        <v>100</v>
      </c>
      <c r="X43" s="1812"/>
      <c r="Y43" s="324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2"/>
      <c r="Q44" s="1794">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2"/>
      <c r="Q45" s="1809">
        <f t="shared" si="11"/>
        <v>111</v>
      </c>
      <c r="R45" s="774" t="s">
        <v>17</v>
      </c>
      <c r="S45" s="775">
        <f t="shared" si="12"/>
        <v>100</v>
      </c>
      <c r="T45" s="774" t="s">
        <v>17</v>
      </c>
      <c r="U45" s="775">
        <f t="shared" si="13"/>
        <v>100</v>
      </c>
      <c r="V45" s="774" t="s">
        <v>17</v>
      </c>
      <c r="W45" s="775">
        <f t="shared" si="14"/>
        <v>100</v>
      </c>
      <c r="X45" s="1812"/>
      <c r="Y45" s="3244"/>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3"/>
      <c r="Q46" s="1809">
        <f t="shared" si="11"/>
        <v>111</v>
      </c>
      <c r="R46" s="774" t="s">
        <v>17</v>
      </c>
      <c r="S46" s="775">
        <f t="shared" si="12"/>
        <v>100</v>
      </c>
      <c r="T46" s="774" t="s">
        <v>17</v>
      </c>
      <c r="U46" s="775">
        <f t="shared" si="13"/>
        <v>100</v>
      </c>
      <c r="V46" s="774" t="s">
        <v>17</v>
      </c>
      <c r="W46" s="775">
        <f t="shared" si="14"/>
        <v>100</v>
      </c>
      <c r="X46" s="1812"/>
      <c r="Y46" s="3245"/>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2562</v>
      </c>
      <c r="B100" s="528" t="s">
        <v>2680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54" t="s">
        <v>2650</v>
      </c>
      <c r="Q4" s="3255"/>
      <c r="R4" s="3249" t="s">
        <v>2646</v>
      </c>
      <c r="S4" s="3250"/>
      <c r="T4" s="3249" t="s">
        <v>2647</v>
      </c>
      <c r="U4" s="3250"/>
      <c r="V4" s="3258" t="s">
        <v>2648</v>
      </c>
      <c r="W4" s="3258"/>
      <c r="X4" s="2672"/>
      <c r="Y4" s="3249" t="s">
        <v>2650</v>
      </c>
      <c r="Z4" s="3250"/>
      <c r="AA4" s="3248" t="s">
        <v>2646</v>
      </c>
      <c r="AB4" s="3248" t="s">
        <v>2647</v>
      </c>
      <c r="AC4" s="3251" t="s">
        <v>2648</v>
      </c>
    </row>
    <row r="5" spans="1:29" ht="15">
      <c r="A5" s="404"/>
      <c r="B5" s="405"/>
      <c r="C5" s="3213" t="s">
        <v>2541</v>
      </c>
      <c r="D5" s="3214"/>
      <c r="E5" s="3211" t="s">
        <v>2542</v>
      </c>
      <c r="F5" s="3212"/>
      <c r="G5" s="3213" t="s">
        <v>2543</v>
      </c>
      <c r="H5" s="3214"/>
      <c r="I5" s="3213" t="s">
        <v>2544</v>
      </c>
      <c r="J5" s="3214"/>
      <c r="K5" s="610"/>
      <c r="L5" s="1129"/>
      <c r="M5" s="1130"/>
      <c r="N5" s="1130"/>
      <c r="O5" s="1130"/>
      <c r="P5" s="3256"/>
      <c r="Q5" s="3227"/>
      <c r="R5" s="3209"/>
      <c r="S5" s="3210"/>
      <c r="T5" s="3209"/>
      <c r="U5" s="3210"/>
      <c r="V5" s="3232"/>
      <c r="W5" s="3232"/>
      <c r="X5" s="1812"/>
      <c r="Y5" s="3209"/>
      <c r="Z5" s="3210"/>
      <c r="AA5" s="3203"/>
      <c r="AB5" s="3203"/>
      <c r="AC5" s="3252"/>
    </row>
    <row r="6" spans="1:29" ht="15.75" thickBot="1">
      <c r="A6" s="406"/>
      <c r="B6" s="407"/>
      <c r="C6" s="3215" t="s">
        <v>2545</v>
      </c>
      <c r="D6" s="3216"/>
      <c r="E6" s="3217" t="s">
        <v>2545</v>
      </c>
      <c r="F6" s="3218"/>
      <c r="G6" s="3215" t="s">
        <v>2545</v>
      </c>
      <c r="H6" s="3216"/>
      <c r="I6" s="3215" t="s">
        <v>2545</v>
      </c>
      <c r="J6" s="3216"/>
      <c r="K6" s="610" t="s">
        <v>2546</v>
      </c>
      <c r="L6" s="1129"/>
      <c r="M6" s="1130"/>
      <c r="N6" s="1130"/>
      <c r="O6" s="1130"/>
      <c r="P6" s="3257"/>
      <c r="Q6" s="3229"/>
      <c r="R6" s="3209"/>
      <c r="S6" s="3210"/>
      <c r="T6" s="3230"/>
      <c r="U6" s="3231"/>
      <c r="V6" s="3232"/>
      <c r="W6" s="3232"/>
      <c r="X6" s="1812"/>
      <c r="Y6" s="3230"/>
      <c r="Z6" s="3231"/>
      <c r="AA6" s="3204"/>
      <c r="AB6" s="3204"/>
      <c r="AC6" s="3253"/>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9"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9" t="s">
        <v>2551</v>
      </c>
      <c r="Q8" s="3206"/>
      <c r="R8" s="770" t="s">
        <v>17</v>
      </c>
      <c r="S8" s="771">
        <f t="shared" si="0"/>
        <v>0</v>
      </c>
      <c r="T8" s="770" t="s">
        <v>17</v>
      </c>
      <c r="U8" s="771">
        <f t="shared" si="1"/>
        <v>0</v>
      </c>
      <c r="V8" s="770" t="s">
        <v>17</v>
      </c>
      <c r="W8" s="771">
        <f t="shared" si="2"/>
        <v>0</v>
      </c>
      <c r="X8" s="772"/>
      <c r="Y8" s="3205" t="s">
        <v>2551</v>
      </c>
      <c r="Z8" s="320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6" t="s">
        <v>2559</v>
      </c>
      <c r="Q15" s="1809" t="str">
        <f t="shared" si="6"/>
        <v>办公集聚程度</v>
      </c>
      <c r="R15" s="774" t="s">
        <v>17</v>
      </c>
      <c r="S15" s="775">
        <f t="shared" si="0"/>
        <v>100</v>
      </c>
      <c r="T15" s="774" t="s">
        <v>17</v>
      </c>
      <c r="U15" s="775">
        <f t="shared" si="1"/>
        <v>100</v>
      </c>
      <c r="V15" s="774" t="s">
        <v>17</v>
      </c>
      <c r="W15" s="775">
        <f t="shared" si="2"/>
        <v>100</v>
      </c>
      <c r="X15" s="1812"/>
      <c r="Y15" s="3239"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47"/>
      <c r="Q22" s="1809"/>
      <c r="R22" s="774"/>
      <c r="S22" s="775"/>
      <c r="T22" s="774"/>
      <c r="U22" s="775"/>
      <c r="V22" s="774"/>
      <c r="W22" s="775"/>
      <c r="X22" s="1812"/>
      <c r="Y22" s="3240"/>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7"/>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47"/>
      <c r="Q25" s="1809" t="str">
        <f>B25</f>
        <v>毗邻道路的类型与等级</v>
      </c>
      <c r="R25" s="774" t="s">
        <v>17</v>
      </c>
      <c r="S25" s="775">
        <f>F25</f>
        <v>100</v>
      </c>
      <c r="T25" s="774" t="s">
        <v>17</v>
      </c>
      <c r="U25" s="775">
        <f>H25</f>
        <v>100</v>
      </c>
      <c r="V25" s="774" t="s">
        <v>17</v>
      </c>
      <c r="W25" s="775">
        <f>J25</f>
        <v>100</v>
      </c>
      <c r="X25" s="1812"/>
      <c r="Y25" s="324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47"/>
      <c r="Q26" s="1809"/>
      <c r="R26" s="774"/>
      <c r="S26" s="775"/>
      <c r="T26" s="774"/>
      <c r="U26" s="775"/>
      <c r="V26" s="774"/>
      <c r="W26" s="775"/>
      <c r="X26" s="1812"/>
      <c r="Y26" s="3240"/>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7"/>
      <c r="Q27" s="1809" t="str">
        <f t="shared" ref="Q27:Q47" si="11">B27</f>
        <v>楼层</v>
      </c>
      <c r="R27" s="774" t="s">
        <v>17</v>
      </c>
      <c r="S27" s="775">
        <f>F27</f>
        <v>100</v>
      </c>
      <c r="T27" s="774" t="s">
        <v>17</v>
      </c>
      <c r="U27" s="775">
        <f>H27</f>
        <v>100</v>
      </c>
      <c r="V27" s="774" t="s">
        <v>17</v>
      </c>
      <c r="W27" s="775">
        <f>J27</f>
        <v>100</v>
      </c>
      <c r="X27" s="1812"/>
      <c r="Y27" s="3240"/>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47"/>
      <c r="Q28" s="1794" t="str">
        <f t="shared" si="11"/>
        <v>朝向</v>
      </c>
      <c r="R28" s="770" t="s">
        <v>17</v>
      </c>
      <c r="S28" s="771">
        <f>F28</f>
        <v>100</v>
      </c>
      <c r="T28" s="770" t="s">
        <v>17</v>
      </c>
      <c r="U28" s="771">
        <f>H28</f>
        <v>100</v>
      </c>
      <c r="V28" s="770" t="s">
        <v>17</v>
      </c>
      <c r="W28" s="771">
        <f>J28</f>
        <v>100</v>
      </c>
      <c r="X28" s="772"/>
      <c r="Y28" s="324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47"/>
      <c r="Q29" s="1809">
        <f t="shared" si="11"/>
        <v>111</v>
      </c>
      <c r="R29" s="774" t="s">
        <v>17</v>
      </c>
      <c r="S29" s="775">
        <f t="shared" ref="S29:S47" si="12">F29</f>
        <v>100</v>
      </c>
      <c r="T29" s="774" t="s">
        <v>17</v>
      </c>
      <c r="U29" s="775">
        <f t="shared" ref="U29:U47" si="13">H29</f>
        <v>100</v>
      </c>
      <c r="V29" s="774" t="s">
        <v>17</v>
      </c>
      <c r="W29" s="775">
        <f t="shared" ref="W29:W47" si="14">J29</f>
        <v>100</v>
      </c>
      <c r="X29" s="1812"/>
      <c r="Y29" s="324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47"/>
      <c r="Q32" s="1809">
        <f t="shared" si="11"/>
        <v>111</v>
      </c>
      <c r="R32" s="774" t="s">
        <v>17</v>
      </c>
      <c r="S32" s="775">
        <f t="shared" si="12"/>
        <v>100</v>
      </c>
      <c r="T32" s="774" t="s">
        <v>17</v>
      </c>
      <c r="U32" s="775">
        <f t="shared" si="13"/>
        <v>100</v>
      </c>
      <c r="V32" s="774" t="s">
        <v>17</v>
      </c>
      <c r="W32" s="775">
        <f t="shared" si="14"/>
        <v>100</v>
      </c>
      <c r="X32" s="1812"/>
      <c r="Y32" s="3240"/>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41" t="s">
        <v>2564</v>
      </c>
      <c r="Q33" s="1809" t="str">
        <f t="shared" si="11"/>
        <v>建筑类型</v>
      </c>
      <c r="R33" s="774" t="s">
        <v>17</v>
      </c>
      <c r="S33" s="775">
        <f t="shared" si="12"/>
        <v>100</v>
      </c>
      <c r="T33" s="774" t="s">
        <v>17</v>
      </c>
      <c r="U33" s="775">
        <f t="shared" si="13"/>
        <v>100</v>
      </c>
      <c r="V33" s="774" t="s">
        <v>17</v>
      </c>
      <c r="W33" s="775">
        <f t="shared" si="14"/>
        <v>100</v>
      </c>
      <c r="X33" s="1812"/>
      <c r="Y33" s="3244"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2"/>
      <c r="Q35" s="1809" t="str">
        <f t="shared" si="11"/>
        <v>建筑结构</v>
      </c>
      <c r="R35" s="774" t="s">
        <v>17</v>
      </c>
      <c r="S35" s="775">
        <f t="shared" si="12"/>
        <v>100</v>
      </c>
      <c r="T35" s="774" t="s">
        <v>17</v>
      </c>
      <c r="U35" s="775">
        <f t="shared" si="13"/>
        <v>100</v>
      </c>
      <c r="V35" s="774" t="s">
        <v>17</v>
      </c>
      <c r="W35" s="775">
        <f t="shared" si="14"/>
        <v>100</v>
      </c>
      <c r="X35" s="1812"/>
      <c r="Y35" s="3244"/>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2"/>
      <c r="Q36" s="1809" t="str">
        <f t="shared" si="11"/>
        <v>公共部分装修</v>
      </c>
      <c r="R36" s="774" t="s">
        <v>17</v>
      </c>
      <c r="S36" s="775">
        <f t="shared" si="12"/>
        <v>100</v>
      </c>
      <c r="T36" s="774" t="s">
        <v>17</v>
      </c>
      <c r="U36" s="775">
        <f t="shared" si="13"/>
        <v>100</v>
      </c>
      <c r="V36" s="774" t="s">
        <v>17</v>
      </c>
      <c r="W36" s="775">
        <f t="shared" si="14"/>
        <v>100</v>
      </c>
      <c r="X36" s="1812"/>
      <c r="Y36" s="3244"/>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2"/>
      <c r="Q37" s="1809" t="str">
        <f t="shared" si="11"/>
        <v>成新度</v>
      </c>
      <c r="R37" s="774" t="s">
        <v>17</v>
      </c>
      <c r="S37" s="775" t="e">
        <f t="shared" si="12"/>
        <v>#N/A</v>
      </c>
      <c r="T37" s="774" t="s">
        <v>17</v>
      </c>
      <c r="U37" s="775" t="e">
        <f t="shared" si="13"/>
        <v>#N/A</v>
      </c>
      <c r="V37" s="774" t="s">
        <v>17</v>
      </c>
      <c r="W37" s="775" t="e">
        <f t="shared" si="14"/>
        <v>#N/A</v>
      </c>
      <c r="X37" s="1812"/>
      <c r="Y37" s="3244"/>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2"/>
      <c r="Q38" s="1794"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2" t="s">
        <v>2564</v>
      </c>
      <c r="Q39" s="1809" t="str">
        <f t="shared" si="11"/>
        <v>物业管理</v>
      </c>
      <c r="R39" s="774" t="s">
        <v>17</v>
      </c>
      <c r="S39" s="775">
        <f t="shared" si="12"/>
        <v>100</v>
      </c>
      <c r="T39" s="774" t="s">
        <v>17</v>
      </c>
      <c r="U39" s="775">
        <f t="shared" si="13"/>
        <v>100</v>
      </c>
      <c r="V39" s="774" t="s">
        <v>17</v>
      </c>
      <c r="W39" s="775">
        <f t="shared" si="14"/>
        <v>100</v>
      </c>
      <c r="X39" s="1812"/>
      <c r="Y39" s="3244"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2"/>
      <c r="Q40" s="1809" t="str">
        <f t="shared" si="11"/>
        <v>市政基础设施</v>
      </c>
      <c r="R40" s="774" t="s">
        <v>17</v>
      </c>
      <c r="S40" s="775">
        <f t="shared" si="12"/>
        <v>100</v>
      </c>
      <c r="T40" s="774" t="s">
        <v>17</v>
      </c>
      <c r="U40" s="775">
        <f t="shared" si="13"/>
        <v>100</v>
      </c>
      <c r="V40" s="774" t="s">
        <v>17</v>
      </c>
      <c r="W40" s="775">
        <f t="shared" si="14"/>
        <v>100</v>
      </c>
      <c r="X40" s="1812"/>
      <c r="Y40" s="3244"/>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2"/>
      <c r="Q41" s="1809" t="str">
        <f t="shared" si="11"/>
        <v>层高</v>
      </c>
      <c r="R41" s="774" t="s">
        <v>17</v>
      </c>
      <c r="S41" s="775">
        <f t="shared" si="12"/>
        <v>100</v>
      </c>
      <c r="T41" s="774" t="s">
        <v>17</v>
      </c>
      <c r="U41" s="775">
        <f t="shared" si="13"/>
        <v>100</v>
      </c>
      <c r="V41" s="774" t="s">
        <v>17</v>
      </c>
      <c r="W41" s="775">
        <f t="shared" si="14"/>
        <v>100</v>
      </c>
      <c r="X41" s="1812"/>
      <c r="Y41" s="3244"/>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2"/>
      <c r="Q43" s="1809" t="str">
        <f t="shared" si="11"/>
        <v>内部装修</v>
      </c>
      <c r="R43" s="774" t="s">
        <v>17</v>
      </c>
      <c r="S43" s="775">
        <f t="shared" si="12"/>
        <v>100</v>
      </c>
      <c r="T43" s="774" t="s">
        <v>17</v>
      </c>
      <c r="U43" s="775">
        <f t="shared" si="13"/>
        <v>100</v>
      </c>
      <c r="V43" s="774" t="s">
        <v>17</v>
      </c>
      <c r="W43" s="775">
        <f t="shared" si="14"/>
        <v>100</v>
      </c>
      <c r="X43" s="1812"/>
      <c r="Y43" s="3244"/>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42"/>
      <c r="Q44" s="1809" t="str">
        <f t="shared" si="11"/>
        <v>内部装修维护情况</v>
      </c>
      <c r="R44" s="774" t="s">
        <v>17</v>
      </c>
      <c r="S44" s="775">
        <f t="shared" si="12"/>
        <v>100</v>
      </c>
      <c r="T44" s="774" t="s">
        <v>17</v>
      </c>
      <c r="U44" s="775">
        <f t="shared" si="13"/>
        <v>100</v>
      </c>
      <c r="V44" s="774" t="s">
        <v>17</v>
      </c>
      <c r="W44" s="775">
        <f t="shared" si="14"/>
        <v>100</v>
      </c>
      <c r="X44" s="1812"/>
      <c r="Y44" s="3244"/>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2"/>
      <c r="Q45" s="1794">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2"/>
      <c r="Q46" s="1809">
        <f t="shared" si="11"/>
        <v>111</v>
      </c>
      <c r="R46" s="774" t="s">
        <v>17</v>
      </c>
      <c r="S46" s="775">
        <f t="shared" si="12"/>
        <v>100</v>
      </c>
      <c r="T46" s="774" t="s">
        <v>17</v>
      </c>
      <c r="U46" s="775">
        <f t="shared" si="13"/>
        <v>100</v>
      </c>
      <c r="V46" s="774" t="s">
        <v>17</v>
      </c>
      <c r="W46" s="775">
        <f t="shared" si="14"/>
        <v>100</v>
      </c>
      <c r="X46" s="1812"/>
      <c r="Y46" s="3244"/>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3"/>
      <c r="Q47" s="1809">
        <f t="shared" si="11"/>
        <v>111</v>
      </c>
      <c r="R47" s="774" t="s">
        <v>17</v>
      </c>
      <c r="S47" s="775">
        <f t="shared" si="12"/>
        <v>100</v>
      </c>
      <c r="T47" s="774" t="s">
        <v>17</v>
      </c>
      <c r="U47" s="775">
        <f t="shared" si="13"/>
        <v>100</v>
      </c>
      <c r="V47" s="774" t="s">
        <v>17</v>
      </c>
      <c r="W47" s="775">
        <f t="shared" si="14"/>
        <v>100</v>
      </c>
      <c r="X47" s="1812"/>
      <c r="Y47" s="3245"/>
      <c r="Z47" s="1813">
        <f t="shared" si="15"/>
        <v>111</v>
      </c>
      <c r="AA47" s="1810">
        <f t="shared" si="3"/>
        <v>1</v>
      </c>
      <c r="AB47" s="1810">
        <f t="shared" si="4"/>
        <v>1</v>
      </c>
      <c r="AC47" s="2676">
        <f t="shared" si="5"/>
        <v>1</v>
      </c>
    </row>
    <row r="48" spans="1:29" ht="15">
      <c r="A48" s="479" t="s">
        <v>2576</v>
      </c>
      <c r="B48" s="480"/>
      <c r="C48" s="1406" t="s">
        <v>1</v>
      </c>
      <c r="D48" s="1407"/>
      <c r="E48" s="1408"/>
      <c r="F48" s="1409"/>
      <c r="G48" s="1410"/>
      <c r="H48" s="1411"/>
      <c r="I48" s="1408"/>
      <c r="J48" s="485"/>
      <c r="K48" s="783"/>
      <c r="L48" s="1142"/>
      <c r="M48" s="1130"/>
      <c r="N48" s="1130"/>
      <c r="O48" s="1130"/>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60" t="str">
        <f>A50</f>
        <v>估价对象XX用房的比较价值（楼面单价，元/平方米）</v>
      </c>
      <c r="Q50" s="3261"/>
      <c r="R50" s="3262" t="e">
        <f>IF(F1="售价",ROUND(AVERAGE(R49:V49),0),ROUND(AVERAGE(R49:V49),1))</f>
        <v>#DIV/0!</v>
      </c>
      <c r="S50" s="3262"/>
      <c r="T50" s="3262"/>
      <c r="U50" s="3262"/>
      <c r="V50" s="3262"/>
      <c r="W50" s="3262"/>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83"/>
      <c r="Q58" s="504"/>
    </row>
    <row r="59" spans="1:29" s="508" customFormat="1" ht="15">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2587</v>
      </c>
      <c r="B64" s="528" t="s">
        <v>2553</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2698</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2562</v>
      </c>
      <c r="B101" s="528" t="s">
        <v>2611</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140932.81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9" t="s">
        <v>2559</v>
      </c>
      <c r="Q15" s="1809" t="str">
        <f t="shared" si="6"/>
        <v>产业集聚程度</v>
      </c>
      <c r="R15" s="774" t="s">
        <v>17</v>
      </c>
      <c r="S15" s="775">
        <f t="shared" si="0"/>
        <v>100</v>
      </c>
      <c r="T15" s="774" t="s">
        <v>17</v>
      </c>
      <c r="U15" s="775">
        <f t="shared" si="1"/>
        <v>100</v>
      </c>
      <c r="V15" s="774" t="s">
        <v>17</v>
      </c>
      <c r="W15" s="775">
        <f t="shared" si="2"/>
        <v>100</v>
      </c>
      <c r="X15" s="1812"/>
      <c r="Y15" s="3239"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40"/>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40"/>
      <c r="Q18" s="1809"/>
      <c r="R18" s="774"/>
      <c r="S18" s="775"/>
      <c r="T18" s="774"/>
      <c r="U18" s="775"/>
      <c r="V18" s="774"/>
      <c r="W18" s="775"/>
      <c r="X18" s="1812"/>
      <c r="Y18" s="3240"/>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0"/>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40"/>
      <c r="Q20" s="1809"/>
      <c r="R20" s="774"/>
      <c r="S20" s="775"/>
      <c r="T20" s="774"/>
      <c r="U20" s="775"/>
      <c r="V20" s="774"/>
      <c r="W20" s="775"/>
      <c r="X20" s="1812"/>
      <c r="Y20" s="3240"/>
      <c r="Z20" s="1813"/>
      <c r="AA20" s="1810">
        <v>1</v>
      </c>
      <c r="AB20" s="1810">
        <v>1</v>
      </c>
      <c r="AC20" s="1810">
        <v>1</v>
      </c>
    </row>
    <row r="21" spans="1:29" ht="28.5">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0"/>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40"/>
      <c r="Q22" s="1809"/>
      <c r="R22" s="774"/>
      <c r="S22" s="775"/>
      <c r="T22" s="774"/>
      <c r="U22" s="775"/>
      <c r="V22" s="774"/>
      <c r="W22" s="775"/>
      <c r="X22" s="1812"/>
      <c r="Y22" s="3240"/>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0"/>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40"/>
      <c r="Q24" s="1809"/>
      <c r="R24" s="774"/>
      <c r="S24" s="775"/>
      <c r="T24" s="774"/>
      <c r="U24" s="775"/>
      <c r="V24" s="774"/>
      <c r="W24" s="775"/>
      <c r="X24" s="1812"/>
      <c r="Y24" s="324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0"/>
      <c r="Q25" s="1809">
        <f>B25</f>
        <v>111</v>
      </c>
      <c r="R25" s="774" t="s">
        <v>17</v>
      </c>
      <c r="S25" s="775">
        <f>F25</f>
        <v>100</v>
      </c>
      <c r="T25" s="774" t="s">
        <v>17</v>
      </c>
      <c r="U25" s="775">
        <f>H25</f>
        <v>100</v>
      </c>
      <c r="V25" s="774" t="s">
        <v>17</v>
      </c>
      <c r="W25" s="775">
        <f>J25</f>
        <v>100</v>
      </c>
      <c r="X25" s="1812"/>
      <c r="Y25" s="324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0"/>
      <c r="Q26" s="1809">
        <f t="shared" ref="Q26:Q40" si="11">B26</f>
        <v>111</v>
      </c>
      <c r="R26" s="774" t="s">
        <v>17</v>
      </c>
      <c r="S26" s="775">
        <f>F26</f>
        <v>100</v>
      </c>
      <c r="T26" s="774" t="s">
        <v>17</v>
      </c>
      <c r="U26" s="775">
        <f>H26</f>
        <v>100</v>
      </c>
      <c r="V26" s="774" t="s">
        <v>17</v>
      </c>
      <c r="W26" s="775">
        <f>J26</f>
        <v>100</v>
      </c>
      <c r="X26" s="1812"/>
      <c r="Y26" s="324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0"/>
      <c r="Q27" s="1794">
        <f t="shared" si="11"/>
        <v>111</v>
      </c>
      <c r="R27" s="770" t="s">
        <v>17</v>
      </c>
      <c r="S27" s="771">
        <f>F27</f>
        <v>100</v>
      </c>
      <c r="T27" s="770" t="s">
        <v>17</v>
      </c>
      <c r="U27" s="771">
        <f>H27</f>
        <v>100</v>
      </c>
      <c r="V27" s="770" t="s">
        <v>17</v>
      </c>
      <c r="W27" s="771">
        <f>J27</f>
        <v>100</v>
      </c>
      <c r="X27" s="772"/>
      <c r="Y27" s="324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0"/>
      <c r="Q28" s="1809">
        <f t="shared" si="11"/>
        <v>111</v>
      </c>
      <c r="R28" s="774" t="s">
        <v>17</v>
      </c>
      <c r="S28" s="775">
        <f t="shared" ref="S28:S40" si="12">F28</f>
        <v>100</v>
      </c>
      <c r="T28" s="774" t="s">
        <v>17</v>
      </c>
      <c r="U28" s="775">
        <f t="shared" ref="U28:U40" si="13">H28</f>
        <v>100</v>
      </c>
      <c r="V28" s="774" t="s">
        <v>17</v>
      </c>
      <c r="W28" s="775">
        <f t="shared" ref="W28:W40" si="14">J28</f>
        <v>100</v>
      </c>
      <c r="X28" s="1812"/>
      <c r="Y28" s="3240"/>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3" t="s">
        <v>2564</v>
      </c>
      <c r="Q29" s="1809" t="str">
        <f t="shared" si="11"/>
        <v>建筑类型</v>
      </c>
      <c r="R29" s="774" t="s">
        <v>17</v>
      </c>
      <c r="S29" s="775">
        <f t="shared" si="12"/>
        <v>100</v>
      </c>
      <c r="T29" s="774" t="s">
        <v>17</v>
      </c>
      <c r="U29" s="775">
        <f t="shared" si="13"/>
        <v>100</v>
      </c>
      <c r="V29" s="774" t="s">
        <v>17</v>
      </c>
      <c r="W29" s="775">
        <f t="shared" si="14"/>
        <v>100</v>
      </c>
      <c r="X29" s="1812"/>
      <c r="Y29" s="3244"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4"/>
      <c r="Q31" s="1809" t="str">
        <f t="shared" si="11"/>
        <v>建筑结构</v>
      </c>
      <c r="R31" s="774" t="s">
        <v>17</v>
      </c>
      <c r="S31" s="775">
        <f t="shared" si="12"/>
        <v>100</v>
      </c>
      <c r="T31" s="774" t="s">
        <v>17</v>
      </c>
      <c r="U31" s="775">
        <f t="shared" si="13"/>
        <v>100</v>
      </c>
      <c r="V31" s="774" t="s">
        <v>17</v>
      </c>
      <c r="W31" s="775">
        <f t="shared" si="14"/>
        <v>100</v>
      </c>
      <c r="X31" s="1812"/>
      <c r="Y31" s="3244"/>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4"/>
      <c r="Q32" s="1809" t="str">
        <f t="shared" si="11"/>
        <v>公共部分装修</v>
      </c>
      <c r="R32" s="774" t="s">
        <v>17</v>
      </c>
      <c r="S32" s="775">
        <f t="shared" si="12"/>
        <v>100</v>
      </c>
      <c r="T32" s="774" t="s">
        <v>17</v>
      </c>
      <c r="U32" s="775">
        <f t="shared" si="13"/>
        <v>100</v>
      </c>
      <c r="V32" s="774" t="s">
        <v>17</v>
      </c>
      <c r="W32" s="775">
        <f t="shared" si="14"/>
        <v>100</v>
      </c>
      <c r="X32" s="1812"/>
      <c r="Y32" s="3244"/>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4"/>
      <c r="Q33" s="1809" t="str">
        <f t="shared" si="11"/>
        <v>成新度</v>
      </c>
      <c r="R33" s="774" t="s">
        <v>17</v>
      </c>
      <c r="S33" s="775" t="e">
        <f t="shared" si="12"/>
        <v>#N/A</v>
      </c>
      <c r="T33" s="774" t="s">
        <v>17</v>
      </c>
      <c r="U33" s="775" t="e">
        <f t="shared" si="13"/>
        <v>#N/A</v>
      </c>
      <c r="V33" s="774" t="s">
        <v>17</v>
      </c>
      <c r="W33" s="775" t="e">
        <f t="shared" si="14"/>
        <v>#N/A</v>
      </c>
      <c r="X33" s="1812"/>
      <c r="Y33" s="3244"/>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4"/>
      <c r="Q34" s="1794"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4" t="s">
        <v>2564</v>
      </c>
      <c r="Q35" s="1809" t="str">
        <f t="shared" si="11"/>
        <v>市政基础设施</v>
      </c>
      <c r="R35" s="774" t="s">
        <v>17</v>
      </c>
      <c r="S35" s="775">
        <f t="shared" si="12"/>
        <v>100</v>
      </c>
      <c r="T35" s="774" t="s">
        <v>17</v>
      </c>
      <c r="U35" s="775">
        <f t="shared" si="13"/>
        <v>100</v>
      </c>
      <c r="V35" s="774" t="s">
        <v>17</v>
      </c>
      <c r="W35" s="775">
        <f t="shared" si="14"/>
        <v>100</v>
      </c>
      <c r="X35" s="1812"/>
      <c r="Y35" s="3244"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4"/>
      <c r="Q36" s="1809" t="str">
        <f t="shared" si="11"/>
        <v>内部装修</v>
      </c>
      <c r="R36" s="774" t="s">
        <v>17</v>
      </c>
      <c r="S36" s="775">
        <f t="shared" si="12"/>
        <v>100</v>
      </c>
      <c r="T36" s="774" t="s">
        <v>17</v>
      </c>
      <c r="U36" s="775">
        <f t="shared" si="13"/>
        <v>100</v>
      </c>
      <c r="V36" s="774" t="s">
        <v>17</v>
      </c>
      <c r="W36" s="775">
        <f t="shared" si="14"/>
        <v>100</v>
      </c>
      <c r="X36" s="1812"/>
      <c r="Y36" s="3244"/>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4"/>
      <c r="Q37" s="1809" t="str">
        <f t="shared" si="11"/>
        <v>内部装修状况</v>
      </c>
      <c r="R37" s="774" t="s">
        <v>17</v>
      </c>
      <c r="S37" s="775">
        <f t="shared" si="12"/>
        <v>100</v>
      </c>
      <c r="T37" s="774" t="s">
        <v>17</v>
      </c>
      <c r="U37" s="775">
        <f t="shared" si="13"/>
        <v>100</v>
      </c>
      <c r="V37" s="774" t="s">
        <v>17</v>
      </c>
      <c r="W37" s="775">
        <f t="shared" si="14"/>
        <v>100</v>
      </c>
      <c r="X37" s="1812"/>
      <c r="Y37" s="324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4"/>
      <c r="Q39" s="1809">
        <f t="shared" si="11"/>
        <v>111</v>
      </c>
      <c r="R39" s="774" t="s">
        <v>17</v>
      </c>
      <c r="S39" s="775">
        <f t="shared" si="12"/>
        <v>100</v>
      </c>
      <c r="T39" s="774" t="s">
        <v>17</v>
      </c>
      <c r="U39" s="775">
        <f t="shared" si="13"/>
        <v>100</v>
      </c>
      <c r="V39" s="774" t="s">
        <v>17</v>
      </c>
      <c r="W39" s="775">
        <f t="shared" si="14"/>
        <v>100</v>
      </c>
      <c r="X39" s="1812"/>
      <c r="Y39" s="3244"/>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5"/>
      <c r="Q40" s="1809">
        <f t="shared" si="11"/>
        <v>111</v>
      </c>
      <c r="R40" s="774" t="s">
        <v>17</v>
      </c>
      <c r="S40" s="775">
        <f t="shared" si="12"/>
        <v>100</v>
      </c>
      <c r="T40" s="774" t="s">
        <v>17</v>
      </c>
      <c r="U40" s="775">
        <f t="shared" si="13"/>
        <v>100</v>
      </c>
      <c r="V40" s="774" t="s">
        <v>17</v>
      </c>
      <c r="W40" s="775">
        <f t="shared" si="14"/>
        <v>100</v>
      </c>
      <c r="X40" s="1812"/>
      <c r="Y40" s="3245"/>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7" t="s">
        <v>2554</v>
      </c>
      <c r="Q9" s="1794"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9" t="s">
        <v>2559</v>
      </c>
      <c r="Q14" s="1809" t="str">
        <f t="shared" si="6"/>
        <v>交通便捷度</v>
      </c>
      <c r="R14" s="774" t="s">
        <v>17</v>
      </c>
      <c r="S14" s="775">
        <f t="shared" si="0"/>
        <v>100</v>
      </c>
      <c r="T14" s="774" t="s">
        <v>17</v>
      </c>
      <c r="U14" s="775">
        <f t="shared" si="1"/>
        <v>100</v>
      </c>
      <c r="V14" s="774" t="s">
        <v>17</v>
      </c>
      <c r="W14" s="775">
        <f t="shared" si="2"/>
        <v>100</v>
      </c>
      <c r="X14" s="1812"/>
      <c r="Y14" s="3239"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40"/>
      <c r="Q15" s="1809"/>
      <c r="R15" s="774"/>
      <c r="S15" s="775"/>
      <c r="T15" s="774"/>
      <c r="U15" s="775"/>
      <c r="V15" s="774"/>
      <c r="W15" s="775"/>
      <c r="X15" s="1812"/>
      <c r="Y15" s="3240"/>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40"/>
      <c r="Q17" s="1809"/>
      <c r="R17" s="774"/>
      <c r="S17" s="775"/>
      <c r="T17" s="774"/>
      <c r="U17" s="775"/>
      <c r="V17" s="774"/>
      <c r="W17" s="775"/>
      <c r="X17" s="1812"/>
      <c r="Y17" s="3240"/>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40"/>
      <c r="Q19" s="1809"/>
      <c r="R19" s="774"/>
      <c r="S19" s="775"/>
      <c r="T19" s="774"/>
      <c r="U19" s="775"/>
      <c r="V19" s="774"/>
      <c r="W19" s="775"/>
      <c r="X19" s="1812"/>
      <c r="Y19" s="3240"/>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40"/>
      <c r="Q21" s="1809"/>
      <c r="R21" s="774"/>
      <c r="S21" s="775"/>
      <c r="T21" s="774"/>
      <c r="U21" s="775"/>
      <c r="V21" s="774"/>
      <c r="W21" s="775"/>
      <c r="X21" s="1812"/>
      <c r="Y21" s="3240"/>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0"/>
      <c r="Q24" s="1809">
        <f t="shared" ref="Q24:Q36"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3"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4"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4"/>
      <c r="Q28" s="1809" t="str">
        <f t="shared" si="11"/>
        <v>公共部分装修</v>
      </c>
      <c r="R28" s="774" t="s">
        <v>17</v>
      </c>
      <c r="S28" s="775">
        <f t="shared" si="12"/>
        <v>100</v>
      </c>
      <c r="T28" s="774" t="s">
        <v>17</v>
      </c>
      <c r="U28" s="775">
        <f t="shared" si="13"/>
        <v>100</v>
      </c>
      <c r="V28" s="774" t="s">
        <v>17</v>
      </c>
      <c r="W28" s="775">
        <f t="shared" si="14"/>
        <v>100</v>
      </c>
      <c r="X28" s="1812"/>
      <c r="Y28" s="3244"/>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4"/>
      <c r="Q29" s="1809" t="str">
        <f t="shared" si="11"/>
        <v>成新率</v>
      </c>
      <c r="R29" s="774" t="s">
        <v>17</v>
      </c>
      <c r="S29" s="775" t="e">
        <f t="shared" si="12"/>
        <v>#N/A</v>
      </c>
      <c r="T29" s="774" t="s">
        <v>17</v>
      </c>
      <c r="U29" s="775" t="e">
        <f t="shared" si="13"/>
        <v>#N/A</v>
      </c>
      <c r="V29" s="774" t="s">
        <v>17</v>
      </c>
      <c r="W29" s="775" t="e">
        <f t="shared" si="14"/>
        <v>#N/A</v>
      </c>
      <c r="X29" s="1812"/>
      <c r="Y29" s="3244"/>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4"/>
      <c r="Q30" s="1809" t="str">
        <f t="shared" si="11"/>
        <v>物业等级</v>
      </c>
      <c r="R30" s="774" t="s">
        <v>17</v>
      </c>
      <c r="S30" s="775">
        <f t="shared" si="12"/>
        <v>100</v>
      </c>
      <c r="T30" s="774" t="s">
        <v>17</v>
      </c>
      <c r="U30" s="775">
        <f t="shared" si="13"/>
        <v>100</v>
      </c>
      <c r="V30" s="774" t="s">
        <v>17</v>
      </c>
      <c r="W30" s="775">
        <f t="shared" si="14"/>
        <v>100</v>
      </c>
      <c r="X30" s="1812"/>
      <c r="Y30" s="3244"/>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4"/>
      <c r="Q31" s="1794"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4" t="s">
        <v>2564</v>
      </c>
      <c r="Q32" s="1809" t="str">
        <f t="shared" si="11"/>
        <v>车位类型</v>
      </c>
      <c r="R32" s="774" t="s">
        <v>17</v>
      </c>
      <c r="S32" s="775">
        <f t="shared" si="12"/>
        <v>100</v>
      </c>
      <c r="T32" s="774" t="s">
        <v>17</v>
      </c>
      <c r="U32" s="775">
        <f t="shared" si="13"/>
        <v>100</v>
      </c>
      <c r="V32" s="774" t="s">
        <v>17</v>
      </c>
      <c r="W32" s="775">
        <f t="shared" si="14"/>
        <v>100</v>
      </c>
      <c r="X32" s="1812"/>
      <c r="Y32" s="3244"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4"/>
      <c r="Q33" s="1809" t="str">
        <f t="shared" si="11"/>
        <v>是否直接入户</v>
      </c>
      <c r="R33" s="774" t="s">
        <v>17</v>
      </c>
      <c r="S33" s="775">
        <f t="shared" si="12"/>
        <v>100</v>
      </c>
      <c r="T33" s="774" t="s">
        <v>17</v>
      </c>
      <c r="U33" s="775">
        <f t="shared" si="13"/>
        <v>100</v>
      </c>
      <c r="V33" s="774" t="s">
        <v>17</v>
      </c>
      <c r="W33" s="775">
        <f t="shared" si="14"/>
        <v>100</v>
      </c>
      <c r="X33" s="1812"/>
      <c r="Y33" s="324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4"/>
      <c r="Q36" s="1809">
        <f t="shared" si="11"/>
        <v>111</v>
      </c>
      <c r="R36" s="774" t="s">
        <v>17</v>
      </c>
      <c r="S36" s="775">
        <f t="shared" si="12"/>
        <v>100</v>
      </c>
      <c r="T36" s="774" t="s">
        <v>17</v>
      </c>
      <c r="U36" s="775">
        <f t="shared" si="13"/>
        <v>100</v>
      </c>
      <c r="V36" s="774" t="s">
        <v>17</v>
      </c>
      <c r="W36" s="775">
        <f t="shared" si="14"/>
        <v>100</v>
      </c>
      <c r="X36" s="1812"/>
      <c r="Y36" s="3244"/>
      <c r="Z36" s="1813">
        <f t="shared" si="15"/>
        <v>111</v>
      </c>
      <c r="AA36" s="1810">
        <f t="shared" si="3"/>
        <v>1</v>
      </c>
      <c r="AB36" s="1810">
        <f t="shared" si="4"/>
        <v>1</v>
      </c>
      <c r="AC36" s="1810">
        <f t="shared" si="5"/>
        <v>1</v>
      </c>
    </row>
    <row r="37" spans="1:29" ht="15">
      <c r="A37" s="479" t="s">
        <v>2719</v>
      </c>
      <c r="B37" s="2697" t="s">
        <v>2720</v>
      </c>
      <c r="C37" s="1406" t="s">
        <v>1</v>
      </c>
      <c r="D37" s="1407"/>
      <c r="E37" s="1408"/>
      <c r="F37" s="1409"/>
      <c r="G37" s="1410"/>
      <c r="H37" s="1411"/>
      <c r="I37" s="1408"/>
      <c r="J37" s="1411"/>
      <c r="K37" s="619"/>
      <c r="L37" s="1142"/>
      <c r="M37" s="1143"/>
      <c r="N37" s="1130"/>
      <c r="O37" s="1143"/>
      <c r="P37" s="3237" t="str">
        <f>A37</f>
        <v>成交单价</v>
      </c>
      <c r="Q37" s="3237"/>
      <c r="R37" s="3238">
        <f>E37</f>
        <v>0</v>
      </c>
      <c r="S37" s="3238"/>
      <c r="T37" s="3238">
        <f>G37</f>
        <v>0</v>
      </c>
      <c r="U37" s="3238"/>
      <c r="V37" s="3238">
        <f>I37</f>
        <v>0</v>
      </c>
      <c r="W37" s="3238"/>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估价对象为北京市出让国有建设用地使用权及在建建筑物房地产，为所有。根据《国有土地使用证》[]，估价对象（分摊）出让国有建设用地使用权面积为22165.75平方米，建筑面积为140932.81平方米。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7" t="s">
        <v>2554</v>
      </c>
      <c r="Q9" s="1794"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9" t="s">
        <v>2559</v>
      </c>
      <c r="Q14" s="1809" t="str">
        <f t="shared" si="6"/>
        <v>交通便捷度</v>
      </c>
      <c r="R14" s="774" t="s">
        <v>17</v>
      </c>
      <c r="S14" s="775">
        <f t="shared" si="0"/>
        <v>100</v>
      </c>
      <c r="T14" s="774" t="s">
        <v>17</v>
      </c>
      <c r="U14" s="775">
        <f t="shared" si="1"/>
        <v>100</v>
      </c>
      <c r="V14" s="774" t="s">
        <v>17</v>
      </c>
      <c r="W14" s="775">
        <f t="shared" si="2"/>
        <v>100</v>
      </c>
      <c r="X14" s="1812"/>
      <c r="Y14" s="3239"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40"/>
      <c r="Q15" s="1809"/>
      <c r="R15" s="774"/>
      <c r="S15" s="775"/>
      <c r="T15" s="774"/>
      <c r="U15" s="775"/>
      <c r="V15" s="774"/>
      <c r="W15" s="775"/>
      <c r="X15" s="1812"/>
      <c r="Y15" s="3240"/>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40"/>
      <c r="Q17" s="1809"/>
      <c r="R17" s="774"/>
      <c r="S17" s="775"/>
      <c r="T17" s="774"/>
      <c r="U17" s="775"/>
      <c r="V17" s="774"/>
      <c r="W17" s="775"/>
      <c r="X17" s="1812"/>
      <c r="Y17" s="3240"/>
      <c r="Z17" s="1813"/>
      <c r="AA17" s="1810">
        <v>1</v>
      </c>
      <c r="AB17" s="1810">
        <v>1</v>
      </c>
      <c r="AC17" s="1810">
        <v>1</v>
      </c>
    </row>
    <row r="18" spans="1:29" ht="28.5">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40"/>
      <c r="Q19" s="1809"/>
      <c r="R19" s="774"/>
      <c r="S19" s="775"/>
      <c r="T19" s="774"/>
      <c r="U19" s="775"/>
      <c r="V19" s="774"/>
      <c r="W19" s="775"/>
      <c r="X19" s="1812"/>
      <c r="Y19" s="3240"/>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40"/>
      <c r="Q21" s="1809"/>
      <c r="R21" s="774"/>
      <c r="S21" s="775"/>
      <c r="T21" s="774"/>
      <c r="U21" s="775"/>
      <c r="V21" s="774"/>
      <c r="W21" s="775"/>
      <c r="X21" s="1812"/>
      <c r="Y21" s="3240"/>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0"/>
      <c r="Q24" s="1809">
        <f t="shared" ref="Q24:Q34"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3"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4"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4"/>
      <c r="Q28" s="1809" t="str">
        <f t="shared" si="11"/>
        <v>物业等级</v>
      </c>
      <c r="R28" s="774" t="s">
        <v>17</v>
      </c>
      <c r="S28" s="775">
        <f t="shared" si="12"/>
        <v>100</v>
      </c>
      <c r="T28" s="774" t="s">
        <v>17</v>
      </c>
      <c r="U28" s="775">
        <f t="shared" si="13"/>
        <v>100</v>
      </c>
      <c r="V28" s="774" t="s">
        <v>17</v>
      </c>
      <c r="W28" s="775">
        <f t="shared" si="14"/>
        <v>100</v>
      </c>
      <c r="X28" s="1812"/>
      <c r="Y28" s="3244"/>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4"/>
      <c r="Q29" s="1809" t="str">
        <f t="shared" si="11"/>
        <v>有无电梯</v>
      </c>
      <c r="R29" s="774" t="s">
        <v>17</v>
      </c>
      <c r="S29" s="775">
        <f t="shared" si="12"/>
        <v>100</v>
      </c>
      <c r="T29" s="774" t="s">
        <v>17</v>
      </c>
      <c r="U29" s="775">
        <f t="shared" si="13"/>
        <v>100</v>
      </c>
      <c r="V29" s="774" t="s">
        <v>17</v>
      </c>
      <c r="W29" s="775">
        <f t="shared" si="14"/>
        <v>100</v>
      </c>
      <c r="X29" s="1812"/>
      <c r="Y29" s="3244"/>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4"/>
      <c r="Q30" s="1809" t="str">
        <f t="shared" si="11"/>
        <v>建筑面积</v>
      </c>
      <c r="R30" s="774" t="s">
        <v>17</v>
      </c>
      <c r="S30" s="775" t="e">
        <f t="shared" si="12"/>
        <v>#N/A</v>
      </c>
      <c r="T30" s="774" t="s">
        <v>17</v>
      </c>
      <c r="U30" s="775" t="e">
        <f t="shared" si="13"/>
        <v>#N/A</v>
      </c>
      <c r="V30" s="774" t="s">
        <v>17</v>
      </c>
      <c r="W30" s="775" t="e">
        <f t="shared" si="14"/>
        <v>#N/A</v>
      </c>
      <c r="X30" s="1812"/>
      <c r="Y30" s="3244"/>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4"/>
      <c r="Q31" s="1794"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4" t="s">
        <v>2564</v>
      </c>
      <c r="Q32" s="1809">
        <f t="shared" si="11"/>
        <v>111</v>
      </c>
      <c r="R32" s="774" t="s">
        <v>17</v>
      </c>
      <c r="S32" s="775">
        <f t="shared" si="12"/>
        <v>100</v>
      </c>
      <c r="T32" s="774" t="s">
        <v>17</v>
      </c>
      <c r="U32" s="775">
        <f t="shared" si="13"/>
        <v>100</v>
      </c>
      <c r="V32" s="774" t="s">
        <v>17</v>
      </c>
      <c r="W32" s="775">
        <f t="shared" si="14"/>
        <v>100</v>
      </c>
      <c r="X32" s="1812"/>
      <c r="Y32" s="3244"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4"/>
      <c r="Q33" s="1809">
        <f t="shared" si="11"/>
        <v>111</v>
      </c>
      <c r="R33" s="774" t="s">
        <v>17</v>
      </c>
      <c r="S33" s="775">
        <f t="shared" si="12"/>
        <v>100</v>
      </c>
      <c r="T33" s="774" t="s">
        <v>17</v>
      </c>
      <c r="U33" s="775">
        <f t="shared" si="13"/>
        <v>100</v>
      </c>
      <c r="V33" s="774" t="s">
        <v>17</v>
      </c>
      <c r="W33" s="775">
        <f t="shared" si="14"/>
        <v>100</v>
      </c>
      <c r="X33" s="1812"/>
      <c r="Y33" s="3244"/>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30"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30" ht="15.7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30" s="117" customFormat="1" ht="15.7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7"/>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9" t="s">
        <v>2559</v>
      </c>
      <c r="Q15" s="1809" t="str">
        <f t="shared" si="6"/>
        <v>居住社区成熟度</v>
      </c>
      <c r="R15" s="774" t="s">
        <v>17</v>
      </c>
      <c r="S15" s="775">
        <f t="shared" si="0"/>
        <v>100</v>
      </c>
      <c r="T15" s="774" t="s">
        <v>17</v>
      </c>
      <c r="U15" s="775">
        <f t="shared" si="1"/>
        <v>100</v>
      </c>
      <c r="V15" s="774" t="s">
        <v>17</v>
      </c>
      <c r="W15" s="775">
        <f t="shared" si="2"/>
        <v>100</v>
      </c>
      <c r="X15" s="1812"/>
      <c r="Y15" s="3239"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0"/>
      <c r="Q17" s="1809" t="str">
        <f>B17</f>
        <v>商业繁华度</v>
      </c>
      <c r="R17" s="774" t="s">
        <v>17</v>
      </c>
      <c r="S17" s="775">
        <f>F17</f>
        <v>100</v>
      </c>
      <c r="T17" s="774" t="s">
        <v>17</v>
      </c>
      <c r="U17" s="775">
        <f>H17</f>
        <v>100</v>
      </c>
      <c r="V17" s="774" t="s">
        <v>17</v>
      </c>
      <c r="W17" s="775">
        <f>J17</f>
        <v>100</v>
      </c>
      <c r="X17" s="1812"/>
      <c r="Y17" s="3240"/>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0"/>
      <c r="Q19" s="1809" t="str">
        <f>B19</f>
        <v>办公集聚程度</v>
      </c>
      <c r="R19" s="774" t="s">
        <v>17</v>
      </c>
      <c r="S19" s="775">
        <f>F19</f>
        <v>100</v>
      </c>
      <c r="T19" s="774" t="s">
        <v>17</v>
      </c>
      <c r="U19" s="775">
        <f>H19</f>
        <v>100</v>
      </c>
      <c r="V19" s="774" t="s">
        <v>17</v>
      </c>
      <c r="W19" s="775">
        <f>J19</f>
        <v>100</v>
      </c>
      <c r="X19" s="1812"/>
      <c r="Y19" s="3240"/>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40"/>
      <c r="Q20" s="1809"/>
      <c r="R20" s="774"/>
      <c r="S20" s="775"/>
      <c r="T20" s="774"/>
      <c r="U20" s="775"/>
      <c r="V20" s="774"/>
      <c r="W20" s="775"/>
      <c r="X20" s="1812"/>
      <c r="Y20" s="3240"/>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0"/>
      <c r="Q21" s="1809" t="str">
        <f>B21</f>
        <v>交通便捷度</v>
      </c>
      <c r="R21" s="774" t="s">
        <v>17</v>
      </c>
      <c r="S21" s="775">
        <f>F21</f>
        <v>100</v>
      </c>
      <c r="T21" s="774" t="s">
        <v>17</v>
      </c>
      <c r="U21" s="775">
        <f>H21</f>
        <v>100</v>
      </c>
      <c r="V21" s="774" t="s">
        <v>17</v>
      </c>
      <c r="W21" s="775">
        <f>J21</f>
        <v>100</v>
      </c>
      <c r="X21" s="1812"/>
      <c r="Y21" s="3240"/>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0"/>
      <c r="Q23" s="1809" t="str">
        <f t="shared" ref="Q23:Q37" si="8">B23</f>
        <v>区域土地利用方向</v>
      </c>
      <c r="R23" s="774" t="s">
        <v>17</v>
      </c>
      <c r="S23" s="775">
        <f>F23</f>
        <v>100</v>
      </c>
      <c r="T23" s="774" t="s">
        <v>17</v>
      </c>
      <c r="U23" s="775">
        <f>H23</f>
        <v>100</v>
      </c>
      <c r="V23" s="774" t="s">
        <v>17</v>
      </c>
      <c r="W23" s="775">
        <f>J23</f>
        <v>100</v>
      </c>
      <c r="X23" s="1812"/>
      <c r="Y23" s="3240"/>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40"/>
      <c r="Q24" s="1809"/>
      <c r="R24" s="774"/>
      <c r="S24" s="775"/>
      <c r="T24" s="774"/>
      <c r="U24" s="775"/>
      <c r="V24" s="774"/>
      <c r="W24" s="775"/>
      <c r="X24" s="1812"/>
      <c r="Y24" s="3240"/>
      <c r="Z24" s="1813"/>
      <c r="AA24" s="1810"/>
      <c r="AB24" s="1810"/>
      <c r="AC24" s="1810"/>
    </row>
    <row r="25" spans="1:29" ht="57">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0"/>
      <c r="Q25" s="1809" t="str">
        <f t="shared" si="8"/>
        <v>自然及人文环境状况</v>
      </c>
      <c r="R25" s="774" t="s">
        <v>17</v>
      </c>
      <c r="S25" s="775">
        <f>F25</f>
        <v>100</v>
      </c>
      <c r="T25" s="774" t="s">
        <v>17</v>
      </c>
      <c r="U25" s="775">
        <f>H25</f>
        <v>100</v>
      </c>
      <c r="V25" s="774" t="s">
        <v>17</v>
      </c>
      <c r="W25" s="775">
        <f>J25</f>
        <v>100</v>
      </c>
      <c r="X25" s="1812"/>
      <c r="Y25" s="3240"/>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40"/>
      <c r="Q26" s="1809"/>
      <c r="R26" s="774"/>
      <c r="S26" s="775"/>
      <c r="T26" s="774"/>
      <c r="U26" s="775"/>
      <c r="V26" s="774"/>
      <c r="W26" s="775"/>
      <c r="X26" s="1812"/>
      <c r="Y26" s="3240"/>
      <c r="Z26" s="1813"/>
      <c r="AA26" s="1810">
        <v>1</v>
      </c>
      <c r="AB26" s="1810">
        <v>1</v>
      </c>
      <c r="AC26" s="1810">
        <v>1</v>
      </c>
    </row>
    <row r="27" spans="1:29" s="117" customFormat="1" ht="42.75">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0"/>
      <c r="Q27" s="1794" t="str">
        <f t="shared" si="8"/>
        <v>公共配套设施</v>
      </c>
      <c r="R27" s="770" t="s">
        <v>17</v>
      </c>
      <c r="S27" s="771">
        <f>F27</f>
        <v>100</v>
      </c>
      <c r="T27" s="770" t="s">
        <v>17</v>
      </c>
      <c r="U27" s="771">
        <f>H27</f>
        <v>100</v>
      </c>
      <c r="V27" s="770" t="s">
        <v>17</v>
      </c>
      <c r="W27" s="771">
        <f>J27</f>
        <v>100</v>
      </c>
      <c r="X27" s="772"/>
      <c r="Y27" s="3240"/>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40"/>
      <c r="Q28" s="1794"/>
      <c r="R28" s="770"/>
      <c r="S28" s="771"/>
      <c r="T28" s="770"/>
      <c r="U28" s="771"/>
      <c r="V28" s="770"/>
      <c r="W28" s="771"/>
      <c r="X28" s="772"/>
      <c r="Y28" s="3240"/>
      <c r="Z28" s="55"/>
      <c r="AA28" s="1810">
        <v>1</v>
      </c>
      <c r="AB28" s="1810">
        <v>1</v>
      </c>
      <c r="AC28" s="1810">
        <v>1</v>
      </c>
    </row>
    <row r="29" spans="1:29" s="117" customFormat="1" ht="28.5">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0"/>
      <c r="Q29" s="1794"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40"/>
      <c r="Q30" s="1794"/>
      <c r="R30" s="770"/>
      <c r="S30" s="771"/>
      <c r="T30" s="770"/>
      <c r="U30" s="771"/>
      <c r="V30" s="770"/>
      <c r="W30" s="771"/>
      <c r="X30" s="772"/>
      <c r="Y30" s="3240"/>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0"/>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0"/>
      <c r="Q32" s="1809" t="str">
        <f t="shared" si="8"/>
        <v>毗邻道路的类型与等级</v>
      </c>
      <c r="R32" s="774" t="s">
        <v>17</v>
      </c>
      <c r="S32" s="775">
        <f t="shared" si="10"/>
        <v>100</v>
      </c>
      <c r="T32" s="774" t="s">
        <v>17</v>
      </c>
      <c r="U32" s="775">
        <f t="shared" si="11"/>
        <v>100</v>
      </c>
      <c r="V32" s="774" t="s">
        <v>17</v>
      </c>
      <c r="W32" s="775">
        <f t="shared" si="12"/>
        <v>100</v>
      </c>
      <c r="X32" s="1812"/>
      <c r="Y32" s="324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40"/>
      <c r="Q33" s="1809"/>
      <c r="R33" s="774"/>
      <c r="S33" s="775"/>
      <c r="T33" s="774"/>
      <c r="U33" s="775"/>
      <c r="V33" s="774"/>
      <c r="W33" s="775"/>
      <c r="X33" s="1812"/>
      <c r="Y33" s="3240"/>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0"/>
      <c r="Q34" s="1809" t="str">
        <f t="shared" si="8"/>
        <v>土地级别</v>
      </c>
      <c r="R34" s="774" t="s">
        <v>17</v>
      </c>
      <c r="S34" s="775">
        <f t="shared" si="10"/>
        <v>100</v>
      </c>
      <c r="T34" s="774" t="s">
        <v>17</v>
      </c>
      <c r="U34" s="775">
        <f t="shared" si="11"/>
        <v>100</v>
      </c>
      <c r="V34" s="774" t="s">
        <v>17</v>
      </c>
      <c r="W34" s="775">
        <f t="shared" si="12"/>
        <v>100</v>
      </c>
      <c r="X34" s="1812"/>
      <c r="Y34" s="324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0"/>
      <c r="Q35" s="1809">
        <f t="shared" si="8"/>
        <v>111</v>
      </c>
      <c r="R35" s="774" t="s">
        <v>17</v>
      </c>
      <c r="S35" s="775">
        <f t="shared" si="10"/>
        <v>100</v>
      </c>
      <c r="T35" s="774" t="s">
        <v>17</v>
      </c>
      <c r="U35" s="775">
        <f t="shared" si="11"/>
        <v>100</v>
      </c>
      <c r="V35" s="774" t="s">
        <v>17</v>
      </c>
      <c r="W35" s="775">
        <f t="shared" si="12"/>
        <v>100</v>
      </c>
      <c r="X35" s="1812"/>
      <c r="Y35" s="324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3" t="s">
        <v>2564</v>
      </c>
      <c r="Q36" s="1809">
        <f t="shared" si="8"/>
        <v>111</v>
      </c>
      <c r="R36" s="774" t="s">
        <v>17</v>
      </c>
      <c r="S36" s="775">
        <f t="shared" si="10"/>
        <v>100</v>
      </c>
      <c r="T36" s="774" t="s">
        <v>17</v>
      </c>
      <c r="U36" s="775">
        <f t="shared" si="11"/>
        <v>100</v>
      </c>
      <c r="V36" s="774" t="s">
        <v>17</v>
      </c>
      <c r="W36" s="775">
        <f t="shared" si="12"/>
        <v>100</v>
      </c>
      <c r="X36" s="1812"/>
      <c r="Y36" s="3244"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4"/>
      <c r="Q37" s="1809">
        <f t="shared" si="8"/>
        <v>111</v>
      </c>
      <c r="R37" s="777" t="s">
        <v>17</v>
      </c>
      <c r="S37" s="778">
        <f t="shared" si="10"/>
        <v>100</v>
      </c>
      <c r="T37" s="777" t="s">
        <v>17</v>
      </c>
      <c r="U37" s="778">
        <f t="shared" si="11"/>
        <v>100</v>
      </c>
      <c r="V37" s="777" t="s">
        <v>17</v>
      </c>
      <c r="W37" s="778">
        <f t="shared" si="12"/>
        <v>100</v>
      </c>
      <c r="X37" s="779"/>
      <c r="Y37" s="3244"/>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4"/>
      <c r="Q38" s="1809" t="str">
        <f>B38</f>
        <v>宗地面积</v>
      </c>
      <c r="R38" s="774" t="s">
        <v>17</v>
      </c>
      <c r="S38" s="775" t="e">
        <f t="shared" si="10"/>
        <v>#N/A</v>
      </c>
      <c r="T38" s="774" t="s">
        <v>17</v>
      </c>
      <c r="U38" s="775" t="e">
        <f t="shared" si="11"/>
        <v>#N/A</v>
      </c>
      <c r="V38" s="774" t="s">
        <v>17</v>
      </c>
      <c r="W38" s="775" t="e">
        <f t="shared" si="12"/>
        <v>#N/A</v>
      </c>
      <c r="X38" s="1812"/>
      <c r="Y38" s="3244"/>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44"/>
      <c r="Q39" s="1809" t="str">
        <f t="shared" ref="Q39:Q45" si="14">B39</f>
        <v>宗地形状</v>
      </c>
      <c r="R39" s="774" t="s">
        <v>17</v>
      </c>
      <c r="S39" s="775">
        <f t="shared" si="10"/>
        <v>100</v>
      </c>
      <c r="T39" s="774" t="s">
        <v>17</v>
      </c>
      <c r="U39" s="775">
        <f t="shared" si="11"/>
        <v>100</v>
      </c>
      <c r="V39" s="774" t="s">
        <v>17</v>
      </c>
      <c r="W39" s="775">
        <f t="shared" si="12"/>
        <v>100</v>
      </c>
      <c r="X39" s="1812"/>
      <c r="Y39" s="3244"/>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44"/>
      <c r="Q40" s="1809" t="str">
        <f t="shared" si="14"/>
        <v>临街宽度及深度</v>
      </c>
      <c r="R40" s="774" t="s">
        <v>17</v>
      </c>
      <c r="S40" s="775">
        <f t="shared" si="10"/>
        <v>100</v>
      </c>
      <c r="T40" s="774" t="s">
        <v>17</v>
      </c>
      <c r="U40" s="775">
        <f t="shared" si="11"/>
        <v>100</v>
      </c>
      <c r="V40" s="774" t="s">
        <v>17</v>
      </c>
      <c r="W40" s="775">
        <f t="shared" si="12"/>
        <v>100</v>
      </c>
      <c r="X40" s="1812"/>
      <c r="Y40" s="3244"/>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44"/>
      <c r="Q41" s="1809"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44" t="s">
        <v>2564</v>
      </c>
      <c r="Q42" s="1809" t="str">
        <f t="shared" si="14"/>
        <v>工程地质条件</v>
      </c>
      <c r="R42" s="774" t="s">
        <v>17</v>
      </c>
      <c r="S42" s="775">
        <f t="shared" si="10"/>
        <v>100</v>
      </c>
      <c r="T42" s="774" t="s">
        <v>17</v>
      </c>
      <c r="U42" s="775">
        <f t="shared" si="11"/>
        <v>100</v>
      </c>
      <c r="V42" s="774" t="s">
        <v>17</v>
      </c>
      <c r="W42" s="775">
        <f t="shared" si="12"/>
        <v>100</v>
      </c>
      <c r="X42" s="1812"/>
      <c r="Y42" s="3244"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4"/>
      <c r="Q43" s="1809">
        <f t="shared" si="14"/>
        <v>111</v>
      </c>
      <c r="R43" s="774" t="s">
        <v>17</v>
      </c>
      <c r="S43" s="775">
        <f t="shared" si="10"/>
        <v>100</v>
      </c>
      <c r="T43" s="774" t="s">
        <v>17</v>
      </c>
      <c r="U43" s="775">
        <f t="shared" si="11"/>
        <v>100</v>
      </c>
      <c r="V43" s="774" t="s">
        <v>17</v>
      </c>
      <c r="W43" s="775">
        <f t="shared" si="12"/>
        <v>100</v>
      </c>
      <c r="X43" s="1812"/>
      <c r="Y43" s="324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4"/>
      <c r="Q44" s="1809">
        <f t="shared" si="14"/>
        <v>111</v>
      </c>
      <c r="R44" s="774" t="s">
        <v>17</v>
      </c>
      <c r="S44" s="775">
        <f t="shared" si="10"/>
        <v>100</v>
      </c>
      <c r="T44" s="774" t="s">
        <v>17</v>
      </c>
      <c r="U44" s="775">
        <f t="shared" si="11"/>
        <v>100</v>
      </c>
      <c r="V44" s="774" t="s">
        <v>17</v>
      </c>
      <c r="W44" s="775">
        <f t="shared" si="12"/>
        <v>100</v>
      </c>
      <c r="X44" s="1812"/>
      <c r="Y44" s="3244"/>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4"/>
      <c r="Q45" s="1809">
        <f t="shared" si="14"/>
        <v>111</v>
      </c>
      <c r="R45" s="777" t="s">
        <v>17</v>
      </c>
      <c r="S45" s="778">
        <f t="shared" si="10"/>
        <v>100</v>
      </c>
      <c r="T45" s="777" t="s">
        <v>17</v>
      </c>
      <c r="U45" s="778">
        <f t="shared" si="11"/>
        <v>100</v>
      </c>
      <c r="V45" s="777" t="s">
        <v>17</v>
      </c>
      <c r="W45" s="778">
        <f t="shared" si="12"/>
        <v>100</v>
      </c>
      <c r="X45" s="779"/>
      <c r="Y45" s="3244"/>
      <c r="Z45" s="780">
        <f t="shared" si="13"/>
        <v>111</v>
      </c>
      <c r="AA45" s="1810">
        <f t="shared" si="3"/>
        <v>1</v>
      </c>
      <c r="AB45" s="1810">
        <f t="shared" si="4"/>
        <v>1</v>
      </c>
      <c r="AC45" s="1810">
        <f t="shared" si="5"/>
        <v>1</v>
      </c>
    </row>
    <row r="46" spans="1:29" ht="15">
      <c r="A46" s="479" t="s">
        <v>2719</v>
      </c>
      <c r="B46" s="2706" t="s">
        <v>2755</v>
      </c>
      <c r="C46" s="682" t="s">
        <v>1</v>
      </c>
      <c r="D46" s="481"/>
      <c r="E46" s="482"/>
      <c r="F46" s="483"/>
      <c r="G46" s="484"/>
      <c r="H46" s="485"/>
      <c r="I46" s="482"/>
      <c r="J46" s="485"/>
      <c r="K46" s="783"/>
      <c r="L46" s="1142"/>
      <c r="M46" s="1143"/>
      <c r="N46" s="1130"/>
      <c r="O46" s="1143"/>
      <c r="P46" s="3237" t="str">
        <f>A46</f>
        <v>成交单价</v>
      </c>
      <c r="Q46" s="3237"/>
      <c r="R46" s="3232">
        <f>E46</f>
        <v>0</v>
      </c>
      <c r="S46" s="3232"/>
      <c r="T46" s="3232">
        <f>G46</f>
        <v>0</v>
      </c>
      <c r="U46" s="3232"/>
      <c r="V46" s="3232">
        <f>I46</f>
        <v>0</v>
      </c>
      <c r="W46" s="323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2"/>
      <c r="M48" s="1143"/>
      <c r="N48" s="1143"/>
      <c r="O48" s="1143"/>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20" t="s">
        <v>2763</v>
      </c>
      <c r="H55" s="3266"/>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19"/>
      <c r="H56" s="3237"/>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67"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67"/>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67"/>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67"/>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1301.8900000000001</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5"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ht="13.5" thickBot="1">
      <c r="A66" s="695" t="s">
        <v>2780</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68" t="s">
        <v>2796</v>
      </c>
      <c r="D6" s="3269"/>
      <c r="E6" s="3270" t="s">
        <v>2796</v>
      </c>
      <c r="F6" s="3271"/>
      <c r="G6" s="3268" t="s">
        <v>2796</v>
      </c>
      <c r="H6" s="3269"/>
      <c r="I6" s="3268" t="s">
        <v>2796</v>
      </c>
      <c r="J6" s="3269"/>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9" t="s">
        <v>2559</v>
      </c>
      <c r="Q15" s="1809" t="str">
        <f t="shared" si="6"/>
        <v>产业集聚程度</v>
      </c>
      <c r="R15" s="774" t="s">
        <v>17</v>
      </c>
      <c r="S15" s="775">
        <f t="shared" si="0"/>
        <v>100</v>
      </c>
      <c r="T15" s="774" t="s">
        <v>17</v>
      </c>
      <c r="U15" s="775">
        <f t="shared" si="1"/>
        <v>100</v>
      </c>
      <c r="V15" s="774" t="s">
        <v>17</v>
      </c>
      <c r="W15" s="775">
        <f t="shared" si="2"/>
        <v>100</v>
      </c>
      <c r="X15" s="1812"/>
      <c r="Y15" s="3239"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0"/>
      <c r="Q19" s="1809" t="str">
        <f t="shared" ref="Q19:Q33" si="8">B19</f>
        <v>区域土地利用方向</v>
      </c>
      <c r="R19" s="774" t="s">
        <v>17</v>
      </c>
      <c r="S19" s="775">
        <f>F19</f>
        <v>100</v>
      </c>
      <c r="T19" s="774" t="s">
        <v>17</v>
      </c>
      <c r="U19" s="775">
        <f>H19</f>
        <v>100</v>
      </c>
      <c r="V19" s="774" t="s">
        <v>17</v>
      </c>
      <c r="W19" s="775">
        <f>J19</f>
        <v>100</v>
      </c>
      <c r="X19" s="1812"/>
      <c r="Y19" s="324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40"/>
      <c r="Q20" s="1809"/>
      <c r="R20" s="774"/>
      <c r="S20" s="775"/>
      <c r="T20" s="774"/>
      <c r="U20" s="775"/>
      <c r="V20" s="774"/>
      <c r="W20" s="775"/>
      <c r="X20" s="1812"/>
      <c r="Y20" s="3240"/>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0"/>
      <c r="Q21" s="1809" t="str">
        <f t="shared" si="8"/>
        <v>环境状况</v>
      </c>
      <c r="R21" s="774" t="s">
        <v>17</v>
      </c>
      <c r="S21" s="775">
        <f>F21</f>
        <v>100</v>
      </c>
      <c r="T21" s="774" t="s">
        <v>17</v>
      </c>
      <c r="U21" s="775">
        <f>H21</f>
        <v>100</v>
      </c>
      <c r="V21" s="774" t="s">
        <v>17</v>
      </c>
      <c r="W21" s="775">
        <f>J21</f>
        <v>100</v>
      </c>
      <c r="X21" s="1812"/>
      <c r="Y21" s="324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0"/>
      <c r="Q23" s="1794" t="str">
        <f t="shared" si="8"/>
        <v>公共配套设施</v>
      </c>
      <c r="R23" s="770" t="s">
        <v>17</v>
      </c>
      <c r="S23" s="771">
        <f>F23</f>
        <v>100</v>
      </c>
      <c r="T23" s="770" t="s">
        <v>17</v>
      </c>
      <c r="U23" s="771">
        <f>H23</f>
        <v>100</v>
      </c>
      <c r="V23" s="770" t="s">
        <v>17</v>
      </c>
      <c r="W23" s="771">
        <f>J23</f>
        <v>100</v>
      </c>
      <c r="X23" s="772"/>
      <c r="Y23" s="324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40"/>
      <c r="Q24" s="1794"/>
      <c r="R24" s="770"/>
      <c r="S24" s="771"/>
      <c r="T24" s="770"/>
      <c r="U24" s="771"/>
      <c r="V24" s="770"/>
      <c r="W24" s="771"/>
      <c r="X24" s="772"/>
      <c r="Y24" s="3240"/>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0"/>
      <c r="Q25" s="1794"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40"/>
      <c r="Q26" s="1794"/>
      <c r="R26" s="770"/>
      <c r="S26" s="771"/>
      <c r="T26" s="770"/>
      <c r="U26" s="771"/>
      <c r="V26" s="770"/>
      <c r="W26" s="771"/>
      <c r="X26" s="772"/>
      <c r="Y26" s="324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0"/>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0"/>
      <c r="Q28" s="1809" t="str">
        <f t="shared" si="8"/>
        <v>毗邻道路的类型与等级</v>
      </c>
      <c r="R28" s="774" t="s">
        <v>17</v>
      </c>
      <c r="S28" s="775">
        <f t="shared" si="10"/>
        <v>100</v>
      </c>
      <c r="T28" s="774" t="s">
        <v>17</v>
      </c>
      <c r="U28" s="775">
        <f t="shared" si="11"/>
        <v>100</v>
      </c>
      <c r="V28" s="774" t="s">
        <v>17</v>
      </c>
      <c r="W28" s="775">
        <f t="shared" si="12"/>
        <v>100</v>
      </c>
      <c r="X28" s="1812"/>
      <c r="Y28" s="324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40"/>
      <c r="Q29" s="1809"/>
      <c r="R29" s="774"/>
      <c r="S29" s="775"/>
      <c r="T29" s="774"/>
      <c r="U29" s="775"/>
      <c r="V29" s="774"/>
      <c r="W29" s="775"/>
      <c r="X29" s="1812"/>
      <c r="Y29" s="3240"/>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0"/>
      <c r="Q30" s="1809" t="str">
        <f t="shared" si="8"/>
        <v>土地级别</v>
      </c>
      <c r="R30" s="774" t="s">
        <v>17</v>
      </c>
      <c r="S30" s="775">
        <f t="shared" si="10"/>
        <v>100</v>
      </c>
      <c r="T30" s="774" t="s">
        <v>17</v>
      </c>
      <c r="U30" s="775">
        <f t="shared" si="11"/>
        <v>100</v>
      </c>
      <c r="V30" s="774" t="s">
        <v>17</v>
      </c>
      <c r="W30" s="775">
        <f t="shared" si="12"/>
        <v>100</v>
      </c>
      <c r="X30" s="1812"/>
      <c r="Y30" s="324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0"/>
      <c r="Q31" s="1809">
        <f t="shared" si="8"/>
        <v>111</v>
      </c>
      <c r="R31" s="774" t="s">
        <v>17</v>
      </c>
      <c r="S31" s="775">
        <f t="shared" si="10"/>
        <v>100</v>
      </c>
      <c r="T31" s="774" t="s">
        <v>17</v>
      </c>
      <c r="U31" s="775">
        <f t="shared" si="11"/>
        <v>100</v>
      </c>
      <c r="V31" s="774" t="s">
        <v>17</v>
      </c>
      <c r="W31" s="775">
        <f t="shared" si="12"/>
        <v>100</v>
      </c>
      <c r="X31" s="1812"/>
      <c r="Y31" s="324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3" t="s">
        <v>2564</v>
      </c>
      <c r="Q32" s="1809">
        <f t="shared" si="8"/>
        <v>111</v>
      </c>
      <c r="R32" s="774" t="s">
        <v>17</v>
      </c>
      <c r="S32" s="775">
        <f t="shared" si="10"/>
        <v>100</v>
      </c>
      <c r="T32" s="774" t="s">
        <v>17</v>
      </c>
      <c r="U32" s="775">
        <f t="shared" si="11"/>
        <v>100</v>
      </c>
      <c r="V32" s="774" t="s">
        <v>17</v>
      </c>
      <c r="W32" s="775">
        <f t="shared" si="12"/>
        <v>100</v>
      </c>
      <c r="X32" s="1812"/>
      <c r="Y32" s="3244"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4"/>
      <c r="Q33" s="1809">
        <f t="shared" si="8"/>
        <v>111</v>
      </c>
      <c r="R33" s="777" t="s">
        <v>17</v>
      </c>
      <c r="S33" s="778">
        <f t="shared" si="10"/>
        <v>100</v>
      </c>
      <c r="T33" s="777" t="s">
        <v>17</v>
      </c>
      <c r="U33" s="778">
        <f t="shared" si="11"/>
        <v>100</v>
      </c>
      <c r="V33" s="777" t="s">
        <v>17</v>
      </c>
      <c r="W33" s="778">
        <f t="shared" si="12"/>
        <v>100</v>
      </c>
      <c r="X33" s="779"/>
      <c r="Y33" s="3244"/>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4"/>
      <c r="Q34" s="1809" t="str">
        <f>B34</f>
        <v>宗地面积</v>
      </c>
      <c r="R34" s="774" t="s">
        <v>17</v>
      </c>
      <c r="S34" s="775" t="e">
        <f t="shared" si="10"/>
        <v>#N/A</v>
      </c>
      <c r="T34" s="774" t="s">
        <v>17</v>
      </c>
      <c r="U34" s="775" t="e">
        <f t="shared" si="11"/>
        <v>#N/A</v>
      </c>
      <c r="V34" s="774" t="s">
        <v>17</v>
      </c>
      <c r="W34" s="775" t="e">
        <f t="shared" si="12"/>
        <v>#N/A</v>
      </c>
      <c r="X34" s="1812"/>
      <c r="Y34" s="3244"/>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44"/>
      <c r="Q35" s="1809" t="str">
        <f t="shared" ref="Q35:Q40" si="14">B35</f>
        <v>宗地形状</v>
      </c>
      <c r="R35" s="774" t="s">
        <v>17</v>
      </c>
      <c r="S35" s="775">
        <f t="shared" si="10"/>
        <v>100</v>
      </c>
      <c r="T35" s="774" t="s">
        <v>17</v>
      </c>
      <c r="U35" s="775">
        <f t="shared" si="11"/>
        <v>100</v>
      </c>
      <c r="V35" s="774" t="s">
        <v>17</v>
      </c>
      <c r="W35" s="775">
        <f t="shared" si="12"/>
        <v>100</v>
      </c>
      <c r="X35" s="1812"/>
      <c r="Y35" s="3244"/>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44"/>
      <c r="Q36" s="1809"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44" t="s">
        <v>2564</v>
      </c>
      <c r="Q37" s="1809" t="str">
        <f t="shared" si="14"/>
        <v>工程地质条件</v>
      </c>
      <c r="R37" s="774" t="s">
        <v>17</v>
      </c>
      <c r="S37" s="775">
        <f t="shared" si="10"/>
        <v>100</v>
      </c>
      <c r="T37" s="774" t="s">
        <v>17</v>
      </c>
      <c r="U37" s="775">
        <f t="shared" si="11"/>
        <v>100</v>
      </c>
      <c r="V37" s="774" t="s">
        <v>17</v>
      </c>
      <c r="W37" s="775">
        <f t="shared" si="12"/>
        <v>100</v>
      </c>
      <c r="X37" s="1812"/>
      <c r="Y37" s="3244"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4"/>
      <c r="Q38" s="1809">
        <f t="shared" si="14"/>
        <v>111</v>
      </c>
      <c r="R38" s="774" t="s">
        <v>17</v>
      </c>
      <c r="S38" s="775">
        <f t="shared" si="10"/>
        <v>100</v>
      </c>
      <c r="T38" s="774" t="s">
        <v>17</v>
      </c>
      <c r="U38" s="775">
        <f t="shared" si="11"/>
        <v>100</v>
      </c>
      <c r="V38" s="774" t="s">
        <v>17</v>
      </c>
      <c r="W38" s="775">
        <f t="shared" si="12"/>
        <v>100</v>
      </c>
      <c r="X38" s="1812"/>
      <c r="Y38" s="324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4"/>
      <c r="Q39" s="1809">
        <f t="shared" si="14"/>
        <v>111</v>
      </c>
      <c r="R39" s="774" t="s">
        <v>17</v>
      </c>
      <c r="S39" s="775">
        <f t="shared" si="10"/>
        <v>100</v>
      </c>
      <c r="T39" s="774" t="s">
        <v>17</v>
      </c>
      <c r="U39" s="775">
        <f t="shared" si="11"/>
        <v>100</v>
      </c>
      <c r="V39" s="774" t="s">
        <v>17</v>
      </c>
      <c r="W39" s="775">
        <f t="shared" si="12"/>
        <v>100</v>
      </c>
      <c r="X39" s="1812"/>
      <c r="Y39" s="3244"/>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4"/>
      <c r="Q40" s="1809">
        <f t="shared" si="14"/>
        <v>111</v>
      </c>
      <c r="R40" s="777" t="s">
        <v>17</v>
      </c>
      <c r="S40" s="778">
        <f t="shared" si="10"/>
        <v>100</v>
      </c>
      <c r="T40" s="777" t="s">
        <v>17</v>
      </c>
      <c r="U40" s="778">
        <f t="shared" si="11"/>
        <v>100</v>
      </c>
      <c r="V40" s="777" t="s">
        <v>17</v>
      </c>
      <c r="W40" s="778">
        <f t="shared" si="12"/>
        <v>100</v>
      </c>
      <c r="X40" s="779"/>
      <c r="Y40" s="3244"/>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2"/>
      <c r="M41" s="1130"/>
      <c r="N41" s="1130"/>
      <c r="O41" s="1143"/>
      <c r="P41" s="3237" t="str">
        <f>A41</f>
        <v>成交单价</v>
      </c>
      <c r="Q41" s="3237"/>
      <c r="R41" s="3232">
        <f>E41</f>
        <v>0</v>
      </c>
      <c r="S41" s="3232"/>
      <c r="T41" s="3232">
        <f>G41</f>
        <v>0</v>
      </c>
      <c r="U41" s="3232"/>
      <c r="V41" s="3232">
        <f>I41</f>
        <v>0</v>
      </c>
      <c r="W41" s="323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2757</v>
      </c>
      <c r="B50" s="685" t="s">
        <v>2758</v>
      </c>
      <c r="C50" s="2707" t="s">
        <v>2759</v>
      </c>
      <c r="D50" s="2708" t="s">
        <v>2760</v>
      </c>
      <c r="E50" s="686" t="s">
        <v>2761</v>
      </c>
      <c r="F50" s="687" t="s">
        <v>2762</v>
      </c>
      <c r="G50" s="3220" t="s">
        <v>2763</v>
      </c>
      <c r="H50" s="3266"/>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19"/>
      <c r="H51" s="3237"/>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67"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67"/>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67"/>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67"/>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1301.8900000000001</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5"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5" thickBot="1">
      <c r="A61" s="695" t="s">
        <v>2780</v>
      </c>
      <c r="B61" s="696" t="s">
        <v>28</v>
      </c>
      <c r="C61" s="696" t="s">
        <v>29</v>
      </c>
      <c r="D61" s="696" t="s">
        <v>1026</v>
      </c>
      <c r="E61" s="696">
        <f>IF(B41="楼面地价",SUM(E51:E60),'数据-汇总表'!D3)</f>
        <v>22165.75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3072</v>
      </c>
      <c r="D1" s="1819" t="s">
        <v>3095</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47942</v>
      </c>
      <c r="C2" s="1844" t="s">
        <v>1512</v>
      </c>
      <c r="D2" s="1844"/>
      <c r="E2" s="1845"/>
      <c r="F2" s="1846"/>
      <c r="G2" s="1847"/>
      <c r="H2" s="1839"/>
      <c r="I2" s="1839"/>
      <c r="J2" s="1839"/>
      <c r="K2" s="1840"/>
      <c r="L2" s="1839"/>
      <c r="M2" s="1839"/>
    </row>
    <row r="3" spans="1:37" ht="18" customHeight="1" thickBot="1">
      <c r="A3" s="1848" t="s">
        <v>1513</v>
      </c>
      <c r="B3" s="1849">
        <f ca="1">IF(ISERROR(B2*10000/F43),0,ROUND(B2*10000/F43,0))</f>
        <v>28489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3133</v>
      </c>
      <c r="D6" s="164" t="s">
        <v>3030</v>
      </c>
      <c r="E6" s="347" t="s">
        <v>1401</v>
      </c>
      <c r="F6" s="348">
        <f ca="1">INDIRECT("'数据-取费表'!u"&amp;$G$1)</f>
        <v>6</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16827.990000000002</v>
      </c>
      <c r="G7" s="1850"/>
      <c r="H7" s="349"/>
      <c r="I7" s="3178"/>
      <c r="J7" s="351"/>
      <c r="K7" s="352"/>
      <c r="L7" s="347" t="s">
        <v>1402</v>
      </c>
      <c r="M7" s="348">
        <f ca="1">F7</f>
        <v>16827.990000000002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11677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8041</v>
      </c>
      <c r="D14" s="2954" t="s">
        <v>1414</v>
      </c>
      <c r="E14" s="2952"/>
      <c r="F14" s="364"/>
      <c r="G14" s="1850"/>
      <c r="H14" s="1200" t="s">
        <v>1032</v>
      </c>
      <c r="I14" s="347" t="s">
        <v>1415</v>
      </c>
      <c r="J14" s="24">
        <f ca="1">C29</f>
        <v>11677</v>
      </c>
      <c r="K14" s="2959"/>
      <c r="L14" s="978"/>
      <c r="M14" s="979"/>
    </row>
    <row r="15" spans="1:37" s="1857" customFormat="1" ht="18" customHeight="1" thickBot="1">
      <c r="A15" s="1200" t="s">
        <v>1033</v>
      </c>
      <c r="B15" s="347" t="s">
        <v>1416</v>
      </c>
      <c r="C15" s="24">
        <f ca="1">ROUND(C14*F15,0)</f>
        <v>241</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277</v>
      </c>
      <c r="K16" s="1336" t="s">
        <v>1421</v>
      </c>
      <c r="L16" s="2955"/>
      <c r="M16" s="1293"/>
    </row>
    <row r="17" spans="1:37" s="1857" customFormat="1" ht="18" customHeight="1">
      <c r="A17" s="1200" t="s">
        <v>1386</v>
      </c>
      <c r="B17" s="347" t="s">
        <v>1422</v>
      </c>
      <c r="C17" s="24">
        <f ca="1">ROUND(F17*(F43+INDIRECT("'数据-取费表'!S"&amp;$G$1))/10000,0)</f>
        <v>383</v>
      </c>
      <c r="D17" s="347" t="s">
        <v>1423</v>
      </c>
      <c r="E17" s="347" t="s">
        <v>1424</v>
      </c>
      <c r="F17" s="26">
        <f>'数据-取费表'!B35</f>
        <v>200</v>
      </c>
      <c r="G17" s="1853"/>
      <c r="H17" s="1200" t="s">
        <v>1032</v>
      </c>
      <c r="I17" s="347" t="s">
        <v>1425</v>
      </c>
      <c r="J17" s="24">
        <f ca="1">ROUND(IF(项目基本情况!B11="自然人",J5*M17,J18+J19+J20),1)</f>
        <v>101.7</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121</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8786</v>
      </c>
      <c r="D19" s="140" t="s">
        <v>1432</v>
      </c>
      <c r="E19" s="2958"/>
      <c r="F19" s="26"/>
      <c r="G19" s="1850"/>
      <c r="H19" s="1200" t="s">
        <v>1033</v>
      </c>
      <c r="I19" s="347" t="s">
        <v>1433</v>
      </c>
      <c r="J19" s="24">
        <f ca="1">IF(K19="按租金收入计税",ROUND(J5*M19,2),ROUND(C29*M19*0.7,2))</f>
        <v>98.09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176</v>
      </c>
      <c r="D20" s="369" t="s">
        <v>1436</v>
      </c>
      <c r="E20" s="347" t="s">
        <v>1418</v>
      </c>
      <c r="F20" s="367">
        <f>'数据-取费表'!B37</f>
        <v>0.02</v>
      </c>
      <c r="G20" s="1853"/>
      <c r="H20" s="1200" t="s">
        <v>1385</v>
      </c>
      <c r="I20" s="164" t="s">
        <v>1437</v>
      </c>
      <c r="J20" s="25">
        <f ca="1">ROUND(M20*M21/10000,2)</f>
        <v>3.62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3014.9300000000003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175.2</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536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-277</v>
      </c>
      <c r="K25" s="1344" t="s">
        <v>1460</v>
      </c>
      <c r="L25" s="1345"/>
      <c r="M25" s="1346"/>
    </row>
    <row r="26" spans="1:37">
      <c r="A26" s="1200" t="s">
        <v>1031</v>
      </c>
      <c r="B26" s="347" t="s">
        <v>1461</v>
      </c>
      <c r="C26" s="24">
        <f ca="1">ROUND((C19+C20)*F26,0)</f>
        <v>1344</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11677</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3014.9300000000003</v>
      </c>
      <c r="G35" s="1850"/>
      <c r="H35" s="745"/>
      <c r="I35" s="1859"/>
      <c r="J35" s="1860"/>
      <c r="K35" s="1861"/>
      <c r="L35" s="1858"/>
      <c r="M35" s="1858"/>
    </row>
    <row r="36" spans="1:18" ht="18" customHeight="1">
      <c r="A36" s="1351" t="s">
        <v>1036</v>
      </c>
      <c r="B36" s="347" t="s">
        <v>1445</v>
      </c>
      <c r="C36" s="24">
        <f ca="1">ROUND(C29*F36,1)</f>
        <v>175.2</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17.5</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2362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47942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28489</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-64640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47942</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11677</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21250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47942</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11677</v>
      </c>
      <c r="D56" s="1913"/>
      <c r="E56" s="1914"/>
      <c r="F56" s="1906"/>
      <c r="I56" s="1915" t="s">
        <v>1550</v>
      </c>
      <c r="J56" s="1916" t="s">
        <v>3070</v>
      </c>
      <c r="K56" s="1886" t="s">
        <v>1551</v>
      </c>
      <c r="L56" s="1889" t="str">
        <f ca="1">IF(L48&lt;J51,"——",L48-J53)</f>
        <v>——</v>
      </c>
      <c r="O56" s="1883" t="s">
        <v>1037</v>
      </c>
      <c r="P56" s="1884" t="s">
        <v>1524</v>
      </c>
      <c r="Q56" s="1885">
        <f ca="1">C40+J29</f>
        <v>47942</v>
      </c>
      <c r="R56" s="1885" t="s">
        <v>1525</v>
      </c>
    </row>
    <row r="57" spans="1:18" s="1841" customFormat="1" ht="24.75" thickBot="1">
      <c r="A57" s="1917"/>
      <c r="B57" s="1168" t="s">
        <v>1474</v>
      </c>
      <c r="C57" s="282">
        <f ca="1">C29</f>
        <v>11677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1177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984.5</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980.87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47942</v>
      </c>
      <c r="R62" s="1885" t="s">
        <v>1044</v>
      </c>
    </row>
    <row r="63" spans="1:18" s="1841" customFormat="1" ht="13.5" thickBot="1">
      <c r="A63" s="372"/>
      <c r="B63" s="1174"/>
      <c r="C63" s="29"/>
      <c r="D63" s="1184"/>
      <c r="E63" s="1168" t="s">
        <v>1495</v>
      </c>
      <c r="F63" s="348">
        <f t="shared" ca="1" si="0"/>
        <v>3014.9300000000003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175.2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17.5</v>
      </c>
      <c r="D65" s="1182" t="s">
        <v>1450</v>
      </c>
      <c r="E65" s="1168" t="s">
        <v>1451</v>
      </c>
      <c r="F65" s="376">
        <f t="shared" ca="1" si="0"/>
        <v>1.5E-3</v>
      </c>
      <c r="I65" s="1928" t="s">
        <v>1575</v>
      </c>
      <c r="J65" s="1929">
        <v>40</v>
      </c>
      <c r="K65" s="1929">
        <v>30</v>
      </c>
      <c r="L65" s="1929">
        <v>50</v>
      </c>
      <c r="M65" s="1931">
        <v>0.02</v>
      </c>
      <c r="O65" s="1883" t="s">
        <v>1037</v>
      </c>
      <c r="P65" s="1884" t="s">
        <v>1576</v>
      </c>
      <c r="Q65" s="1885">
        <f ca="1">C40+J29</f>
        <v>47942</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-1177</v>
      </c>
      <c r="D67" s="1181" t="s">
        <v>1460</v>
      </c>
      <c r="E67" s="1186"/>
      <c r="F67" s="1187"/>
      <c r="O67" s="1893" t="s">
        <v>1039</v>
      </c>
      <c r="P67" s="1884" t="s">
        <v>1558</v>
      </c>
      <c r="Q67" s="1932">
        <f ca="1">L51</f>
        <v>21250</v>
      </c>
      <c r="R67" s="1885" t="s">
        <v>1578</v>
      </c>
    </row>
    <row r="68" spans="1:18" s="1841" customFormat="1" ht="16.5" thickBot="1">
      <c r="A68" s="1165" t="s">
        <v>1029</v>
      </c>
      <c r="B68" s="1166" t="s">
        <v>1481</v>
      </c>
      <c r="C68" s="346">
        <f ca="1">ROUND(C67*(1-((1+F70)/(1+F68))^F69)/(F68-F70),0)</f>
        <v>-16698</v>
      </c>
      <c r="D68" s="1183" t="s">
        <v>1465</v>
      </c>
      <c r="E68" s="1168" t="s">
        <v>1466</v>
      </c>
      <c r="F68" s="357">
        <f ca="1">F40</f>
        <v>0.06</v>
      </c>
      <c r="O68" s="1893" t="s">
        <v>1040</v>
      </c>
      <c r="P68" s="1933" t="s">
        <v>1579</v>
      </c>
      <c r="Q68" s="1885">
        <f ca="1">ROUND(Q69-Q70*Q71,0)</f>
        <v>1369</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2362</v>
      </c>
      <c r="R69" s="1885" t="s">
        <v>1525</v>
      </c>
    </row>
    <row r="70" spans="1:18" s="1841" customFormat="1" ht="13.5" thickBot="1">
      <c r="A70" s="1172"/>
      <c r="B70" s="1173"/>
      <c r="C70" s="355"/>
      <c r="D70" s="1184"/>
      <c r="E70" s="1168" t="s">
        <v>1473</v>
      </c>
      <c r="F70" s="1274"/>
      <c r="O70" s="1893" t="s">
        <v>1046</v>
      </c>
      <c r="P70" s="1933" t="s">
        <v>1581</v>
      </c>
      <c r="Q70" s="1885">
        <f ca="1">C13</f>
        <v>11677</v>
      </c>
      <c r="R70" s="1885" t="s">
        <v>1525</v>
      </c>
    </row>
    <row r="71" spans="1:18" s="1841" customFormat="1" ht="13.5" thickBot="1">
      <c r="A71" s="1189" t="s">
        <v>1030</v>
      </c>
      <c r="B71" s="1190" t="s">
        <v>1483</v>
      </c>
      <c r="C71" s="382">
        <f ca="1">ROUND(C68*10000/F71,0)</f>
        <v>-9923</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993</v>
      </c>
      <c r="D75" s="1841"/>
      <c r="E75" s="1841"/>
      <c r="F75" s="1841"/>
      <c r="K75" s="1867"/>
      <c r="L75" s="1841"/>
      <c r="O75" s="1883" t="s">
        <v>1043</v>
      </c>
      <c r="P75" s="1884" t="s">
        <v>1545</v>
      </c>
      <c r="Q75" s="1885">
        <f ca="1">Q65+Q66</f>
        <v>47942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0.58000000000000007</v>
      </c>
    </row>
    <row r="80" spans="1:18">
      <c r="B80" s="386" t="s">
        <v>1507</v>
      </c>
      <c r="C80" s="318">
        <f ca="1">ROUND(C75/C39,3)</f>
        <v>0.42</v>
      </c>
    </row>
    <row r="81" spans="2:3">
      <c r="B81" s="314" t="s">
        <v>1508</v>
      </c>
      <c r="C81" s="282"/>
    </row>
    <row r="82" spans="2:3">
      <c r="B82" s="317" t="s">
        <v>1509</v>
      </c>
      <c r="C82" s="319">
        <f ca="1">1-C83</f>
        <v>0.75600000000000001</v>
      </c>
    </row>
    <row r="83" spans="2:3">
      <c r="B83" s="317" t="s">
        <v>1510</v>
      </c>
      <c r="C83" s="318">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3100</v>
      </c>
      <c r="D1" s="1819" t="s">
        <v>3095</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72684</v>
      </c>
      <c r="C2" s="1844" t="s">
        <v>1512</v>
      </c>
      <c r="D2" s="1844"/>
      <c r="E2" s="1845"/>
      <c r="F2" s="1846"/>
      <c r="G2" s="1847"/>
      <c r="H2" s="1839"/>
      <c r="I2" s="1839"/>
      <c r="J2" s="1839"/>
      <c r="K2" s="1840"/>
      <c r="L2" s="1839"/>
      <c r="M2" s="1839"/>
    </row>
    <row r="3" spans="1:37" ht="18" customHeight="1" thickBot="1">
      <c r="A3" s="1848" t="s">
        <v>1513</v>
      </c>
      <c r="B3" s="1849">
        <f ca="1">IF(ISERROR(B2*10000/F43),0,ROUND(B2*10000/F43,0))</f>
        <v>18592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4852</v>
      </c>
      <c r="D6" s="164" t="s">
        <v>3030</v>
      </c>
      <c r="E6" s="347" t="s">
        <v>1401</v>
      </c>
      <c r="F6" s="348">
        <f ca="1">INDIRECT("'数据-取费表'!u"&amp;$G$1)</f>
        <v>4</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39093.74</v>
      </c>
      <c r="G7" s="1850"/>
      <c r="H7" s="349"/>
      <c r="I7" s="3178"/>
      <c r="J7" s="351"/>
      <c r="K7" s="352"/>
      <c r="L7" s="347" t="s">
        <v>1402</v>
      </c>
      <c r="M7" s="348">
        <f ca="1">F7</f>
        <v>39093.74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22613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14771</v>
      </c>
      <c r="D14" s="2954" t="s">
        <v>1414</v>
      </c>
      <c r="E14" s="2952"/>
      <c r="F14" s="364"/>
      <c r="G14" s="1850"/>
      <c r="H14" s="1200" t="s">
        <v>1032</v>
      </c>
      <c r="I14" s="347" t="s">
        <v>1415</v>
      </c>
      <c r="J14" s="24">
        <f ca="1">C29</f>
        <v>22613</v>
      </c>
      <c r="K14" s="2959"/>
      <c r="L14" s="978"/>
      <c r="M14" s="979"/>
    </row>
    <row r="15" spans="1:37" s="1857" customFormat="1" ht="18" customHeight="1" thickBot="1">
      <c r="A15" s="1200" t="s">
        <v>1033</v>
      </c>
      <c r="B15" s="347" t="s">
        <v>1416</v>
      </c>
      <c r="C15" s="24">
        <f ca="1">ROUND(C14*F15,0)</f>
        <v>443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538</v>
      </c>
      <c r="K16" s="1336" t="s">
        <v>1421</v>
      </c>
      <c r="L16" s="2955"/>
      <c r="M16" s="1293"/>
    </row>
    <row r="17" spans="1:37" s="1857" customFormat="1" ht="18" customHeight="1">
      <c r="A17" s="1200" t="s">
        <v>1386</v>
      </c>
      <c r="B17" s="347" t="s">
        <v>1422</v>
      </c>
      <c r="C17" s="24">
        <f ca="1">ROUND(F17*(F43+INDIRECT("'数据-取费表'!S"&amp;$G$1))/10000,0)</f>
        <v>891</v>
      </c>
      <c r="D17" s="347" t="s">
        <v>1423</v>
      </c>
      <c r="E17" s="347" t="s">
        <v>1424</v>
      </c>
      <c r="F17" s="26">
        <f>'数据-取费表'!B35</f>
        <v>200</v>
      </c>
      <c r="G17" s="1853"/>
      <c r="H17" s="1200" t="s">
        <v>1032</v>
      </c>
      <c r="I17" s="347" t="s">
        <v>1425</v>
      </c>
      <c r="J17" s="24">
        <f ca="1">ROUND(IF(项目基本情况!B11="自然人",J5*M17,J18+J19+J20),1)</f>
        <v>198.4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222</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16327</v>
      </c>
      <c r="D19" s="140" t="s">
        <v>1432</v>
      </c>
      <c r="E19" s="2958"/>
      <c r="F19" s="26"/>
      <c r="G19" s="1850"/>
      <c r="H19" s="1200" t="s">
        <v>1033</v>
      </c>
      <c r="I19" s="347" t="s">
        <v>1433</v>
      </c>
      <c r="J19" s="24">
        <f ca="1">IF(K19="按租金收入计税",ROUND(J5*M19,2),ROUND(C29*M19*0.7,2))</f>
        <v>189.95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327</v>
      </c>
      <c r="D20" s="369" t="s">
        <v>1436</v>
      </c>
      <c r="E20" s="347" t="s">
        <v>1418</v>
      </c>
      <c r="F20" s="367">
        <f>'数据-取费表'!B37</f>
        <v>0.02</v>
      </c>
      <c r="G20" s="1853"/>
      <c r="H20" s="1200" t="s">
        <v>1385</v>
      </c>
      <c r="I20" s="164" t="s">
        <v>1437</v>
      </c>
      <c r="J20" s="25">
        <f ca="1">ROUND(M20*M21/10000,2)</f>
        <v>8.4</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7004.08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339.2</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-538</v>
      </c>
      <c r="K25" s="1344" t="s">
        <v>1460</v>
      </c>
      <c r="L25" s="1345"/>
      <c r="M25" s="1346"/>
    </row>
    <row r="26" spans="1:37">
      <c r="A26" s="1200" t="s">
        <v>1031</v>
      </c>
      <c r="B26" s="347" t="s">
        <v>1461</v>
      </c>
      <c r="C26" s="24">
        <f ca="1">ROUND((C19+C20)*F26,0)</f>
        <v>3331</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22613</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1271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8.4</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7004.08</v>
      </c>
      <c r="G35" s="1850"/>
      <c r="H35" s="745"/>
      <c r="I35" s="1859"/>
      <c r="J35" s="1860"/>
      <c r="K35" s="1861"/>
      <c r="L35" s="1858"/>
      <c r="M35" s="1858"/>
    </row>
    <row r="36" spans="1:18" ht="18" customHeight="1">
      <c r="A36" s="1351" t="s">
        <v>1036</v>
      </c>
      <c r="B36" s="347" t="s">
        <v>1445</v>
      </c>
      <c r="C36" s="24">
        <f ca="1">ROUND(C29*F36,1)</f>
        <v>339.2</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33.9</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3581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72684</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18592</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-105045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72684</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22613</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25741</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72684</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22613</v>
      </c>
      <c r="D56" s="1913"/>
      <c r="E56" s="1914"/>
      <c r="F56" s="1906"/>
      <c r="I56" s="1915" t="s">
        <v>1550</v>
      </c>
      <c r="J56" s="1916" t="s">
        <v>3070</v>
      </c>
      <c r="K56" s="1886" t="s">
        <v>1551</v>
      </c>
      <c r="L56" s="1889" t="str">
        <f ca="1">IF(L48&lt;J51,"——",L48-J53)</f>
        <v>——</v>
      </c>
      <c r="O56" s="1883" t="s">
        <v>1037</v>
      </c>
      <c r="P56" s="1884" t="s">
        <v>1524</v>
      </c>
      <c r="Q56" s="1885">
        <f ca="1">C40+J29</f>
        <v>72684</v>
      </c>
      <c r="R56" s="1885" t="s">
        <v>1525</v>
      </c>
    </row>
    <row r="57" spans="1:18" s="1841" customFormat="1" ht="24.75" thickBot="1">
      <c r="A57" s="1917"/>
      <c r="B57" s="1168" t="s">
        <v>1474</v>
      </c>
      <c r="C57" s="282">
        <f ca="1">C29</f>
        <v>22613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2281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1907.9</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1899.49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8.4</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72684</v>
      </c>
      <c r="R62" s="1885" t="s">
        <v>1044</v>
      </c>
    </row>
    <row r="63" spans="1:18" s="1841" customFormat="1" ht="13.5" thickBot="1">
      <c r="A63" s="372"/>
      <c r="B63" s="1174"/>
      <c r="C63" s="29"/>
      <c r="D63" s="1184"/>
      <c r="E63" s="1168" t="s">
        <v>1495</v>
      </c>
      <c r="F63" s="348">
        <f t="shared" ca="1" si="0"/>
        <v>7004.08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339.2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33.9</v>
      </c>
      <c r="D65" s="1182" t="s">
        <v>1450</v>
      </c>
      <c r="E65" s="1168" t="s">
        <v>1451</v>
      </c>
      <c r="F65" s="376">
        <f t="shared" ca="1" si="0"/>
        <v>1.5E-3</v>
      </c>
      <c r="I65" s="1928" t="s">
        <v>1575</v>
      </c>
      <c r="J65" s="1929">
        <v>40</v>
      </c>
      <c r="K65" s="1929">
        <v>30</v>
      </c>
      <c r="L65" s="1929">
        <v>50</v>
      </c>
      <c r="M65" s="1931">
        <v>0.02</v>
      </c>
      <c r="O65" s="1883" t="s">
        <v>1037</v>
      </c>
      <c r="P65" s="1884" t="s">
        <v>1576</v>
      </c>
      <c r="Q65" s="1885">
        <f ca="1">C40+J29</f>
        <v>72684</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-2281</v>
      </c>
      <c r="D67" s="1181" t="s">
        <v>1460</v>
      </c>
      <c r="E67" s="1186"/>
      <c r="F67" s="1187"/>
      <c r="O67" s="1893" t="s">
        <v>1039</v>
      </c>
      <c r="P67" s="1884" t="s">
        <v>1558</v>
      </c>
      <c r="Q67" s="1932">
        <f ca="1">L51</f>
        <v>25741</v>
      </c>
      <c r="R67" s="1885" t="s">
        <v>1578</v>
      </c>
    </row>
    <row r="68" spans="1:18" s="1841" customFormat="1" ht="16.5" thickBot="1">
      <c r="A68" s="1165" t="s">
        <v>1029</v>
      </c>
      <c r="B68" s="1166" t="s">
        <v>1481</v>
      </c>
      <c r="C68" s="346">
        <f ca="1">ROUND(C67*(1-((1+F70)/(1+F68))^F69)/(F68-F70),0)</f>
        <v>-32361</v>
      </c>
      <c r="D68" s="1183" t="s">
        <v>1465</v>
      </c>
      <c r="E68" s="1168" t="s">
        <v>1466</v>
      </c>
      <c r="F68" s="357">
        <f ca="1">F40</f>
        <v>0.06</v>
      </c>
      <c r="O68" s="1893" t="s">
        <v>1040</v>
      </c>
      <c r="P68" s="1933" t="s">
        <v>1579</v>
      </c>
      <c r="Q68" s="1885">
        <f ca="1">ROUND(Q69-Q70*Q71,0)</f>
        <v>1659</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3581</v>
      </c>
      <c r="R69" s="1885" t="s">
        <v>1525</v>
      </c>
    </row>
    <row r="70" spans="1:18" s="1841" customFormat="1" ht="13.5" thickBot="1">
      <c r="A70" s="1172"/>
      <c r="B70" s="1173"/>
      <c r="C70" s="355"/>
      <c r="D70" s="1184"/>
      <c r="E70" s="1168" t="s">
        <v>1473</v>
      </c>
      <c r="F70" s="1274"/>
      <c r="O70" s="1893" t="s">
        <v>1046</v>
      </c>
      <c r="P70" s="1933" t="s">
        <v>1581</v>
      </c>
      <c r="Q70" s="1885">
        <f ca="1">C13</f>
        <v>22613</v>
      </c>
      <c r="R70" s="1885" t="s">
        <v>1525</v>
      </c>
    </row>
    <row r="71" spans="1:18" s="1841" customFormat="1" ht="13.5" thickBot="1">
      <c r="A71" s="1189" t="s">
        <v>1030</v>
      </c>
      <c r="B71" s="1190" t="s">
        <v>1483</v>
      </c>
      <c r="C71" s="382">
        <f ca="1">ROUND(C68*10000/F71,0)</f>
        <v>-8278</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1922</v>
      </c>
      <c r="D75" s="1841"/>
      <c r="E75" s="1841"/>
      <c r="F75" s="1841"/>
      <c r="K75" s="1867"/>
      <c r="L75" s="1841"/>
      <c r="O75" s="1883" t="s">
        <v>1043</v>
      </c>
      <c r="P75" s="1884" t="s">
        <v>1545</v>
      </c>
      <c r="Q75" s="1885">
        <f ca="1">Q65+Q66</f>
        <v>72684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0.46299999999999997</v>
      </c>
    </row>
    <row r="80" spans="1:18">
      <c r="B80" s="386" t="s">
        <v>1507</v>
      </c>
      <c r="C80" s="318">
        <f ca="1">ROUND(C75/C39,3)</f>
        <v>0.53700000000000003</v>
      </c>
    </row>
    <row r="81" spans="2:3">
      <c r="B81" s="314" t="s">
        <v>1508</v>
      </c>
      <c r="C81" s="282"/>
    </row>
    <row r="82" spans="2:3">
      <c r="B82" s="317" t="s">
        <v>1509</v>
      </c>
      <c r="C82" s="319">
        <f ca="1">1-C83</f>
        <v>0.68900000000000006</v>
      </c>
    </row>
    <row r="83" spans="2:3">
      <c r="B83" s="317" t="s">
        <v>1510</v>
      </c>
      <c r="C83" s="318">
        <f ca="1">ROUND(C13/C40,3)</f>
        <v>0.311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3095</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12848</v>
      </c>
      <c r="C2" s="1844" t="s">
        <v>1512</v>
      </c>
      <c r="D2" s="1844"/>
      <c r="E2" s="1845"/>
      <c r="F2" s="1846"/>
      <c r="G2" s="1847"/>
      <c r="H2" s="1839"/>
      <c r="I2" s="1839"/>
      <c r="J2" s="1839"/>
      <c r="K2" s="1840"/>
      <c r="L2" s="1839"/>
      <c r="M2" s="1839"/>
    </row>
    <row r="3" spans="1:37" ht="18" customHeight="1" thickBot="1">
      <c r="A3" s="1848" t="s">
        <v>1513</v>
      </c>
      <c r="B3" s="1849">
        <f ca="1">IF(ISERROR(B2*10000/F43),0,ROUND(B2*10000/F43,0))</f>
        <v>13583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880</v>
      </c>
      <c r="D6" s="164" t="s">
        <v>3030</v>
      </c>
      <c r="E6" s="347" t="s">
        <v>1401</v>
      </c>
      <c r="F6" s="348">
        <f ca="1">INDIRECT("'数据-取费表'!u"&amp;$G$1)</f>
        <v>3</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9459.14</v>
      </c>
      <c r="G7" s="1850"/>
      <c r="H7" s="349"/>
      <c r="I7" s="3178"/>
      <c r="J7" s="351"/>
      <c r="K7" s="352"/>
      <c r="L7" s="347" t="s">
        <v>1402</v>
      </c>
      <c r="M7" s="348">
        <f ca="1">F7</f>
        <v>9459.14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5059</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3290</v>
      </c>
      <c r="D14" s="2954" t="s">
        <v>1414</v>
      </c>
      <c r="E14" s="2952"/>
      <c r="F14" s="364"/>
      <c r="G14" s="1850"/>
      <c r="H14" s="1200" t="s">
        <v>1032</v>
      </c>
      <c r="I14" s="347" t="s">
        <v>1415</v>
      </c>
      <c r="J14" s="24">
        <f ca="1">C29</f>
        <v>5059</v>
      </c>
      <c r="K14" s="2959"/>
      <c r="L14" s="978"/>
      <c r="M14" s="979"/>
    </row>
    <row r="15" spans="1:37" s="1857" customFormat="1" ht="18" customHeight="1" thickBot="1">
      <c r="A15" s="1200" t="s">
        <v>1033</v>
      </c>
      <c r="B15" s="347" t="s">
        <v>1416</v>
      </c>
      <c r="C15" s="24">
        <f ca="1">ROUND(C14*F15,0)</f>
        <v>99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120</v>
      </c>
      <c r="K16" s="1336" t="s">
        <v>1421</v>
      </c>
      <c r="L16" s="2955"/>
      <c r="M16" s="1293"/>
    </row>
    <row r="17" spans="1:37" s="1857" customFormat="1" ht="18" customHeight="1">
      <c r="A17" s="1200" t="s">
        <v>1386</v>
      </c>
      <c r="B17" s="347" t="s">
        <v>1422</v>
      </c>
      <c r="C17" s="24">
        <f ca="1">ROUND(F17*(F43+INDIRECT("'数据-取费表'!S"&amp;$G$1))/10000,0)</f>
        <v>216</v>
      </c>
      <c r="D17" s="347" t="s">
        <v>1423</v>
      </c>
      <c r="E17" s="347" t="s">
        <v>1424</v>
      </c>
      <c r="F17" s="26">
        <f>'数据-取费表'!B35</f>
        <v>200</v>
      </c>
      <c r="G17" s="1853"/>
      <c r="H17" s="1200" t="s">
        <v>1032</v>
      </c>
      <c r="I17" s="347" t="s">
        <v>1425</v>
      </c>
      <c r="J17" s="24">
        <f ca="1">ROUND(IF(项目基本情况!B11="自然人",J5*M17,J18+J19+J20),1)</f>
        <v>44.5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49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3654</v>
      </c>
      <c r="D19" s="140" t="s">
        <v>1432</v>
      </c>
      <c r="E19" s="2958"/>
      <c r="F19" s="26"/>
      <c r="G19" s="1850"/>
      <c r="H19" s="1200" t="s">
        <v>1033</v>
      </c>
      <c r="I19" s="347" t="s">
        <v>1433</v>
      </c>
      <c r="J19" s="24">
        <f ca="1">IF(K19="按租金收入计税",ROUND(J5*M19,2),ROUND(C29*M19*0.7,2))</f>
        <v>42.5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73</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1694.71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75.900000000000006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222</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-120</v>
      </c>
      <c r="K25" s="1344" t="s">
        <v>1460</v>
      </c>
      <c r="L25" s="1345"/>
      <c r="M25" s="1346"/>
    </row>
    <row r="26" spans="1:37">
      <c r="A26" s="1200" t="s">
        <v>1031</v>
      </c>
      <c r="B26" s="347" t="s">
        <v>1461</v>
      </c>
      <c r="C26" s="24">
        <f ca="1">ROUND((C19+C20)*F26,0)</f>
        <v>745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5059</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1694.71</v>
      </c>
      <c r="G35" s="1850"/>
      <c r="H35" s="745"/>
      <c r="I35" s="1859"/>
      <c r="J35" s="1860"/>
      <c r="K35" s="1861"/>
      <c r="L35" s="1858"/>
      <c r="M35" s="1858"/>
    </row>
    <row r="36" spans="1:18" ht="18" customHeight="1">
      <c r="A36" s="1351" t="s">
        <v>1036</v>
      </c>
      <c r="B36" s="347" t="s">
        <v>1445</v>
      </c>
      <c r="C36" s="24">
        <f ca="1">ROUND(C29*F36,1)</f>
        <v>75.900000000000006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7.6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633</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12848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13583</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-20098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12848</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5059</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3150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12848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5059</v>
      </c>
      <c r="D56" s="1913"/>
      <c r="E56" s="1914"/>
      <c r="F56" s="1906"/>
      <c r="I56" s="1915" t="s">
        <v>1550</v>
      </c>
      <c r="J56" s="1916" t="s">
        <v>3070</v>
      </c>
      <c r="K56" s="1886" t="s">
        <v>1551</v>
      </c>
      <c r="L56" s="1889" t="str">
        <f ca="1">IF(L48&lt;J51,"——",L48-J53)</f>
        <v>——</v>
      </c>
      <c r="O56" s="1883" t="s">
        <v>1037</v>
      </c>
      <c r="P56" s="1884" t="s">
        <v>1524</v>
      </c>
      <c r="Q56" s="1885">
        <f ca="1">C40+J29</f>
        <v>12848</v>
      </c>
      <c r="R56" s="1885" t="s">
        <v>1525</v>
      </c>
    </row>
    <row r="57" spans="1:18" s="1841" customFormat="1" ht="24.75" thickBot="1">
      <c r="A57" s="1917"/>
      <c r="B57" s="1168" t="s">
        <v>1474</v>
      </c>
      <c r="C57" s="282">
        <f ca="1">C29</f>
        <v>5059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511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427</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424.96</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12848</v>
      </c>
      <c r="R62" s="1885" t="s">
        <v>1044</v>
      </c>
    </row>
    <row r="63" spans="1:18" s="1841" customFormat="1" ht="13.5" thickBot="1">
      <c r="A63" s="372"/>
      <c r="B63" s="1174"/>
      <c r="C63" s="29"/>
      <c r="D63" s="1184"/>
      <c r="E63" s="1168" t="s">
        <v>1495</v>
      </c>
      <c r="F63" s="348">
        <f t="shared" ca="1" si="0"/>
        <v>1694.71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75.900000000000006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7.6</v>
      </c>
      <c r="D65" s="1182" t="s">
        <v>1450</v>
      </c>
      <c r="E65" s="1168" t="s">
        <v>1451</v>
      </c>
      <c r="F65" s="376">
        <f t="shared" ca="1" si="0"/>
        <v>1.5E-3</v>
      </c>
      <c r="I65" s="1928" t="s">
        <v>1575</v>
      </c>
      <c r="J65" s="1929">
        <v>40</v>
      </c>
      <c r="K65" s="1929">
        <v>30</v>
      </c>
      <c r="L65" s="1929">
        <v>50</v>
      </c>
      <c r="M65" s="1931">
        <v>0.02</v>
      </c>
      <c r="O65" s="1883" t="s">
        <v>1037</v>
      </c>
      <c r="P65" s="1884" t="s">
        <v>1576</v>
      </c>
      <c r="Q65" s="1885">
        <f ca="1">C40+J29</f>
        <v>12848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-511</v>
      </c>
      <c r="D67" s="1181" t="s">
        <v>1460</v>
      </c>
      <c r="E67" s="1186"/>
      <c r="F67" s="1187"/>
      <c r="O67" s="1893" t="s">
        <v>1039</v>
      </c>
      <c r="P67" s="1884" t="s">
        <v>1558</v>
      </c>
      <c r="Q67" s="1932">
        <f ca="1">L51</f>
        <v>3150</v>
      </c>
      <c r="R67" s="1885" t="s">
        <v>1578</v>
      </c>
    </row>
    <row r="68" spans="1:18" s="1841" customFormat="1" ht="16.5" thickBot="1">
      <c r="A68" s="1165" t="s">
        <v>1029</v>
      </c>
      <c r="B68" s="1166" t="s">
        <v>1481</v>
      </c>
      <c r="C68" s="346">
        <f ca="1">ROUND(C67*(1-((1+F70)/(1+F68))^F69)/(F68-F70),0)</f>
        <v>-7250</v>
      </c>
      <c r="D68" s="1183" t="s">
        <v>1465</v>
      </c>
      <c r="E68" s="1168" t="s">
        <v>1466</v>
      </c>
      <c r="F68" s="357">
        <f ca="1">F40</f>
        <v>0.06</v>
      </c>
      <c r="O68" s="1893" t="s">
        <v>1040</v>
      </c>
      <c r="P68" s="1933" t="s">
        <v>1579</v>
      </c>
      <c r="Q68" s="1885">
        <f ca="1">ROUND(Q69-Q70*Q71,0)</f>
        <v>203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633</v>
      </c>
      <c r="R69" s="1885" t="s">
        <v>1525</v>
      </c>
    </row>
    <row r="70" spans="1:18" s="1841" customFormat="1" ht="13.5" thickBot="1">
      <c r="A70" s="1172"/>
      <c r="B70" s="1173"/>
      <c r="C70" s="355"/>
      <c r="D70" s="1184"/>
      <c r="E70" s="1168" t="s">
        <v>1473</v>
      </c>
      <c r="F70" s="1274"/>
      <c r="O70" s="1893" t="s">
        <v>1046</v>
      </c>
      <c r="P70" s="1933" t="s">
        <v>1581</v>
      </c>
      <c r="Q70" s="1885">
        <f ca="1">C13</f>
        <v>5059</v>
      </c>
      <c r="R70" s="1885" t="s">
        <v>1525</v>
      </c>
    </row>
    <row r="71" spans="1:18" s="1841" customFormat="1" ht="13.5" thickBot="1">
      <c r="A71" s="1189" t="s">
        <v>1030</v>
      </c>
      <c r="B71" s="1190" t="s">
        <v>1483</v>
      </c>
      <c r="C71" s="382">
        <f ca="1">ROUND(C68*10000/F71,0)</f>
        <v>-7665</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430</v>
      </c>
      <c r="D75" s="1841"/>
      <c r="E75" s="1841"/>
      <c r="F75" s="1841"/>
      <c r="K75" s="1867"/>
      <c r="L75" s="1841"/>
      <c r="O75" s="1883" t="s">
        <v>1043</v>
      </c>
      <c r="P75" s="1884" t="s">
        <v>1545</v>
      </c>
      <c r="Q75" s="1885">
        <f ca="1">Q65+Q66</f>
        <v>12848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0.32099999999999995</v>
      </c>
    </row>
    <row r="80" spans="1:18">
      <c r="B80" s="386" t="s">
        <v>1507</v>
      </c>
      <c r="C80" s="318">
        <f ca="1">ROUND(C75/C39,3)</f>
        <v>0.67900000000000005</v>
      </c>
    </row>
    <row r="81" spans="2:3">
      <c r="B81" s="314" t="s">
        <v>1508</v>
      </c>
      <c r="C81" s="282"/>
    </row>
    <row r="82" spans="2:3">
      <c r="B82" s="317" t="s">
        <v>1509</v>
      </c>
      <c r="C82" s="319">
        <f ca="1">1-C83</f>
        <v>0.60599999999999998</v>
      </c>
    </row>
    <row r="83" spans="2:3">
      <c r="B83" s="317" t="s">
        <v>1510</v>
      </c>
      <c r="C83" s="318">
        <f ca="1">ROUND(C13/C40,3)</f>
        <v>0.39400000000000002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3117</v>
      </c>
      <c r="D1" s="1819" t="s">
        <v>3095</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478</v>
      </c>
      <c r="C2" s="1844" t="s">
        <v>1512</v>
      </c>
      <c r="D2" s="1844"/>
      <c r="E2" s="1845"/>
      <c r="F2" s="1846"/>
      <c r="G2" s="1847"/>
      <c r="H2" s="1839"/>
      <c r="I2" s="1839"/>
      <c r="J2" s="1839"/>
      <c r="K2" s="1840"/>
      <c r="L2" s="1839"/>
      <c r="M2" s="1839"/>
    </row>
    <row r="3" spans="1:37" ht="18" customHeight="1" thickBot="1">
      <c r="A3" s="1848" t="s">
        <v>1513</v>
      </c>
      <c r="B3" s="1849">
        <f ca="1">IF(ISERROR(B2*10000/F43),0,ROUND(B2*10000/F43,0))</f>
        <v>3672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40</v>
      </c>
      <c r="D6" s="164" t="s">
        <v>3030</v>
      </c>
      <c r="E6" s="347" t="s">
        <v>1401</v>
      </c>
      <c r="F6" s="348">
        <f ca="1">INDIRECT("'数据-取费表'!u"&amp;$G$1)</f>
        <v>1</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79" t="s">
        <v>1402</v>
      </c>
      <c r="F7" s="348">
        <f ca="1">IF(INDIRECT("'数据-取费表'!ah"&amp;$G$1)="",INDIRECT("'数据-取费表'!k"&amp;$G$1),INDIRECT("'数据-取费表'!ah"&amp;$G$1))</f>
        <v>1301.8900000000001</v>
      </c>
      <c r="G7" s="1850"/>
      <c r="H7" s="349"/>
      <c r="I7" s="3178"/>
      <c r="J7" s="351"/>
      <c r="K7" s="352"/>
      <c r="L7" s="347" t="s">
        <v>1402</v>
      </c>
      <c r="M7" s="348">
        <f ca="1">F7</f>
        <v>1301.8900000000001</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607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427</v>
      </c>
      <c r="D14" s="2982" t="s">
        <v>1414</v>
      </c>
      <c r="E14" s="2981"/>
      <c r="F14" s="364"/>
      <c r="G14" s="1850"/>
      <c r="H14" s="1200" t="s">
        <v>1032</v>
      </c>
      <c r="I14" s="347" t="s">
        <v>1415</v>
      </c>
      <c r="J14" s="24">
        <f ca="1">C29</f>
        <v>607</v>
      </c>
      <c r="K14" s="2978"/>
      <c r="L14" s="978"/>
      <c r="M14" s="979"/>
    </row>
    <row r="15" spans="1:37" s="1857" customFormat="1" ht="18" customHeight="1" thickBot="1">
      <c r="A15" s="1200" t="s">
        <v>1033</v>
      </c>
      <c r="B15" s="347" t="s">
        <v>1416</v>
      </c>
      <c r="C15" s="24">
        <f ca="1">ROUND(C14*F15,0)</f>
        <v>13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15</v>
      </c>
      <c r="K16" s="1336" t="s">
        <v>1421</v>
      </c>
      <c r="L16" s="2984"/>
      <c r="M16" s="1293"/>
    </row>
    <row r="17" spans="1:37" s="1857" customFormat="1" ht="18" customHeight="1">
      <c r="A17" s="1200" t="s">
        <v>1386</v>
      </c>
      <c r="B17" s="347" t="s">
        <v>1422</v>
      </c>
      <c r="C17" s="24">
        <f ca="1">ROUND(F17*(F43+INDIRECT("'数据-取费表'!S"&amp;$G$1))/10000,0)</f>
        <v>30</v>
      </c>
      <c r="D17" s="347" t="s">
        <v>1423</v>
      </c>
      <c r="E17" s="347" t="s">
        <v>1424</v>
      </c>
      <c r="F17" s="26">
        <f>'数据-取费表'!B35</f>
        <v>200</v>
      </c>
      <c r="G17" s="1853"/>
      <c r="H17" s="1200" t="s">
        <v>1032</v>
      </c>
      <c r="I17" s="347" t="s">
        <v>1425</v>
      </c>
      <c r="J17" s="24">
        <f ca="1">ROUND(IF(项目基本情况!B11="自然人",J5*M17,J18+J19+J20),1)</f>
        <v>5.4</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6</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476</v>
      </c>
      <c r="D19" s="140" t="s">
        <v>1432</v>
      </c>
      <c r="E19" s="2977"/>
      <c r="F19" s="26"/>
      <c r="G19" s="1850"/>
      <c r="H19" s="1200" t="s">
        <v>1033</v>
      </c>
      <c r="I19" s="347" t="s">
        <v>1433</v>
      </c>
      <c r="J19" s="24">
        <f ca="1">IF(K19="按租金收入计税",ROUND(J5*M19,2),ROUND(C29*M19*0.7,2))</f>
        <v>5.0999999999999996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10</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233.25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9.1</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-15</v>
      </c>
      <c r="K25" s="1344" t="s">
        <v>1460</v>
      </c>
      <c r="L25" s="1345"/>
      <c r="M25" s="1346"/>
    </row>
    <row r="26" spans="1:37">
      <c r="A26" s="1200" t="s">
        <v>1031</v>
      </c>
      <c r="B26" s="347" t="s">
        <v>1461</v>
      </c>
      <c r="C26" s="24">
        <f ca="1">ROUND((C19+C20)*F26,0)</f>
        <v>49</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607</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18</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233.25</v>
      </c>
      <c r="G35" s="1850"/>
      <c r="H35" s="745"/>
      <c r="I35" s="1859"/>
      <c r="J35" s="1860"/>
      <c r="K35" s="1861"/>
      <c r="L35" s="1858"/>
      <c r="M35" s="1858"/>
    </row>
    <row r="36" spans="1:18" ht="18" customHeight="1">
      <c r="A36" s="1351" t="s">
        <v>1036</v>
      </c>
      <c r="B36" s="347" t="s">
        <v>1445</v>
      </c>
      <c r="C36" s="24">
        <f ca="1">ROUND(C29*F36,1)</f>
        <v>9.1</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0.9</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22</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478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3672</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-1395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0</v>
      </c>
      <c r="M47" s="1837" t="str">
        <f>IF(ISNUMBER(FIND("住宅",C1)),"住宅","非住宅")</f>
        <v>非住宅</v>
      </c>
      <c r="O47" s="1883" t="s">
        <v>1037</v>
      </c>
      <c r="P47" s="1884" t="s">
        <v>1524</v>
      </c>
      <c r="Q47" s="1885">
        <f ca="1">C40+J29</f>
        <v>478</v>
      </c>
      <c r="R47" s="1885" t="s">
        <v>1525</v>
      </c>
    </row>
    <row r="48" spans="1:18" s="1841" customFormat="1" ht="28.5" thickBot="1">
      <c r="A48" s="1359" t="s">
        <v>1132</v>
      </c>
      <c r="B48" s="345" t="s">
        <v>1397</v>
      </c>
      <c r="C48" s="297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2021</v>
      </c>
      <c r="K49" s="1888" t="s">
        <v>1531</v>
      </c>
      <c r="L49" s="1892"/>
      <c r="O49" s="1893" t="s">
        <v>1039</v>
      </c>
      <c r="P49" s="1884" t="s">
        <v>1532</v>
      </c>
      <c r="Q49" s="1885">
        <f ca="1">C29</f>
        <v>607</v>
      </c>
      <c r="R49" s="1885" t="s">
        <v>1525</v>
      </c>
    </row>
    <row r="50" spans="1:18" s="1841" customFormat="1" ht="13.5"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-459</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478</v>
      </c>
      <c r="R53" s="1885" t="s">
        <v>1044</v>
      </c>
    </row>
    <row r="54" spans="1:18" s="1841" customFormat="1" ht="13.5"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607</v>
      </c>
      <c r="D56" s="1913"/>
      <c r="E56" s="1914"/>
      <c r="F56" s="1906"/>
      <c r="I56" s="1915" t="s">
        <v>1550</v>
      </c>
      <c r="J56" s="1916" t="s">
        <v>3070</v>
      </c>
      <c r="K56" s="1886" t="s">
        <v>1551</v>
      </c>
      <c r="L56" s="1889" t="str">
        <f ca="1">IF(L48&lt;J51,"——",L48-J53)</f>
        <v>——</v>
      </c>
      <c r="O56" s="1883" t="s">
        <v>1037</v>
      </c>
      <c r="P56" s="1884" t="s">
        <v>1524</v>
      </c>
      <c r="Q56" s="1885">
        <f ca="1">C40+J29</f>
        <v>478</v>
      </c>
      <c r="R56" s="1885" t="s">
        <v>1525</v>
      </c>
    </row>
    <row r="57" spans="1:18" s="1841" customFormat="1" ht="24.75" thickBot="1">
      <c r="A57" s="1917"/>
      <c r="B57" s="1168" t="s">
        <v>1474</v>
      </c>
      <c r="C57" s="282">
        <f ca="1">C29</f>
        <v>607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61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51.3</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50.99</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478</v>
      </c>
      <c r="R62" s="1885" t="s">
        <v>1044</v>
      </c>
    </row>
    <row r="63" spans="1:18" s="1841" customFormat="1" ht="13.5" thickBot="1">
      <c r="A63" s="372"/>
      <c r="B63" s="1174"/>
      <c r="C63" s="29"/>
      <c r="D63" s="1184"/>
      <c r="E63" s="1168" t="s">
        <v>1443</v>
      </c>
      <c r="F63" s="348">
        <f t="shared" ca="1" si="0"/>
        <v>233.25</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9.1</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0.9</v>
      </c>
      <c r="D65" s="1182" t="s">
        <v>1450</v>
      </c>
      <c r="E65" s="1168" t="s">
        <v>1418</v>
      </c>
      <c r="F65" s="376">
        <f t="shared" ca="1" si="0"/>
        <v>1.5E-3</v>
      </c>
      <c r="I65" s="1928" t="s">
        <v>1575</v>
      </c>
      <c r="J65" s="1929">
        <v>40</v>
      </c>
      <c r="K65" s="1929">
        <v>30</v>
      </c>
      <c r="L65" s="1929">
        <v>50</v>
      </c>
      <c r="M65" s="1931">
        <v>0.02</v>
      </c>
      <c r="O65" s="1883" t="s">
        <v>1037</v>
      </c>
      <c r="P65" s="1884" t="s">
        <v>1524</v>
      </c>
      <c r="Q65" s="1885">
        <f ca="1">C40+J29</f>
        <v>478</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-61</v>
      </c>
      <c r="D67" s="1181" t="s">
        <v>1460</v>
      </c>
      <c r="E67" s="1186"/>
      <c r="F67" s="1187"/>
      <c r="O67" s="1893" t="s">
        <v>1039</v>
      </c>
      <c r="P67" s="1884" t="s">
        <v>1558</v>
      </c>
      <c r="Q67" s="1932">
        <f ca="1">L51</f>
        <v>-459</v>
      </c>
      <c r="R67" s="1885" t="s">
        <v>1578</v>
      </c>
    </row>
    <row r="68" spans="1:18" s="1841" customFormat="1" ht="16.5" thickBot="1">
      <c r="A68" s="1165" t="s">
        <v>1029</v>
      </c>
      <c r="B68" s="1166" t="s">
        <v>1481</v>
      </c>
      <c r="C68" s="346">
        <f ca="1">ROUND(C67*(1-((1+F70)/(1+F68))^F69)/(F68-F70),0)</f>
        <v>-917</v>
      </c>
      <c r="D68" s="1183" t="s">
        <v>1465</v>
      </c>
      <c r="E68" s="1168" t="s">
        <v>1466</v>
      </c>
      <c r="F68" s="357">
        <f ca="1">F40</f>
        <v>5.5E-2</v>
      </c>
      <c r="O68" s="1893" t="s">
        <v>1040</v>
      </c>
      <c r="P68" s="1933" t="s">
        <v>1579</v>
      </c>
      <c r="Q68" s="1885">
        <f ca="1">ROUND(Q69-Q70*Q71,0)</f>
        <v>-30</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22</v>
      </c>
      <c r="R69" s="1885" t="s">
        <v>1525</v>
      </c>
    </row>
    <row r="70" spans="1:18" s="1841" customFormat="1" ht="13.5" thickBot="1">
      <c r="A70" s="1172"/>
      <c r="B70" s="1173"/>
      <c r="C70" s="355"/>
      <c r="D70" s="1184"/>
      <c r="E70" s="1168" t="s">
        <v>1473</v>
      </c>
      <c r="F70" s="1274"/>
      <c r="O70" s="1893" t="s">
        <v>1046</v>
      </c>
      <c r="P70" s="1933" t="s">
        <v>1581</v>
      </c>
      <c r="Q70" s="1885">
        <f ca="1">C13</f>
        <v>607</v>
      </c>
      <c r="R70" s="1885" t="s">
        <v>1525</v>
      </c>
    </row>
    <row r="71" spans="1:18" s="1841" customFormat="1" ht="13.5" thickBot="1">
      <c r="A71" s="1189" t="s">
        <v>1030</v>
      </c>
      <c r="B71" s="1190" t="s">
        <v>1483</v>
      </c>
      <c r="C71" s="382">
        <f ca="1">ROUND(C68*10000/F71,0)</f>
        <v>-7044</v>
      </c>
      <c r="D71" s="1191" t="s">
        <v>1484</v>
      </c>
      <c r="E71" s="1192" t="s">
        <v>1485</v>
      </c>
      <c r="F71" s="385">
        <f ca="1">F43</f>
        <v>1301.8900000000001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52</v>
      </c>
      <c r="D75" s="1841"/>
      <c r="E75" s="1841"/>
      <c r="F75" s="1841"/>
      <c r="K75" s="1867"/>
      <c r="L75" s="1841"/>
      <c r="O75" s="1883" t="s">
        <v>1043</v>
      </c>
      <c r="P75" s="1884" t="s">
        <v>1545</v>
      </c>
      <c r="Q75" s="1885">
        <f ca="1">Q65+Q66</f>
        <v>478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-1.3639999999999999</v>
      </c>
    </row>
    <row r="80" spans="1:18">
      <c r="B80" s="386" t="s">
        <v>1507</v>
      </c>
      <c r="C80" s="318">
        <f ca="1">ROUND(C75/C39,3)</f>
        <v>2.3639999999999999</v>
      </c>
    </row>
    <row r="81" spans="2:3">
      <c r="B81" s="314" t="s">
        <v>1508</v>
      </c>
      <c r="C81" s="282"/>
    </row>
    <row r="82" spans="2:3">
      <c r="B82" s="317" t="s">
        <v>1509</v>
      </c>
      <c r="C82" s="319">
        <f ca="1">1-C83</f>
        <v>-0.27</v>
      </c>
    </row>
    <row r="83" spans="2:3">
      <c r="B83" s="317" t="s">
        <v>1510</v>
      </c>
      <c r="C83" s="318">
        <f ca="1">ROUND(C13/C40,3)</f>
        <v>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6" sqref="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3102</v>
      </c>
      <c r="D1" s="1819" t="s">
        <v>3095</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348</v>
      </c>
      <c r="C2" s="1844" t="s">
        <v>1512</v>
      </c>
      <c r="D2" s="1844"/>
      <c r="E2" s="1845"/>
      <c r="F2" s="1846"/>
      <c r="G2" s="1847"/>
      <c r="H2" s="1839"/>
      <c r="I2" s="1839"/>
      <c r="J2" s="1839"/>
      <c r="K2" s="1840"/>
      <c r="L2" s="1839"/>
      <c r="M2" s="1839"/>
    </row>
    <row r="3" spans="1:37" ht="18" customHeight="1" thickBot="1">
      <c r="A3" s="1848" t="s">
        <v>1513</v>
      </c>
      <c r="B3" s="1849">
        <f ca="1">IF(ISERROR(B2*10000/F43),0,ROUND(B2*10000/F43,0))</f>
        <v>1081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50</v>
      </c>
      <c r="D6" s="164" t="s">
        <v>3030</v>
      </c>
      <c r="E6" s="347" t="s">
        <v>1401</v>
      </c>
      <c r="F6" s="348">
        <f ca="1">INDIRECT("'数据-取费表'!u"&amp;$G$1)</f>
        <v>0.5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3220.52</v>
      </c>
      <c r="G7" s="1850"/>
      <c r="H7" s="349"/>
      <c r="I7" s="3178"/>
      <c r="J7" s="351"/>
      <c r="K7" s="352"/>
      <c r="L7" s="347" t="s">
        <v>1402</v>
      </c>
      <c r="M7" s="348">
        <f ca="1">F7</f>
        <v>3220.52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1432</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1056</v>
      </c>
      <c r="D14" s="2954" t="s">
        <v>1414</v>
      </c>
      <c r="E14" s="2952"/>
      <c r="F14" s="364"/>
      <c r="G14" s="1850"/>
      <c r="H14" s="1200" t="s">
        <v>1032</v>
      </c>
      <c r="I14" s="347" t="s">
        <v>1415</v>
      </c>
      <c r="J14" s="24">
        <f ca="1">C29</f>
        <v>1432</v>
      </c>
      <c r="K14" s="2959"/>
      <c r="L14" s="978"/>
      <c r="M14" s="979"/>
    </row>
    <row r="15" spans="1:37" s="1857" customFormat="1" ht="18" customHeight="1" thickBot="1">
      <c r="A15" s="1200" t="s">
        <v>1033</v>
      </c>
      <c r="B15" s="347" t="s">
        <v>1416</v>
      </c>
      <c r="C15" s="24">
        <f ca="1">ROUND(C14*F15,0)</f>
        <v>32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34</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12.7</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1177</v>
      </c>
      <c r="D19" s="140" t="s">
        <v>1432</v>
      </c>
      <c r="E19" s="2958"/>
      <c r="F19" s="26"/>
      <c r="G19" s="1850"/>
      <c r="H19" s="1200" t="s">
        <v>1033</v>
      </c>
      <c r="I19" s="347" t="s">
        <v>1433</v>
      </c>
      <c r="J19" s="24">
        <f ca="1">IF(K19="按租金收入计税",ROUND(J5*M19,2),ROUND(C29*M19*0.7,2))</f>
        <v>12.03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24</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576.99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21.5</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-34</v>
      </c>
      <c r="K25" s="1344" t="s">
        <v>1460</v>
      </c>
      <c r="L25" s="1345"/>
      <c r="M25" s="1346"/>
    </row>
    <row r="26" spans="1:37">
      <c r="A26" s="1200" t="s">
        <v>1031</v>
      </c>
      <c r="B26" s="347" t="s">
        <v>1461</v>
      </c>
      <c r="C26" s="24">
        <f ca="1">ROUND((C19+C20)*F26,0)</f>
        <v>60</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1432</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34</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576.99</v>
      </c>
      <c r="G35" s="1850"/>
      <c r="H35" s="745"/>
      <c r="I35" s="1859"/>
      <c r="J35" s="1860"/>
      <c r="K35" s="1861"/>
      <c r="L35" s="1858"/>
      <c r="M35" s="1858"/>
    </row>
    <row r="36" spans="1:18" ht="18" customHeight="1">
      <c r="A36" s="1351" t="s">
        <v>1036</v>
      </c>
      <c r="B36" s="347" t="s">
        <v>1445</v>
      </c>
      <c r="C36" s="24">
        <f ca="1">ROUND(C29*F36,1)</f>
        <v>21.5</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2.1</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348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1081</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-2527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348</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1432</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-1640</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348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1432</v>
      </c>
      <c r="D56" s="1913"/>
      <c r="E56" s="1914"/>
      <c r="F56" s="1906"/>
      <c r="I56" s="1915" t="s">
        <v>1550</v>
      </c>
      <c r="J56" s="1916" t="s">
        <v>3070</v>
      </c>
      <c r="K56" s="1886" t="s">
        <v>1551</v>
      </c>
      <c r="L56" s="1889" t="str">
        <f ca="1">IF(L48&lt;J51,"——",L48-J53)</f>
        <v>——</v>
      </c>
      <c r="O56" s="1883" t="s">
        <v>1037</v>
      </c>
      <c r="P56" s="1884" t="s">
        <v>1524</v>
      </c>
      <c r="Q56" s="1885">
        <f ca="1">C40+J29</f>
        <v>348</v>
      </c>
      <c r="R56" s="1885" t="s">
        <v>1525</v>
      </c>
    </row>
    <row r="57" spans="1:18" s="1841" customFormat="1" ht="24.75" thickBot="1">
      <c r="A57" s="1917"/>
      <c r="B57" s="1168" t="s">
        <v>1474</v>
      </c>
      <c r="C57" s="282">
        <f ca="1">C29</f>
        <v>1432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145</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120.29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348</v>
      </c>
      <c r="R62" s="1885" t="s">
        <v>1044</v>
      </c>
    </row>
    <row r="63" spans="1:18" s="1841" customFormat="1" ht="13.5" thickBot="1">
      <c r="A63" s="372"/>
      <c r="B63" s="1174"/>
      <c r="C63" s="29"/>
      <c r="D63" s="1184"/>
      <c r="E63" s="1168" t="s">
        <v>1495</v>
      </c>
      <c r="F63" s="348">
        <f t="shared" ca="1" si="0"/>
        <v>576.99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2.1</v>
      </c>
      <c r="D65" s="1182" t="s">
        <v>1450</v>
      </c>
      <c r="E65" s="1168" t="s">
        <v>1451</v>
      </c>
      <c r="F65" s="376">
        <f t="shared" ca="1" si="0"/>
        <v>1.5E-3</v>
      </c>
      <c r="I65" s="1928" t="s">
        <v>1575</v>
      </c>
      <c r="J65" s="1929">
        <v>40</v>
      </c>
      <c r="K65" s="1929">
        <v>30</v>
      </c>
      <c r="L65" s="1929">
        <v>50</v>
      </c>
      <c r="M65" s="1931">
        <v>0.02</v>
      </c>
      <c r="O65" s="1883" t="s">
        <v>1037</v>
      </c>
      <c r="P65" s="1884" t="s">
        <v>1576</v>
      </c>
      <c r="Q65" s="1885">
        <f ca="1">C40+J29</f>
        <v>348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-145</v>
      </c>
      <c r="D67" s="1181" t="s">
        <v>1460</v>
      </c>
      <c r="E67" s="1186"/>
      <c r="F67" s="1187"/>
      <c r="O67" s="1893" t="s">
        <v>1039</v>
      </c>
      <c r="P67" s="1884" t="s">
        <v>1558</v>
      </c>
      <c r="Q67" s="1932">
        <f ca="1">L51</f>
        <v>-1640</v>
      </c>
      <c r="R67" s="1885" t="s">
        <v>1578</v>
      </c>
    </row>
    <row r="68" spans="1:18" s="1841" customFormat="1" ht="16.5" thickBot="1">
      <c r="A68" s="1165" t="s">
        <v>1029</v>
      </c>
      <c r="B68" s="1166" t="s">
        <v>1481</v>
      </c>
      <c r="C68" s="346">
        <f ca="1">ROUND(C67*(1-((1+F70)/(1+F68))^F69)/(F68-F70),0)</f>
        <v>-2179</v>
      </c>
      <c r="D68" s="1183" t="s">
        <v>1465</v>
      </c>
      <c r="E68" s="1168" t="s">
        <v>1466</v>
      </c>
      <c r="F68" s="357">
        <f ca="1">F40</f>
        <v>5.5E-2</v>
      </c>
      <c r="O68" s="1893" t="s">
        <v>1040</v>
      </c>
      <c r="P68" s="1933" t="s">
        <v>1579</v>
      </c>
      <c r="Q68" s="1885">
        <f ca="1">ROUND(Q69-Q70*Q71,0)</f>
        <v>-106</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16</v>
      </c>
      <c r="R69" s="1885" t="s">
        <v>1525</v>
      </c>
    </row>
    <row r="70" spans="1:18" s="1841" customFormat="1" ht="13.5" thickBot="1">
      <c r="A70" s="1172"/>
      <c r="B70" s="1173"/>
      <c r="C70" s="355"/>
      <c r="D70" s="1184"/>
      <c r="E70" s="1168" t="s">
        <v>1473</v>
      </c>
      <c r="F70" s="1274"/>
      <c r="O70" s="1893" t="s">
        <v>1046</v>
      </c>
      <c r="P70" s="1933" t="s">
        <v>1581</v>
      </c>
      <c r="Q70" s="1885">
        <f ca="1">C13</f>
        <v>1432</v>
      </c>
      <c r="R70" s="1885" t="s">
        <v>1525</v>
      </c>
    </row>
    <row r="71" spans="1:18" s="1841" customFormat="1" ht="13.5" thickBot="1">
      <c r="A71" s="1189" t="s">
        <v>1030</v>
      </c>
      <c r="B71" s="1190" t="s">
        <v>1483</v>
      </c>
      <c r="C71" s="382">
        <f ca="1">ROUND(C68*10000/F71,0)</f>
        <v>-6766</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122</v>
      </c>
      <c r="D75" s="1841"/>
      <c r="E75" s="1841"/>
      <c r="F75" s="1841"/>
      <c r="K75" s="1867"/>
      <c r="L75" s="1841"/>
      <c r="O75" s="1883" t="s">
        <v>1043</v>
      </c>
      <c r="P75" s="1884" t="s">
        <v>1545</v>
      </c>
      <c r="Q75" s="1885">
        <f ca="1">Q65+Q66</f>
        <v>348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-6.625</v>
      </c>
    </row>
    <row r="80" spans="1:18">
      <c r="B80" s="386" t="s">
        <v>1507</v>
      </c>
      <c r="C80" s="318">
        <f ca="1">ROUND(C75/C39,3)</f>
        <v>7.625</v>
      </c>
    </row>
    <row r="81" spans="2:3">
      <c r="B81" s="314" t="s">
        <v>1508</v>
      </c>
      <c r="C81" s="282"/>
    </row>
    <row r="82" spans="2:3">
      <c r="B82" s="317" t="s">
        <v>1509</v>
      </c>
      <c r="C82" s="319">
        <f ca="1">1-C83</f>
        <v>-3.1150000000000002</v>
      </c>
    </row>
    <row r="83" spans="2:3">
      <c r="B83" s="317" t="s">
        <v>1510</v>
      </c>
      <c r="C83" s="318">
        <f ca="1">ROUND(C13/C40,3)</f>
        <v>4.1150000000000002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8">
        <f>MATCH(B1,'数据-取费表'!A6:A16,0)+5</f>
        <v>12</v>
      </c>
    </row>
    <row r="2" spans="1:9" s="244" customFormat="1" ht="18" customHeight="1">
      <c r="A2" s="245" t="s">
        <v>2329</v>
      </c>
      <c r="B2" s="246">
        <f ca="1">IF(D2="——",C52,C52-E2)</f>
        <v>185104</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13134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143972</v>
      </c>
      <c r="D5" s="255" t="s">
        <v>2336</v>
      </c>
      <c r="E5" s="256" t="s">
        <v>2337</v>
      </c>
      <c r="F5" s="256" t="s">
        <v>2338</v>
      </c>
      <c r="G5" s="257"/>
    </row>
    <row r="6" spans="1:9" s="258" customFormat="1" ht="13.5" customHeight="1">
      <c r="A6" s="948" t="s">
        <v>2339</v>
      </c>
      <c r="B6" s="259" t="s">
        <v>2340</v>
      </c>
      <c r="C6" s="260">
        <f ca="1">基准地价修正!B2</f>
        <v>139711</v>
      </c>
      <c r="D6" s="261"/>
      <c r="E6" s="262"/>
      <c r="F6" s="262"/>
      <c r="G6" s="263"/>
    </row>
    <row r="7" spans="1:9" s="258" customFormat="1" ht="13.5" customHeight="1">
      <c r="A7" s="948" t="s">
        <v>2341</v>
      </c>
      <c r="B7" s="259" t="s">
        <v>2342</v>
      </c>
      <c r="C7" s="264">
        <f ca="1">ROUND(C6*F7,0)</f>
        <v>4261</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2819</v>
      </c>
      <c r="D10" s="1031">
        <f ca="1">IF(B1="",'数据-汇总表'!E6,IF(INDIRECT("'数据-取费表'!c"&amp;$G$1)="住宅",INDIRECT("'数据-取费表'!s"&amp;$G$1),INDIRECT("'数据-取费表'!k"&amp;$G$1)+INDIRECT("'数据-取费表'!s"&amp;$G$1)))</f>
        <v>140932.81</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140932.81</v>
      </c>
      <c r="E19" s="255">
        <f>'数据-取费表'!B31</f>
        <v>100</v>
      </c>
      <c r="F19" s="275"/>
      <c r="G19" s="2552" t="s">
        <v>3113</v>
      </c>
    </row>
    <row r="20" spans="1:7" s="258" customFormat="1" ht="13.5" customHeight="1">
      <c r="A20" s="299" t="s">
        <v>2360</v>
      </c>
      <c r="B20" s="254" t="s">
        <v>2361</v>
      </c>
      <c r="C20" s="276">
        <f ca="1">ROUND((C5+C19)*F20,0)</f>
        <v>2879</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4105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4065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40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5992</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5992</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168598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12695</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11501</v>
      </c>
      <c r="D34" s="261"/>
      <c r="E34" s="264"/>
      <c r="F34" s="301">
        <f ca="1">IF('数据-取费表'!B24=0,1,IF(B1="",'数据-取费表'!N16,INDIRECT("'数据-取费表'!n"&amp;$G$1)))</f>
        <v>0.24</v>
      </c>
      <c r="G34" s="263" t="s">
        <v>2393</v>
      </c>
    </row>
    <row r="35" spans="1:7" ht="13.5" customHeight="1">
      <c r="A35" s="950" t="s">
        <v>796</v>
      </c>
      <c r="B35" s="259" t="s">
        <v>2394</v>
      </c>
      <c r="C35" s="264">
        <f ca="1">ROUND(C34*F35,0)</f>
        <v>345</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676</v>
      </c>
      <c r="D37" s="261">
        <f ca="1">D19</f>
        <v>140932.81</v>
      </c>
      <c r="E37" s="293">
        <f>'数据-取费表'!B35</f>
        <v>200</v>
      </c>
      <c r="F37" s="303"/>
      <c r="G37" s="305" t="s">
        <v>2399</v>
      </c>
    </row>
    <row r="38" spans="1:7" ht="13.5" customHeight="1">
      <c r="A38" s="950" t="s">
        <v>799</v>
      </c>
      <c r="B38" s="259" t="s">
        <v>2400</v>
      </c>
      <c r="C38" s="264">
        <f ca="1">ROUND(C34*F38,0)</f>
        <v>173</v>
      </c>
      <c r="D38" s="264"/>
      <c r="E38" s="264"/>
      <c r="F38" s="303">
        <f>'数据-取费表'!B36</f>
        <v>1.4999999999999999E-2</v>
      </c>
      <c r="G38" s="263" t="s">
        <v>2395</v>
      </c>
    </row>
    <row r="39" spans="1:7" s="258" customFormat="1" ht="13.5" customHeight="1">
      <c r="A39" s="299" t="s">
        <v>2401</v>
      </c>
      <c r="B39" s="254" t="s">
        <v>2402</v>
      </c>
      <c r="C39" s="276">
        <f ca="1">ROUND(C33*F20,0)</f>
        <v>254</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182</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178</v>
      </c>
      <c r="D42" s="282"/>
      <c r="E42" s="282"/>
      <c r="F42" s="283"/>
      <c r="G42" s="3172" t="s">
        <v>2411</v>
      </c>
    </row>
    <row r="43" spans="1:7" ht="13.5" customHeight="1">
      <c r="A43" s="950" t="s">
        <v>792</v>
      </c>
      <c r="B43" s="259" t="s">
        <v>2412</v>
      </c>
      <c r="C43" s="282">
        <f ca="1">ROUND(IF('数据-取费表'!B22&lt;=1,C39*F22*'数据-取费表'!B21/2,C39*(POWER((1+F22),'数据-取费表'!B21/2)-1)),0)</f>
        <v>4</v>
      </c>
      <c r="D43" s="282"/>
      <c r="E43" s="282"/>
      <c r="F43" s="283"/>
      <c r="G43" s="3173"/>
    </row>
    <row r="44" spans="1:7" ht="13.5" customHeight="1">
      <c r="A44" s="950" t="s">
        <v>793</v>
      </c>
      <c r="B44" s="259" t="s">
        <v>2413</v>
      </c>
      <c r="C44" s="282">
        <f ca="1">ROUND(IF('数据-取费表'!B22&lt;=1,C40*F22*'数据-取费表'!B21/2,C40*(POWER((1+F22),'数据-取费表'!B21/2)-1)),4)</f>
        <v>2.0000000000000001E-4</v>
      </c>
      <c r="D44" s="282"/>
      <c r="E44" s="282"/>
      <c r="F44" s="283"/>
      <c r="G44" s="3174"/>
    </row>
    <row r="45" spans="1:7" s="258" customFormat="1" ht="13.5" customHeight="1">
      <c r="A45" s="299" t="s">
        <v>2414</v>
      </c>
      <c r="B45" s="288" t="s">
        <v>2380</v>
      </c>
      <c r="C45" s="289">
        <f ca="1">C46</f>
        <v>2201</v>
      </c>
      <c r="D45" s="279">
        <f ca="1">C47</f>
        <v>2.5999999999999999E-3</v>
      </c>
      <c r="E45" s="280" t="s">
        <v>2406</v>
      </c>
      <c r="F45" s="290"/>
      <c r="G45" s="291" t="s">
        <v>2415</v>
      </c>
    </row>
    <row r="46" spans="1:7" s="258" customFormat="1" ht="13.5" customHeight="1">
      <c r="A46" s="950" t="s">
        <v>791</v>
      </c>
      <c r="B46" s="292" t="s">
        <v>2416</v>
      </c>
      <c r="C46" s="293">
        <f ca="1">ROUND((C33+C39)*F27,0)</f>
        <v>2201</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16506</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16506</v>
      </c>
      <c r="D51" s="276"/>
      <c r="E51" s="276"/>
      <c r="F51" s="308"/>
      <c r="G51" s="278" t="s">
        <v>2427</v>
      </c>
    </row>
    <row r="52" spans="1:7" s="252" customFormat="1" ht="16.5" thickBot="1">
      <c r="A52" s="309" t="s">
        <v>2428</v>
      </c>
      <c r="B52" s="310"/>
      <c r="C52" s="311">
        <f ca="1">C31+C51</f>
        <v>185104</v>
      </c>
      <c r="D52" s="310"/>
      <c r="E52" s="310"/>
      <c r="F52" s="310"/>
      <c r="G52" s="312"/>
    </row>
    <row r="55" spans="1:7" ht="15">
      <c r="B55" s="314" t="s">
        <v>2429</v>
      </c>
      <c r="C55" s="315"/>
    </row>
    <row r="56" spans="1:7">
      <c r="B56" s="317" t="s">
        <v>1509</v>
      </c>
      <c r="C56" s="319">
        <f ca="1">1-C57</f>
        <v>0.91100000000000003</v>
      </c>
    </row>
    <row r="57" spans="1:7">
      <c r="B57" s="317" t="s">
        <v>1510</v>
      </c>
      <c r="C57" s="318">
        <f ca="1">ROUND(C51/C52,3)</f>
        <v>8.8999999999999996E-2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2803</v>
      </c>
      <c r="B1" s="241"/>
      <c r="C1" s="245" t="s">
        <v>2804</v>
      </c>
      <c r="D1" s="2975">
        <f>SUM(D29:D30,D33:D39)</f>
        <v>123883.8</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f ca="1">C26</f>
        <v>139711</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2817</v>
      </c>
      <c r="B3" s="248">
        <f ca="1">ROUND(B2*10000/D1,0)</f>
        <v>11278</v>
      </c>
      <c r="C3" s="2723" t="s">
        <v>2818</v>
      </c>
      <c r="D3" s="2724" t="s">
        <v>2819</v>
      </c>
      <c r="E3" s="2729" t="s">
        <v>3103</v>
      </c>
      <c r="F3" s="2730" t="s">
        <v>2820</v>
      </c>
      <c r="G3" s="915">
        <f>IF(F3="宗地容积率",'数据-汇总表'!I4,IF(F3="估价对象容积率",'数据-汇总表'!I6,'数据-汇总表'!I7))</f>
        <v>3.99</v>
      </c>
      <c r="H3" s="198" t="s">
        <v>2821</v>
      </c>
      <c r="I3" s="943"/>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2" t="str">
        <f>IF(E2="商业",IF(C8="不临58条商业街","",2),"")</f>
        <v/>
      </c>
      <c r="B7" s="2747" t="s">
        <v>2831</v>
      </c>
      <c r="C7" s="918">
        <f>IF(C8="不临58条商业街",1,ROUND(1+(1.6*E8+1.2*E9+0.8*E10+0.4*E11)*C9,4))</f>
        <v>1</v>
      </c>
      <c r="D7" s="2748" t="s">
        <v>2832</v>
      </c>
      <c r="E7" s="944"/>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25.5">
      <c r="A8" s="3292"/>
      <c r="B8" s="198" t="s">
        <v>2836</v>
      </c>
      <c r="C8" s="2752" t="s">
        <v>3121</v>
      </c>
      <c r="D8" s="919" t="s">
        <v>139</v>
      </c>
      <c r="E8" s="920" t="e">
        <f>ROUND(C11/E7,4)</f>
        <v>#DIV/0!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5" t="s">
        <v>2839</v>
      </c>
      <c r="X8" s="328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2"/>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8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87"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72"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8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87"/>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93"/>
      <c r="B14" s="2770"/>
      <c r="C14" s="2771"/>
      <c r="D14" s="2772"/>
      <c r="E14" s="2772"/>
      <c r="F14" s="2773" t="s">
        <v>3104</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94"/>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2" t="s">
        <v>2882</v>
      </c>
      <c r="B16" s="2747" t="s">
        <v>2883</v>
      </c>
      <c r="C16" s="2937">
        <f>ROUND(IF(F17="与级别开发程度一致",0,(G17-E17)/C17),0)</f>
        <v>0</v>
      </c>
      <c r="D16" s="3283" t="s">
        <v>2887</v>
      </c>
      <c r="E16" s="3284"/>
      <c r="F16" s="3283" t="s">
        <v>2884</v>
      </c>
      <c r="G16" s="3284"/>
      <c r="H16" s="2781" t="s">
        <v>3060</v>
      </c>
      <c r="I16" s="2781" t="s">
        <v>3059</v>
      </c>
      <c r="J16" s="2941" t="s">
        <v>3061</v>
      </c>
      <c r="K16" s="2781" t="s">
        <v>3062</v>
      </c>
      <c r="L16" s="2781" t="s">
        <v>3063</v>
      </c>
      <c r="M16" s="2781" t="s">
        <v>3064</v>
      </c>
      <c r="N16" s="2781" t="s">
        <v>3065</v>
      </c>
      <c r="O16" s="2782" t="s">
        <v>3105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73"/>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3106</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3107</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3120</v>
      </c>
      <c r="C21" s="936">
        <f>IF(B21="容积率修正",IF(G3&lt;=10,D22,J22),C23)</f>
        <v>0.86709999999999998</v>
      </c>
      <c r="D21" s="2807"/>
      <c r="E21" s="2807"/>
      <c r="F21" s="2807"/>
      <c r="G21" s="2807"/>
      <c r="H21" s="2807"/>
      <c r="I21" s="2807"/>
      <c r="J21" s="2808"/>
      <c r="K21" s="1376"/>
      <c r="N21" s="2809" t="s">
        <v>2902</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9" t="s">
        <v>2905</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2906</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2909</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1.022</v>
      </c>
      <c r="D24" s="2788"/>
      <c r="E24" s="2817"/>
      <c r="F24" s="2817"/>
      <c r="G24" s="2817"/>
      <c r="H24" s="2817"/>
      <c r="I24" s="2817"/>
      <c r="J24" s="2818"/>
      <c r="K24" s="1376"/>
      <c r="N24" s="2819" t="s">
        <v>2911</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2914</v>
      </c>
      <c r="C26" s="206">
        <f ca="1">E29+SUM(E33:E39)</f>
        <v>139711</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3136</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11571</v>
      </c>
      <c r="D29" s="2839">
        <f>'数据-汇总表'!F31</f>
        <v>109902.25</v>
      </c>
      <c r="E29" s="941">
        <f ca="1">ROUND(C29*D29/10000,0)</f>
        <v>127168</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2893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80" t="s">
        <v>2928</v>
      </c>
      <c r="B33" s="2855" t="s">
        <v>2929</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1"/>
      <c r="B34" s="2767" t="s">
        <v>2930</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67" t="s">
        <v>2931</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82"/>
      <c r="B36" s="2767" t="s">
        <v>2932</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f ca="1">ROUND(POWER(1+E41,H41-G41)*(POWER(1+E41,G41)-1)/(POWER(1+E41,H41)-1),4)</f>
        <v>0.88470000000000004</v>
      </c>
      <c r="D41" s="200" t="s">
        <v>2888</v>
      </c>
      <c r="E41" s="2931">
        <f ca="1">G20</f>
        <v>5.3999999999999999E-2</v>
      </c>
      <c r="F41" s="200" t="s">
        <v>2897</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8" t="s">
        <v>2941</v>
      </c>
      <c r="C47" s="1808" t="s">
        <v>2942</v>
      </c>
      <c r="D47" s="1808" t="s">
        <v>2943</v>
      </c>
      <c r="E47" s="818" t="s">
        <v>2944</v>
      </c>
      <c r="F47" s="2873" t="s">
        <v>2945</v>
      </c>
      <c r="G47" s="1808" t="s">
        <v>754</v>
      </c>
      <c r="H47" s="2874"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3108</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3109</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3109</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2951</v>
      </c>
      <c r="B51" s="2877" t="s">
        <v>2952</v>
      </c>
      <c r="C51" s="2772" t="s">
        <v>3108</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3109</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2954</v>
      </c>
      <c r="B53" s="2878" t="s">
        <v>2955</v>
      </c>
      <c r="C53" s="2772" t="s">
        <v>3109</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2956</v>
      </c>
      <c r="B54" s="1724" t="str">
        <f>估价对象房地状况!C21</f>
        <v>估价对象所在区域公共配套设施齐备情况</v>
      </c>
      <c r="C54" s="2772" t="s">
        <v>3109</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3108</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3108</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8"/>
      <c r="C58" s="1808" t="s">
        <v>2942</v>
      </c>
      <c r="D58" s="1808" t="s">
        <v>2943</v>
      </c>
      <c r="E58" s="818" t="s">
        <v>2944</v>
      </c>
      <c r="F58" s="2873" t="s">
        <v>2960</v>
      </c>
      <c r="G58" s="1808" t="s">
        <v>754</v>
      </c>
      <c r="H58" s="2874"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2956</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2957</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8"/>
      <c r="C69" s="1808" t="s">
        <v>2942</v>
      </c>
      <c r="D69" s="1808" t="s">
        <v>2943</v>
      </c>
      <c r="E69" s="818" t="s">
        <v>2944</v>
      </c>
      <c r="F69" s="2873" t="s">
        <v>2960</v>
      </c>
      <c r="G69" s="1808" t="s">
        <v>754</v>
      </c>
      <c r="H69" s="2874"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2956</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2957</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2965</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8"/>
      <c r="C80" s="1808" t="s">
        <v>2942</v>
      </c>
      <c r="D80" s="1808" t="s">
        <v>2943</v>
      </c>
      <c r="E80" s="818" t="s">
        <v>2944</v>
      </c>
      <c r="F80" s="2873" t="s">
        <v>2960</v>
      </c>
      <c r="G80" s="1808" t="s">
        <v>754</v>
      </c>
      <c r="H80" s="2874" t="s">
        <v>2946</v>
      </c>
      <c r="I80" s="1808" t="s">
        <v>2947</v>
      </c>
      <c r="J80" s="603" t="s">
        <v>2596</v>
      </c>
      <c r="K80" s="603" t="s">
        <v>2597</v>
      </c>
      <c r="L80" s="603" t="s">
        <v>2598</v>
      </c>
      <c r="M80" s="603" t="s">
        <v>2599</v>
      </c>
      <c r="N80" s="603" t="s">
        <v>2600</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2950</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2964</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2956</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2957</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2954</v>
      </c>
      <c r="B87" s="2878" t="s">
        <v>2968</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74" t="s">
        <v>2970</v>
      </c>
      <c r="B90" s="3274"/>
      <c r="C90" s="3274"/>
      <c r="D90" s="3274"/>
      <c r="E90" s="3274"/>
      <c r="F90" s="3274"/>
      <c r="G90" s="3274"/>
      <c r="H90" s="3274"/>
      <c r="I90" s="3274"/>
      <c r="J90" s="3274"/>
      <c r="K90" s="2886"/>
      <c r="L90" s="2886"/>
      <c r="M90" s="2886"/>
      <c r="N90" s="2886"/>
    </row>
    <row r="91" spans="1:37">
      <c r="A91" s="3276" t="s">
        <v>2971</v>
      </c>
      <c r="B91" s="3276" t="s">
        <v>2972</v>
      </c>
      <c r="C91" s="2840" t="s">
        <v>2973</v>
      </c>
      <c r="D91" s="2841"/>
      <c r="E91" s="2841"/>
      <c r="F91" s="2841"/>
      <c r="G91" s="2841"/>
      <c r="H91" s="2841"/>
      <c r="I91" s="2841"/>
      <c r="J91" s="2887"/>
      <c r="K91" s="2888"/>
      <c r="L91" s="2888"/>
      <c r="M91" s="2888"/>
      <c r="N91" s="2888"/>
    </row>
    <row r="92" spans="1:37">
      <c r="A92" s="3276"/>
      <c r="B92" s="327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7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2975</v>
      </c>
      <c r="B101" s="2893" t="s">
        <v>2976</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7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7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7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7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7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7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78"/>
      <c r="B108" s="3106"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07"/>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75" t="s">
        <v>2978</v>
      </c>
      <c r="B110" s="3275"/>
      <c r="C110" s="3275"/>
      <c r="D110" s="3275"/>
      <c r="E110" s="3275"/>
      <c r="F110" s="3275"/>
      <c r="G110" s="3275"/>
      <c r="H110" s="3275"/>
      <c r="I110" s="3275"/>
      <c r="J110" s="3275"/>
      <c r="K110" s="2895"/>
      <c r="L110" s="2895"/>
      <c r="M110" s="2895"/>
      <c r="N110" s="2895"/>
    </row>
    <row r="112" spans="1:14" ht="13.5" thickBot="1"/>
    <row r="113" spans="1:13" ht="25.5" thickBot="1">
      <c r="A113" s="902" t="s">
        <v>2979</v>
      </c>
      <c r="B113" s="1286">
        <f>G3</f>
        <v>3.99</v>
      </c>
      <c r="C113" s="903" t="s">
        <v>2980</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结果表!H101</f>
        <v>173181</v>
      </c>
      <c r="E5" s="1958"/>
    </row>
    <row r="6" spans="1:5" ht="15.75">
      <c r="A6" s="1958"/>
      <c r="B6" s="2988"/>
      <c r="C6" s="1961" t="s">
        <v>1620</v>
      </c>
      <c r="D6" s="1039" t="str">
        <f ca="1">NUMBERSTRING(INT(D5*10000),2)&amp;"元整"</f>
        <v>壹拾柒亿叁仟壹佰捌拾壹万元整</v>
      </c>
      <c r="E6" s="1958"/>
    </row>
    <row r="7" spans="1:5" ht="15.75">
      <c r="A7" s="1958"/>
      <c r="B7" s="2993"/>
      <c r="C7" s="1962" t="s">
        <v>1621</v>
      </c>
      <c r="D7" s="1040">
        <f ca="1">结果表!H102</f>
        <v>12288</v>
      </c>
      <c r="E7" s="1958"/>
    </row>
    <row r="8" spans="1:5" ht="15.75">
      <c r="A8" s="1958"/>
      <c r="B8" s="2994" t="str">
        <f>结果表!E103</f>
        <v>2.估价师知悉的法定优先受偿款</v>
      </c>
      <c r="C8" s="1963" t="s">
        <v>1622</v>
      </c>
      <c r="D8" s="1040">
        <f>结果表!H103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87" t="str">
        <f>结果表!E107</f>
        <v>3.房地产抵押价值</v>
      </c>
      <c r="C13" s="1966" t="s">
        <v>1619</v>
      </c>
      <c r="D13" s="1042">
        <f ca="1">结果表!H107</f>
        <v>173181</v>
      </c>
      <c r="E13" s="1958"/>
    </row>
    <row r="14" spans="1:5" ht="15.75">
      <c r="A14" s="1958"/>
      <c r="B14" s="2988"/>
      <c r="C14" s="1961" t="s">
        <v>1620</v>
      </c>
      <c r="D14" s="1039" t="str">
        <f ca="1">NUMBERSTRING(INT(D13*10000),2)&amp;"元整"</f>
        <v>壹拾柒亿叁仟壹佰捌拾壹万元整</v>
      </c>
      <c r="E14" s="1958"/>
    </row>
    <row r="15" spans="1:5" ht="15">
      <c r="A15" s="1958"/>
      <c r="B15" s="2993"/>
      <c r="C15" s="1962" t="s">
        <v>1630</v>
      </c>
      <c r="D15" s="1051">
        <f ca="1">结果表!H108</f>
        <v>12288</v>
      </c>
      <c r="E15" s="1958"/>
    </row>
    <row r="16" spans="1:5" ht="15">
      <c r="A16" s="1958"/>
      <c r="B16" s="2994" t="str">
        <f>结果表!E109</f>
        <v>——</v>
      </c>
      <c r="C16" s="1966" t="s">
        <v>1631</v>
      </c>
      <c r="D16" s="1967" t="str">
        <f>结果表!H109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结果表!H110</f>
        <v>——</v>
      </c>
      <c r="E18" s="1958"/>
    </row>
    <row r="19" spans="1:5" ht="15.75">
      <c r="A19" s="1958"/>
      <c r="B19" s="2987" t="str">
        <f>结果表!E111</f>
        <v>——</v>
      </c>
      <c r="C19" s="1966" t="s">
        <v>1619</v>
      </c>
      <c r="D19" s="1040" t="str">
        <f>结果表!H111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3001</v>
      </c>
    </row>
    <row r="2" spans="1:5" ht="15.75">
      <c r="A2" s="2904" t="s">
        <v>2993</v>
      </c>
      <c r="B2" s="2905">
        <f ca="1">SUMIF(B6:B13,"&lt;&gt;#ref!",B6:B13)</f>
        <v>139711</v>
      </c>
      <c r="C2" s="2904" t="s">
        <v>2994</v>
      </c>
      <c r="D2" s="2904" t="s">
        <v>2995</v>
      </c>
      <c r="E2" s="2905">
        <f ca="1">SUMIF(E6:E13,"&lt;&gt;#ref!",E6:E13)</f>
        <v>123883.8</v>
      </c>
    </row>
    <row r="3" spans="1:5" ht="15.75">
      <c r="A3" s="2904" t="s">
        <v>2996</v>
      </c>
      <c r="B3" s="2905">
        <f ca="1">ROUND(B2*10000/E2,0)</f>
        <v>11278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139711</v>
      </c>
      <c r="C6" s="2904" t="s">
        <v>2994</v>
      </c>
      <c r="D6" s="2906"/>
      <c r="E6" s="2577">
        <f ca="1">SUMIF(INDIRECT("'"&amp;A6&amp;"'"&amp;"!C:C"),"建筑面积",INDIRECT("'"&amp;A6&amp;"'"&amp;"!D:D"))</f>
        <v>123883.8</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1" t="s">
        <v>1146</v>
      </c>
      <c r="C1" s="3301"/>
      <c r="D1" s="3301"/>
      <c r="E1" s="3301"/>
      <c r="F1" s="3301"/>
      <c r="G1" s="3297" t="s">
        <v>1147</v>
      </c>
      <c r="H1" s="3297"/>
      <c r="I1" s="3297"/>
      <c r="J1" s="3297"/>
      <c r="K1" s="3297"/>
      <c r="L1" s="3297"/>
      <c r="N1" s="3297" t="s">
        <v>1148</v>
      </c>
      <c r="O1" s="3297"/>
      <c r="P1" s="3297"/>
      <c r="Q1" s="3297"/>
      <c r="R1" s="1445"/>
      <c r="S1" s="3297" t="s">
        <v>1149</v>
      </c>
      <c r="T1" s="3297"/>
      <c r="U1" s="3297"/>
      <c r="V1" s="3297"/>
      <c r="X1" s="3296" t="s">
        <v>1150</v>
      </c>
      <c r="Y1" s="3297"/>
      <c r="Z1" s="3297"/>
      <c r="AA1" s="3297"/>
      <c r="AB1" s="3297"/>
      <c r="AD1" s="3296" t="s">
        <v>1151</v>
      </c>
      <c r="AE1" s="3297"/>
      <c r="AF1" s="3297"/>
      <c r="AG1" s="3297"/>
      <c r="AH1" s="3297"/>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0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08" t="s">
        <v>3004</v>
      </c>
      <c r="D1" s="3309"/>
      <c r="E1" s="3309"/>
      <c r="F1" s="3309"/>
      <c r="G1" s="3309"/>
      <c r="H1" s="3309"/>
      <c r="I1" s="3309"/>
      <c r="J1" s="3309"/>
      <c r="K1" s="3309"/>
      <c r="L1" s="3309"/>
      <c r="M1" s="3309"/>
      <c r="N1" s="3309"/>
      <c r="O1" s="3309"/>
      <c r="P1" s="3309"/>
      <c r="Q1" s="3309"/>
      <c r="R1" s="3309"/>
      <c r="S1" s="3310"/>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3015</v>
      </c>
      <c r="E19" s="1791"/>
      <c r="F19" s="1791"/>
      <c r="G19" s="1791"/>
      <c r="H19" s="1279"/>
      <c r="I19" s="168"/>
      <c r="J19" s="168"/>
      <c r="K19" s="168"/>
      <c r="L19" s="168"/>
      <c r="M19" s="168"/>
      <c r="N19" s="168"/>
      <c r="O19" s="168"/>
      <c r="P19" s="168"/>
      <c r="Q19" s="168"/>
      <c r="R19" s="788"/>
      <c r="S19" s="138"/>
    </row>
    <row r="20" spans="1:45" ht="16.5" thickBot="1">
      <c r="A20" s="715" t="s">
        <v>3016</v>
      </c>
      <c r="B20" s="338" t="e">
        <f ca="1">IF(D20="——",S22,S22-F20)</f>
        <v>#REF!</v>
      </c>
      <c r="C20" s="168"/>
      <c r="D20" s="2913" t="s">
        <v>3017</v>
      </c>
      <c r="E20" s="1792"/>
      <c r="F20" s="1203" t="e">
        <f ca="1">SUMIF(INDIRECT("'"&amp;H20&amp;"'"&amp;"!A:A"),"承租人权益价值",INDIRECT("'"&amp;H20&amp;"'"&amp;"!c:c"))</f>
        <v>#REF!</v>
      </c>
      <c r="G20" s="1203" t="s">
        <v>3018</v>
      </c>
      <c r="H20" s="291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87" t="s">
        <v>33</v>
      </c>
      <c r="D22" s="3088"/>
      <c r="E22" s="3088"/>
      <c r="F22" s="3088"/>
      <c r="G22" s="3088"/>
      <c r="H22" s="3088"/>
      <c r="I22" s="3088"/>
      <c r="J22" s="3088"/>
      <c r="K22" s="3088"/>
      <c r="L22" s="3088"/>
      <c r="M22" s="3088"/>
      <c r="N22" s="3088"/>
      <c r="O22" s="3088"/>
      <c r="P22" s="3088"/>
      <c r="Q22" s="330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42292</v>
      </c>
      <c r="C2" s="2" t="s">
        <v>133</v>
      </c>
      <c r="D2" s="243"/>
      <c r="E2" s="243"/>
      <c r="F2" s="243"/>
      <c r="G2" s="243"/>
    </row>
    <row r="3" spans="1:7" s="244" customFormat="1" ht="18" customHeight="1" thickBot="1">
      <c r="A3" s="247" t="s">
        <v>85</v>
      </c>
      <c r="B3" s="248">
        <f ca="1">ROUND(B2*10000/'数据-汇总表'!E3,0)</f>
        <v>3001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2819</v>
      </c>
      <c r="D10" s="1031">
        <f>'数据-汇总表'!E6</f>
        <v>140932.81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1409</v>
      </c>
      <c r="D19" s="1035">
        <f>'数据-汇总表'!E3</f>
        <v>140932.81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628</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40</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12695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11501</v>
      </c>
      <c r="D34" s="261"/>
      <c r="E34" s="264"/>
      <c r="F34" s="301">
        <f>IF('数据-取费表'!B24=0,1,'数据-取费表'!N16)</f>
        <v>0.24</v>
      </c>
      <c r="G34" s="263" t="s">
        <v>116</v>
      </c>
    </row>
    <row r="35" spans="1:7" ht="13.5" customHeight="1">
      <c r="A35" s="950" t="s">
        <v>796</v>
      </c>
      <c r="B35" s="259" t="s">
        <v>60</v>
      </c>
      <c r="C35" s="264">
        <f>ROUND(C34*F35,0)</f>
        <v>345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676</v>
      </c>
      <c r="D37" s="261">
        <f>'数据-汇总表'!E3</f>
        <v>140932.81</v>
      </c>
      <c r="E37" s="293">
        <f>'数据-取费表'!B35</f>
        <v>200</v>
      </c>
      <c r="F37" s="303"/>
      <c r="G37" s="305" t="s">
        <v>119</v>
      </c>
    </row>
    <row r="38" spans="1:7" ht="13.5" customHeight="1">
      <c r="A38" s="950" t="s">
        <v>799</v>
      </c>
      <c r="B38" s="259" t="s">
        <v>63</v>
      </c>
      <c r="C38" s="264">
        <f>ROUND(C34*F38,0)</f>
        <v>173</v>
      </c>
      <c r="D38" s="264"/>
      <c r="E38" s="264"/>
      <c r="F38" s="303">
        <f>'数据-取费表'!B36</f>
        <v>1.4999999999999999E-2</v>
      </c>
      <c r="G38" s="263" t="s">
        <v>117</v>
      </c>
    </row>
    <row r="39" spans="1:7" s="258" customFormat="1" ht="13.5" customHeight="1">
      <c r="A39" s="947" t="s">
        <v>783</v>
      </c>
      <c r="B39" s="254" t="s">
        <v>104</v>
      </c>
      <c r="C39" s="276">
        <f>ROUND(C33*F20,0)</f>
        <v>254</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182</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178</v>
      </c>
      <c r="D42" s="282"/>
      <c r="E42" s="282"/>
      <c r="F42" s="283"/>
      <c r="G42" s="3172" t="s">
        <v>121</v>
      </c>
    </row>
    <row r="43" spans="1:7" ht="13.5" customHeight="1">
      <c r="A43" s="950" t="s">
        <v>792</v>
      </c>
      <c r="B43" s="259" t="s">
        <v>1061</v>
      </c>
      <c r="C43" s="282">
        <f ca="1">ROUND(IF('数据-取费表'!B22&lt;=1,C39*F22*'数据-取费表'!B21/2,C39*(POWER((1+F22),'数据-取费表'!B21/2)-1)),0)</f>
        <v>4</v>
      </c>
      <c r="D43" s="282"/>
      <c r="E43" s="282"/>
      <c r="F43" s="283"/>
      <c r="G43" s="3173"/>
    </row>
    <row r="44" spans="1:7" ht="13.5" customHeight="1">
      <c r="A44" s="950"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7" t="s">
        <v>786</v>
      </c>
      <c r="B45" s="288" t="s">
        <v>112</v>
      </c>
      <c r="C45" s="289">
        <f>C46</f>
        <v>2201</v>
      </c>
      <c r="D45" s="279">
        <f>C47</f>
        <v>2.5999999999999999E-3</v>
      </c>
      <c r="E45" s="280" t="s">
        <v>129</v>
      </c>
      <c r="F45" s="290"/>
      <c r="G45" s="291" t="s">
        <v>1069</v>
      </c>
    </row>
    <row r="46" spans="1:7" s="258" customFormat="1" ht="13.5" customHeight="1">
      <c r="A46" s="950" t="s">
        <v>794</v>
      </c>
      <c r="B46" s="292" t="s">
        <v>1062</v>
      </c>
      <c r="C46" s="293">
        <f>ROUND((C33+C39)*F27,0)</f>
        <v>2201</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16506</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16506</v>
      </c>
      <c r="D51" s="276"/>
      <c r="E51" s="276"/>
      <c r="F51" s="308"/>
      <c r="G51" s="278" t="s">
        <v>64</v>
      </c>
    </row>
    <row r="52" spans="1:7" s="252" customFormat="1" ht="16.5" thickBot="1">
      <c r="A52" s="309" t="s">
        <v>65</v>
      </c>
      <c r="B52" s="310"/>
      <c r="C52" s="311">
        <f ca="1">C31+C51</f>
        <v>42292</v>
      </c>
      <c r="D52" s="310"/>
      <c r="E52" s="310"/>
      <c r="F52" s="310"/>
      <c r="G52" s="312"/>
    </row>
    <row r="55" spans="1:7" ht="15">
      <c r="B55" s="314" t="s">
        <v>66</v>
      </c>
      <c r="C55" s="315"/>
    </row>
    <row r="56" spans="1:7">
      <c r="B56" s="317" t="s">
        <v>67</v>
      </c>
      <c r="C56" s="318">
        <f ca="1">ROUND(C51/C52,3)</f>
        <v>0.39</v>
      </c>
    </row>
    <row r="57" spans="1:7">
      <c r="B57" s="317" t="s">
        <v>68</v>
      </c>
      <c r="C57" s="319">
        <f ca="1">1-C56</f>
        <v>0.61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868</v>
      </c>
      <c r="B1" s="331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140932.81</v>
      </c>
      <c r="C4" s="1043">
        <f>项目基本情况!C18</f>
        <v>22165.75</v>
      </c>
      <c r="D4" s="1043" t="e">
        <f ca="1">结果表!D118</f>
        <v>#REF!</v>
      </c>
      <c r="E4" s="1043" t="e">
        <f ca="1">结果表!E118</f>
        <v>#REF!</v>
      </c>
      <c r="F4" s="1043" t="e">
        <f ca="1">结果表!F118</f>
        <v>#REF!</v>
      </c>
      <c r="G4" s="1043" t="e">
        <f ca="1">结果表!G118</f>
        <v>#REF!</v>
      </c>
      <c r="H4" s="1043">
        <f ca="1">结果表!H118</f>
        <v>173181</v>
      </c>
      <c r="I4" s="1043">
        <f ca="1">结果表!I118</f>
        <v>12288</v>
      </c>
    </row>
    <row r="5" spans="1:9" ht="30" customHeight="1">
      <c r="A5" s="2999" t="s">
        <v>1636</v>
      </c>
      <c r="B5" s="2999"/>
      <c r="C5" s="2999"/>
      <c r="D5" s="3000" t="e">
        <f ca="1">结果表!D119</f>
        <v>#REF!</v>
      </c>
      <c r="E5" s="3000"/>
      <c r="F5" s="3000" t="e">
        <f ca="1">结果表!F119</f>
        <v>#REF!</v>
      </c>
      <c r="G5" s="3000"/>
      <c r="H5" s="3000" t="str">
        <f ca="1">结果表!H119</f>
        <v>壹拾柒亿叁仟壹佰捌拾壹万元整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1636</v>
      </c>
      <c r="B7" s="2999"/>
      <c r="C7" s="2999"/>
      <c r="D7" s="3002" t="str">
        <f>结果表!D121</f>
        <v>零元整</v>
      </c>
      <c r="E7" s="3003"/>
      <c r="F7" s="3003"/>
      <c r="G7" s="3003"/>
      <c r="H7" s="3003"/>
      <c r="I7" s="3004"/>
    </row>
    <row r="8" spans="1:9" ht="15.75">
      <c r="A8" s="3001" t="str">
        <f>结果表!A122</f>
        <v>房地产抵押价值</v>
      </c>
      <c r="B8" s="3001"/>
      <c r="C8" s="3001"/>
      <c r="D8" s="3001">
        <f ca="1">结果表!D122</f>
        <v>173181</v>
      </c>
      <c r="E8" s="3001"/>
      <c r="F8" s="3001"/>
      <c r="G8" s="3001"/>
      <c r="H8" s="3001"/>
      <c r="I8" s="3001"/>
    </row>
    <row r="9" spans="1:9" ht="15">
      <c r="A9" s="2999" t="s">
        <v>1636</v>
      </c>
      <c r="B9" s="2999"/>
      <c r="C9" s="2999"/>
      <c r="D9" s="3000" t="str">
        <f ca="1">结果表!D123</f>
        <v>壹拾柒亿叁仟壹佰捌拾壹万元整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1636</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1636</v>
      </c>
      <c r="B13" s="3005"/>
      <c r="C13" s="3005"/>
      <c r="D13" s="3006" t="e">
        <f>结果表!D127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8" t="s">
        <v>1658</v>
      </c>
      <c r="B1" s="3008"/>
      <c r="C1" s="3008"/>
      <c r="D1" s="3008"/>
    </row>
    <row r="2" spans="1:4" ht="18">
      <c r="A2" s="3009" t="s">
        <v>1642</v>
      </c>
      <c r="B2" s="3009"/>
      <c r="C2" s="3009"/>
      <c r="D2" s="3009"/>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09" t="s">
        <v>1648</v>
      </c>
      <c r="B6" s="3009"/>
      <c r="C6" s="3009"/>
      <c r="D6" s="300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0"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43626</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3044</v>
      </c>
      <c r="B14" s="1021">
        <f ca="1">IF(C14&lt;B2,"已过期",1120040230)</f>
        <v>1120040230</v>
      </c>
      <c r="C14" s="2347">
        <v>43835</v>
      </c>
      <c r="D14" s="2350" t="s">
        <v>3044</v>
      </c>
      <c r="E14" s="1021">
        <f ca="1">IF(F14&lt;B2,"已过期",98030020)</f>
        <v>98030020</v>
      </c>
      <c r="F14" s="1029">
        <v>47118</v>
      </c>
    </row>
    <row r="15" spans="1:6" ht="24" customHeight="1">
      <c r="A15" s="1702" t="s">
        <v>3045</v>
      </c>
      <c r="B15" s="1021">
        <f ca="1">IF(C15&lt;B2,"已过期",1120070085)</f>
        <v>1120070085</v>
      </c>
      <c r="C15" s="2347">
        <v>43814</v>
      </c>
      <c r="D15" s="2351" t="s">
        <v>3045</v>
      </c>
      <c r="E15" s="1021">
        <f ca="1">IF(F15&lt;B2,"已过期",2004110128)</f>
        <v>2004110128</v>
      </c>
      <c r="F15" s="1022">
        <v>47118</v>
      </c>
    </row>
    <row r="16" spans="1:6" ht="24" customHeight="1">
      <c r="A16" s="1701" t="s">
        <v>3046</v>
      </c>
      <c r="B16" s="1021">
        <f ca="1">IF(C16&lt;B2,"已过期",1120140022)</f>
        <v>1120140022</v>
      </c>
      <c r="C16" s="2930">
        <v>44029</v>
      </c>
      <c r="D16" s="2350" t="s">
        <v>3046</v>
      </c>
      <c r="E16" s="1021">
        <f ca="1">IF(F16&lt;B2,"已过期",2008110059)</f>
        <v>2008110059</v>
      </c>
      <c r="F16" s="1029">
        <v>47177</v>
      </c>
    </row>
    <row r="17" spans="1:7" ht="24" customHeight="1">
      <c r="A17" s="1701"/>
      <c r="B17" s="1021"/>
      <c r="C17" s="2347"/>
      <c r="D17" s="2350" t="s">
        <v>3047</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2019-06-10T01:57:42Z</dcterms:modified>
</cp:coreProperties>
</file>