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1-1-0679北京市海淀区辛店B08地块\"/>
    </mc:Choice>
  </mc:AlternateContent>
  <xr:revisionPtr revIDLastSave="0" documentId="13_ncr:1_{3C10AC40-3023-43B8-A818-05216CF54C57}" xr6:coauthVersionLast="45" xr6:coauthVersionMax="45" xr10:uidLastSave="{00000000-0000-0000-0000-000000000000}"/>
  <bookViews>
    <workbookView xWindow="-120" yWindow="-120" windowWidth="21840" windowHeight="13140" tabRatio="875" firstSheet="22" activeTab="2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不动产收益法-商业" sheetId="69"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 （低限）" sheetId="71" r:id="rId28"/>
    <sheet name="级别底线" sheetId="72" r:id="rId29"/>
    <sheet name="比较法-商业" sheetId="70" r:id="rId30"/>
    <sheet name="地价" sheetId="59" r:id="rId31"/>
    <sheet name="基准地价（汇总）" sheetId="67" state="hidden" r:id="rId32"/>
    <sheet name="收益还原法" sheetId="44" state="hidden" r:id="rId33"/>
    <sheet name="不动产收益法" sheetId="15" state="hidden" r:id="rId34"/>
    <sheet name="不动产收益法-酒店模型" sheetId="68" state="hidden"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20" hidden="1">'比较法-工业'!$A$1:$L$45</definedName>
    <definedName name="_xlnm._FilterDatabase" localSheetId="29" hidden="1">'比较法-商业'!$A$1:$L$50</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29">'比较法-商业'!$A$1:$K$67,'比较法-商业'!$A$71:$N$134</definedName>
    <definedName name="_xlnm.Print_Area" localSheetId="19">'比较法-住宅、综合'!$A$1:$K$67,'比较法-住宅、综合'!$A$71:$N$134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21">'不动产收益法-商业'!$A$1:$F$43,'不动产收益法-商业'!$H$3:$M$29,'不动产收益法-商业'!$A$46:$F$70,'不动产收益法-商业'!$I$46:$M$60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7">'基准地价 （低限）'!$A$1:$J$41,'基准地价 （低限）'!$A$44:$N$87,'基准地价 （低限）'!$R$1:$V$16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9">'[1]不动产比较法-办公租金'!$B$119:$M$119</definedName>
    <definedName name="办公层高" localSheetId="21">'[1]不动产比较法-办公租金'!$B$119:$M$119</definedName>
    <definedName name="办公层高">'不动产比较法-办公'!$B$119:$M$119</definedName>
    <definedName name="办公朝向" localSheetId="29">'[1]不动产比较法-办公租金'!$B$91:$M$91</definedName>
    <definedName name="办公朝向" localSheetId="21">'[1]不动产比较法-办公租金'!$B$91:$M$91</definedName>
    <definedName name="办公朝向">'不动产比较法-办公'!$B$91:$M$91</definedName>
    <definedName name="办公道路级别" localSheetId="29">'[1]不动产比较法-办公租金'!$B$87:$M$87</definedName>
    <definedName name="办公道路级别" localSheetId="21">'[1]不动产比较法-办公租金'!$B$87:$M$87</definedName>
    <definedName name="办公道路级别">'不动产比较法-办公'!$B$87:$M$87</definedName>
    <definedName name="办公公共部分装修" localSheetId="29">'[1]不动产比较法-办公租金'!$B$108:$M$108</definedName>
    <definedName name="办公公共部分装修" localSheetId="21">'[1]不动产比较法-办公租金'!$B$108:$M$108</definedName>
    <definedName name="办公公共部分装修">'不动产比较法-办公'!$B$108:$M$108</definedName>
    <definedName name="办公基础设施水平" localSheetId="29">'[1]不动产比较法-办公租金'!$B$117:$M$117</definedName>
    <definedName name="办公基础设施水平" localSheetId="21">'[1]不动产比较法-办公租金'!$B$117:$M$117</definedName>
    <definedName name="办公基础设施水平">'不动产比较法-办公'!$B$117:$M$117</definedName>
    <definedName name="办公集聚程度" localSheetId="29">[1]定义!$M$1:$M$6</definedName>
    <definedName name="办公集聚程度" localSheetId="21">[1]定义!$M$1:$M$6</definedName>
    <definedName name="办公集聚程度">定义!$M$1:$M$6</definedName>
    <definedName name="办公建筑结构" localSheetId="29">'[1]不动产比较法-办公租金'!$B$106:$M$106</definedName>
    <definedName name="办公建筑结构" localSheetId="21">'[1]不动产比较法-办公租金'!$B$106:$M$106</definedName>
    <definedName name="办公建筑结构">'不动产比较法-办公'!$B$106:$M$106</definedName>
    <definedName name="办公建筑类型" localSheetId="29">'[1]不动产比较法-办公租金'!$B$101:$M$101</definedName>
    <definedName name="办公建筑类型" localSheetId="21">'[1]不动产比较法-办公租金'!$B$101:$M$101</definedName>
    <definedName name="办公建筑类型">'不动产比较法-办公'!$B$101:$M$101</definedName>
    <definedName name="办公交易情况" localSheetId="29">'[1]不动产比较法-办公租金'!$A$62:$M$62</definedName>
    <definedName name="办公交易情况" localSheetId="21">'[1]不动产比较法-办公租金'!$A$62:$M$62</definedName>
    <definedName name="办公交易情况">'不动产比较法-办公'!$A$62:$M$62</definedName>
    <definedName name="办公楼层" localSheetId="29">'[1]不动产比较法-办公租金'!$B$89:$M$89</definedName>
    <definedName name="办公楼层" localSheetId="21">'[1]不动产比较法-办公租金'!$B$89:$M$89</definedName>
    <definedName name="办公楼层">'不动产比较法-办公'!$B$89:$M$89</definedName>
    <definedName name="办公内部装修" localSheetId="29">'[1]不动产比较法-办公租金'!$B$123:$M$123</definedName>
    <definedName name="办公内部装修" localSheetId="21">'[1]不动产比较法-办公租金'!$B$123:$M$123</definedName>
    <definedName name="办公内部装修">'不动产比较法-办公'!$B$123:$M$123</definedName>
    <definedName name="办公物业管理" localSheetId="29">'[1]不动产比较法-办公租金'!$B$115:$M$115</definedName>
    <definedName name="办公物业管理" localSheetId="21">'[1]不动产比较法-办公租金'!$B$115:$M$115</definedName>
    <definedName name="办公物业管理">'不动产比较法-办公'!$B$115:$M$115</definedName>
    <definedName name="办公用途" localSheetId="29">'[1]不动产比较法-办公租金'!$B$64:$M$64</definedName>
    <definedName name="办公用途" localSheetId="21">'[1]不动产比较法-办公租金'!$B$64:$M$64</definedName>
    <definedName name="办公用途">'不动产比较法-办公'!$B$64:$M$64</definedName>
    <definedName name="仓储公共部分装修" localSheetId="29">'[1]不动产比较法-仓储'!$B$77:$M$77</definedName>
    <definedName name="仓储公共部分装修" localSheetId="21">'[1]不动产比较法-仓储'!$B$77:$M$77</definedName>
    <definedName name="仓储公共部分装修">'不动产比较法-仓储'!$B$77:$M$77</definedName>
    <definedName name="仓储交易情况" localSheetId="29">'[1]不动产比较法-仓储'!$A$49:$M$49</definedName>
    <definedName name="仓储交易情况" localSheetId="21">'[1]不动产比较法-仓储'!$A$49:$M$49</definedName>
    <definedName name="仓储交易情况">'不动产比较法-仓储'!$A$49:$M$49</definedName>
    <definedName name="仓储楼层" localSheetId="29">'[1]不动产比较法-仓储'!$B$69:$M$69</definedName>
    <definedName name="仓储楼层" localSheetId="21">'[1]不动产比较法-仓储'!$B$69:$M$69</definedName>
    <definedName name="仓储楼层">'不动产比较法-仓储'!$B$69:$M$69</definedName>
    <definedName name="仓储物业等级" localSheetId="29">'[1]不动产比较法-仓储'!$B$82:$M$82</definedName>
    <definedName name="仓储物业等级" localSheetId="21">'[1]不动产比较法-仓储'!$B$82:$M$82</definedName>
    <definedName name="仓储物业等级">'不动产比较法-仓储'!$B$82:$M$82</definedName>
    <definedName name="仓储用途" localSheetId="29">'[1]不动产比较法-仓储'!$B$51:$M$51</definedName>
    <definedName name="仓储用途" localSheetId="21">'[1]不动产比较法-仓储'!$B$51:$M$51</definedName>
    <definedName name="仓储用途">'不动产比较法-仓储'!$B$51:$M$51</definedName>
    <definedName name="产业集聚程度" localSheetId="29">[1]定义!$N$1:$N$6</definedName>
    <definedName name="产业集聚程度" localSheetId="21">[1]定义!$N$1:$N$6</definedName>
    <definedName name="产业集聚程度">定义!$N$1:$N$6</definedName>
    <definedName name="车位公共部分装修" localSheetId="29">'[1]不动产比较法-车位'!$B$83:$M$83</definedName>
    <definedName name="车位公共部分装修" localSheetId="21">'[1]不动产比较法-车位'!$B$83:$M$83</definedName>
    <definedName name="车位公共部分装修">'不动产比较法-车位'!$B$83:$M$83</definedName>
    <definedName name="车位交易情况" localSheetId="29">'[1]不动产比较法-车位'!$A$51:$M$51</definedName>
    <definedName name="车位交易情况" localSheetId="21">'[1]不动产比较法-车位'!$A$51:$M$51</definedName>
    <definedName name="车位交易情况">'不动产比较法-车位'!$A$51:$M$51</definedName>
    <definedName name="车位类型" localSheetId="29">'[1]不动产比较法-车位'!$B$93:$M$93</definedName>
    <definedName name="车位类型" localSheetId="21">'[1]不动产比较法-车位'!$B$93:$M$93</definedName>
    <definedName name="车位类型">'不动产比较法-车位'!$B$93:$M$93</definedName>
    <definedName name="车位楼层" localSheetId="29">'[1]不动产比较法-车位'!$B$71:$M$71</definedName>
    <definedName name="车位楼层" localSheetId="21">'[1]不动产比较法-车位'!$B$71:$M$71</definedName>
    <definedName name="车位楼层">'不动产比较法-车位'!$B$71:$M$71</definedName>
    <definedName name="车位配套类型" localSheetId="29">'[1]不动产比较法-车位'!$B$79:$M$79</definedName>
    <definedName name="车位配套类型" localSheetId="21">'[1]不动产比较法-车位'!$B$79:$M$79</definedName>
    <definedName name="车位配套类型">'不动产比较法-车位'!$B$79:$M$79</definedName>
    <definedName name="车位物业等级" localSheetId="29">'[1]不动产比较法-车位'!$B$88:$M$88</definedName>
    <definedName name="车位物业等级" localSheetId="21">'[1]不动产比较法-车位'!$B$88:$M$88</definedName>
    <definedName name="车位物业等级">'不动产比较法-车位'!$B$88:$M$88</definedName>
    <definedName name="车位用途" localSheetId="29">'[1]不动产比较法-车位'!$B$53:$M$53</definedName>
    <definedName name="车位用途" localSheetId="21">'[1]不动产比较法-车位'!$B$53:$M$53</definedName>
    <definedName name="车位用途">'不动产比较法-车位'!$B$53:$M$53</definedName>
    <definedName name="城镇土地纳税等级分级范围" localSheetId="29">'[1]数据-取费表'!$A$53:$A$63</definedName>
    <definedName name="城镇土地纳税等级分级范围" localSheetId="21">'[1]数据-取费表'!$A$53:$A$63</definedName>
    <definedName name="城镇土地纳税等级分级范围">'数据-取费表'!$A$53:$A$63</definedName>
    <definedName name="单价内涵" localSheetId="29">[1]定义!$V$1:$V$3</definedName>
    <definedName name="单价内涵" localSheetId="21">[1]定义!$V$1:$V$3</definedName>
    <definedName name="单价内涵">定义!$V$1:$V$3</definedName>
    <definedName name="地类判定" localSheetId="29">[1]定义!$H$1:$H$9</definedName>
    <definedName name="地类判定" localSheetId="21">[1]定义!$H$1:$H$9</definedName>
    <definedName name="地类判定">定义!$H$1:$H$9</definedName>
    <definedName name="二级">区片价!$J$1:$J$20</definedName>
    <definedName name="二级分类" localSheetId="29">[1]修正!$C$17:$C$39</definedName>
    <definedName name="二级分类" localSheetId="21">[1]修正!$C$17:$C$39</definedName>
    <definedName name="二级分类">修正!$C$17:$C$39</definedName>
    <definedName name="法定最高年限" localSheetId="29">[1]定义!$G$2:$G$4</definedName>
    <definedName name="法定最高年限" localSheetId="21">[1]定义!$G$2:$G$4</definedName>
    <definedName name="法定最高年限">定义!$G$2:$G$4</definedName>
    <definedName name="工业公共部分装修" localSheetId="29">'[1]不动产比较法-工业'!$B$95:$M$95</definedName>
    <definedName name="工业公共部分装修" localSheetId="21">'[1]不动产比较法-工业'!$B$95:$M$95</definedName>
    <definedName name="工业公共部分装修">'不动产比较法-工业'!$B$95:$M$95</definedName>
    <definedName name="工业基础设施水平" localSheetId="29">'[1]不动产比较法-工业'!$B$102:$M$102</definedName>
    <definedName name="工业基础设施水平" localSheetId="21">'[1]不动产比较法-工业'!$B$102:$M$102</definedName>
    <definedName name="工业基础设施水平">'不动产比较法-工业'!$B$102:$M$102</definedName>
    <definedName name="工业建筑结构" localSheetId="29">'[1]不动产比较法-工业'!$B$93:$M$93</definedName>
    <definedName name="工业建筑结构" localSheetId="21">'[1]不动产比较法-工业'!$B$93:$M$93</definedName>
    <definedName name="工业建筑结构">'不动产比较法-工业'!$B$93:$M$93</definedName>
    <definedName name="工业建筑类型" localSheetId="29">'[1]不动产比较法-工业'!$B$88:$M$88</definedName>
    <definedName name="工业建筑类型" localSheetId="21">'[1]不动产比较法-工业'!$B$88:$M$88</definedName>
    <definedName name="工业建筑类型">'不动产比较法-工业'!$B$88:$M$88</definedName>
    <definedName name="工业交易情况" localSheetId="29">'[1]不动产比较法-工业'!$A$55:$M$55</definedName>
    <definedName name="工业交易情况" localSheetId="21">'[1]不动产比较法-工业'!$A$55:$M$55</definedName>
    <definedName name="工业交易情况">'不动产比较法-工业'!$A$55:$M$55</definedName>
    <definedName name="工业内部装修" localSheetId="29">'[1]不动产比较法-工业'!$B$104:$M$104</definedName>
    <definedName name="工业内部装修" localSheetId="21">'[1]不动产比较法-工业'!$B$104:$M$104</definedName>
    <definedName name="工业内部装修">'不动产比较法-工业'!$B$104:$M$104</definedName>
    <definedName name="工业物业管理" localSheetId="29">'[1]不动产比较法-工业'!$B$100:$M$100</definedName>
    <definedName name="工业物业管理" localSheetId="21">'[1]不动产比较法-工业'!$B$100:$M$100</definedName>
    <definedName name="工业物业管理">'不动产比较法-工业'!$B$100:$M$100</definedName>
    <definedName name="工业用途" localSheetId="29">'[1]不动产比较法-工业'!$B$57:$M$57</definedName>
    <definedName name="工业用途" localSheetId="21">'[1]不动产比较法-工业'!$B$57:$M$57</definedName>
    <definedName name="工业用途">'不动产比较法-工业'!$B$57:$M$57</definedName>
    <definedName name="公共配套设施" localSheetId="29">[1]定义!$Q$1:$Q$6</definedName>
    <definedName name="公共配套设施" localSheetId="21">[1]定义!$Q$1:$Q$6</definedName>
    <definedName name="公共配套设施">定义!$Q$1:$Q$6</definedName>
    <definedName name="估价方法" localSheetId="29">[1]定义!$B$1:$B$50</definedName>
    <definedName name="估价方法" localSheetId="21">[1]定义!$B$1:$B$50</definedName>
    <definedName name="估价方法">定义!$B$1:$B$50</definedName>
    <definedName name="环境" localSheetId="29">[1]定义!$S$1:$S$6</definedName>
    <definedName name="环境" localSheetId="21">[1]定义!$S$1:$S$6</definedName>
    <definedName name="环境">定义!$S$1:$S$6</definedName>
    <definedName name="基础设施水平" localSheetId="29">[1]定义!$R$1:$R$6</definedName>
    <definedName name="基础设施水平" localSheetId="21">[1]定义!$R$1:$R$6</definedName>
    <definedName name="基础设施水平">定义!$R$1:$R$6</definedName>
    <definedName name="季度" localSheetId="27">'基准地价 （低限）'!$N$19:$AB$19</definedName>
    <definedName name="季度">基准地价!$N$19:$AB$19</definedName>
    <definedName name="季度2014">地价!$A$2:$A$36</definedName>
    <definedName name="价值类型2" localSheetId="29">[1]定义!$B$54:$B$56</definedName>
    <definedName name="价值类型2" localSheetId="21">[1]定义!$B$54:$B$56</definedName>
    <definedName name="价值类型2">定义!$B$54:$B$56</definedName>
    <definedName name="交通便捷度" localSheetId="29">[1]定义!$O$1:$O$6</definedName>
    <definedName name="交通便捷度" localSheetId="21">[1]定义!$O$1:$O$6</definedName>
    <definedName name="交通便捷度">定义!$O$1:$O$6</definedName>
    <definedName name="九级">区片价!$Q$1:$Q$46</definedName>
    <definedName name="居住社区成熟度" localSheetId="29">[1]定义!$K$1:$K$6</definedName>
    <definedName name="居住社区成熟度" localSheetId="21">[1]定义!$K$1:$K$6</definedName>
    <definedName name="居住社区成熟度">定义!$K$1:$K$6</definedName>
    <definedName name="类别" localSheetId="29">[1]定义!$J$1:$J$3</definedName>
    <definedName name="类别" localSheetId="21">[1]定义!$J$1:$J$3</definedName>
    <definedName name="类别">定义!$J$1:$J$3</definedName>
    <definedName name="临街状况" localSheetId="29">[1]定义!$T$1:$T$5</definedName>
    <definedName name="临街状况" localSheetId="21">[1]定义!$T$1:$T$5</definedName>
    <definedName name="临街状况">定义!$T$1:$T$5</definedName>
    <definedName name="六级">区片价!$N$1:$N$49</definedName>
    <definedName name="内部装修维护情况" localSheetId="29">[1]定义!$U$1:$U$6</definedName>
    <definedName name="内部装修维护情况" localSheetId="21">[1]定义!$U$1:$U$6</definedName>
    <definedName name="内部装修维护情况">定义!$U$1:$U$6</definedName>
    <definedName name="判定" localSheetId="29">[1]定义!$D$1:$D$4</definedName>
    <definedName name="判定" localSheetId="34">[2]定义!$D$1:$D$4</definedName>
    <definedName name="判定" localSheetId="21">[1]定义!$D$1:$D$4</definedName>
    <definedName name="判定">定义!$D$1:$D$4</definedName>
    <definedName name="七级">区片价!$O$1:$O$49</definedName>
    <definedName name="七通一平" localSheetId="29">[1]修正!$A$6:$A$14</definedName>
    <definedName name="七通一平" localSheetId="21">[1]修正!$A$6:$A$14</definedName>
    <definedName name="七通一平">修正!$A$6:$A$14</definedName>
    <definedName name="区域土地利用方向" localSheetId="29">[1]定义!$P$1:$P$6</definedName>
    <definedName name="区域土地利用方向" localSheetId="21">[1]定义!$P$1:$P$6</definedName>
    <definedName name="区域土地利用方向">定义!$P$1:$P$6</definedName>
    <definedName name="三级">区片价!$K$1:$K$21</definedName>
    <definedName name="商业层高" localSheetId="29">'[1]不动产比较法-商业租金'!$B$116:$M$116</definedName>
    <definedName name="商业层高" localSheetId="21">'[1]不动产比较法-商业租金'!$B$116:$M$116</definedName>
    <definedName name="商业层高">'不动产比较法-商业'!$B$116:$M$116</definedName>
    <definedName name="商业成新度">'不动产比较法-商业'!$B$109:$M$109</definedName>
    <definedName name="商业繁华度" localSheetId="29">[1]定义!$L$1:$L$6</definedName>
    <definedName name="商业繁华度" localSheetId="21">[1]定义!$L$1:$L$6</definedName>
    <definedName name="商业繁华度">定义!$L$1:$L$6</definedName>
    <definedName name="商业公共部分装修" localSheetId="29">'[1]不动产比较法-商业租金'!$B$107:$M$107</definedName>
    <definedName name="商业公共部分装修" localSheetId="21">'[1]不动产比较法-商业租金'!$B$107:$M$107</definedName>
    <definedName name="商业公共部分装修">'不动产比较法-商业'!$B$107:$M$107</definedName>
    <definedName name="商业基础设施水平" localSheetId="29">'[1]不动产比较法-商业租金'!$B$112:$M$112</definedName>
    <definedName name="商业基础设施水平" localSheetId="21">'[1]不动产比较法-商业租金'!$B$112:$M$112</definedName>
    <definedName name="商业基础设施水平">'不动产比较法-商业'!$B$112:$M$112</definedName>
    <definedName name="商业建筑结构" localSheetId="29">'[1]不动产比较法-商业租金'!$B$105:$M$105</definedName>
    <definedName name="商业建筑结构" localSheetId="21">'[1]不动产比较法-商业租金'!$B$105:$M$105</definedName>
    <definedName name="商业建筑结构">'不动产比较法-商业'!$B$105:$M$105</definedName>
    <definedName name="商业交易情况" localSheetId="29">'[1]不动产比较法-商业租金'!$A$61:$M$61</definedName>
    <definedName name="商业交易情况" localSheetId="21">'[1]不动产比较法-商业租金'!$A$61:$M$61</definedName>
    <definedName name="商业交易情况">'不动产比较法-商业'!$A$61:$M$61</definedName>
    <definedName name="商业街名称" localSheetId="29">[1]修正!$C$59:$C$119</definedName>
    <definedName name="商业街名称" localSheetId="21">[1]修正!$C$59:$C$119</definedName>
    <definedName name="商业街名称">修正!$C$59:$C$119</definedName>
    <definedName name="商业进深比" localSheetId="29">'[1]不动产比较法-商业租金'!$B$120:$M$120</definedName>
    <definedName name="商业进深比" localSheetId="21">'[1]不动产比较法-商业租金'!$B$120:$M$120</definedName>
    <definedName name="商业进深比">'不动产比较法-商业'!$B$120:$M$120</definedName>
    <definedName name="商业类型" localSheetId="29">'[1]不动产比较法-商业租金'!$B$100:$M$100</definedName>
    <definedName name="商业类型" localSheetId="21">'[1]不动产比较法-商业租金'!$B$100:$M$100</definedName>
    <definedName name="商业类型">'不动产比较法-商业'!$B$100:$M$100</definedName>
    <definedName name="商业临街状况" localSheetId="29">'[1]不动产比较法-商业租金'!$B$86:$M$86</definedName>
    <definedName name="商业临街状况" localSheetId="21">'[1]不动产比较法-商业租金'!$B$86:$M$86</definedName>
    <definedName name="商业临街状况">'不动产比较法-商业'!$B$86:$M$86</definedName>
    <definedName name="商业楼层" localSheetId="29">'[1]不动产比较法-商业租金'!$B$92:$M$92</definedName>
    <definedName name="商业楼层" localSheetId="21">'[1]不动产比较法-商业租金'!$B$92:$M$92</definedName>
    <definedName name="商业楼层">'不动产比较法-商业'!$B$92:$M$92</definedName>
    <definedName name="商业内部装修" localSheetId="29">'[1]不动产比较法-商业租金'!$B$122:$M$122</definedName>
    <definedName name="商业内部装修" localSheetId="21">'[1]不动产比较法-商业租金'!$B$122:$M$122</definedName>
    <definedName name="商业内部装修">'不动产比较法-商业'!$B$122:$M$122</definedName>
    <definedName name="商业人流量" localSheetId="29">'[1]不动产比较法-商业租金'!$B$90:$M$90</definedName>
    <definedName name="商业人流量" localSheetId="21">'[1]不动产比较法-商业租金'!$B$90:$M$90</definedName>
    <definedName name="商业人流量">'不动产比较法-商业'!$B$90:$M$90</definedName>
    <definedName name="商业业态" localSheetId="29">'[1]不动产比较法-商业租金'!$B$114:$M$114</definedName>
    <definedName name="商业业态" localSheetId="21">'[1]不动产比较法-商业租金'!$B$114:$M$114</definedName>
    <definedName name="商业业态">'不动产比较法-商业'!$B$114:$M$114</definedName>
    <definedName name="商业用途" localSheetId="29">'[1]不动产比较法-商业租金'!$B$63:$M$63</definedName>
    <definedName name="商业用途" localSheetId="21">'[1]不动产比较法-商业租金'!$B$63:$M$63</definedName>
    <definedName name="商业用途">'不动产比较法-商业'!$B$63:$M$63</definedName>
    <definedName name="十二级">区片价!$T$1:$T$8</definedName>
    <definedName name="十级">区片价!$R$1:$R$27</definedName>
    <definedName name="十一级">区片价!$S$1:$S$22</definedName>
    <definedName name="是否封闭" localSheetId="29">'[1]不动产比较法-仓储'!$B$89:$M$89</definedName>
    <definedName name="是否封闭" localSheetId="21">'[1]不动产比较法-仓储'!$B$89:$M$89</definedName>
    <definedName name="是否封闭">'不动产比较法-仓储'!$B$89:$M$89</definedName>
    <definedName name="是否直接入户" localSheetId="29">'[1]不动产比较法-车位'!$B$95:$M$95</definedName>
    <definedName name="是否直接入户" localSheetId="21">'[1]不动产比较法-车位'!$B$95:$M$95</definedName>
    <definedName name="是否直接入户">'不动产比较法-车位'!$B$95:$M$95</definedName>
    <definedName name="四级">区片价!$L$1:$L$28</definedName>
    <definedName name="套工工程地质条件" localSheetId="29">'[1]比较法-工业'!$B$116:$M$116</definedName>
    <definedName name="套工工程地质条件" localSheetId="21">'[1]比较法-工业'!$B$116:$M$116</definedName>
    <definedName name="套工工程地质条件">'比较法-工业'!$B$116:$M$116</definedName>
    <definedName name="套工交易情况" localSheetId="29">'比较法-商业'!$A$75:$M$75</definedName>
    <definedName name="套工交易情况" localSheetId="21">'[1]比较法-商业'!$A$75:$M$75</definedName>
    <definedName name="套工交易情况">'比较法-住宅、综合'!$A$75:$M$75</definedName>
    <definedName name="套工开发程度" localSheetId="29">'[1]比较法-工业'!$B$114:$M$114</definedName>
    <definedName name="套工开发程度" localSheetId="21">'[1]比较法-工业'!$B$114:$M$114</definedName>
    <definedName name="套工开发程度">'比较法-工业'!$B$114:$M$114</definedName>
    <definedName name="套工临街等级" localSheetId="29">'[1]比较法-工业'!$B$99:$M$99</definedName>
    <definedName name="套工临街等级" localSheetId="21">'[1]比较法-工业'!$B$99:$M$99</definedName>
    <definedName name="套工临街等级">'比较法-工业'!$B$99:$M$99</definedName>
    <definedName name="套工土地级别" localSheetId="29">'[1]比较法-工业'!$B$101:$M$101</definedName>
    <definedName name="套工土地级别" localSheetId="21">'[1]比较法-工业'!$B$101:$M$101</definedName>
    <definedName name="套工土地级别">'比较法-工业'!$B$101:$M$101</definedName>
    <definedName name="套工用途" localSheetId="29">'[1]比较法-工业'!$B$72:$M$72</definedName>
    <definedName name="套工用途" localSheetId="21">'[1]比较法-工业'!$B$72:$M$72</definedName>
    <definedName name="套工用途">'比较法-工业'!$B$72:$M$72</definedName>
    <definedName name="套工宗地形状" localSheetId="29">'[1]比较法-工业'!$B$112:$M$112</definedName>
    <definedName name="套工宗地形状" localSheetId="21">'[1]比较法-工业'!$B$112:$M$112</definedName>
    <definedName name="套工宗地形状">'比较法-工业'!$B$112:$M$112</definedName>
    <definedName name="套综道路等级" localSheetId="29">'比较法-商业'!$B$108:$M$108</definedName>
    <definedName name="套综道路等级" localSheetId="21">'[1]比较法-商业'!$B$108:$M$108</definedName>
    <definedName name="套综道路等级">'比较法-住宅、综合'!$B$108:$M$108</definedName>
    <definedName name="套综工程地质条件" localSheetId="29">'比较法-商业'!$B$127:$M$127</definedName>
    <definedName name="套综工程地质条件" localSheetId="21">'[1]比较法-商业'!$B$127:$M$127</definedName>
    <definedName name="套综工程地质条件">'比较法-住宅、综合'!$B$127:$M$127</definedName>
    <definedName name="套综交易情况" localSheetId="29">'比较法-商业'!$A$75:$M$75</definedName>
    <definedName name="套综交易情况" localSheetId="21">'[1]比较法-商业'!$A$75:$M$75</definedName>
    <definedName name="套综交易情况">'比较法-住宅、综合'!$A$75:$M$75</definedName>
    <definedName name="套综临街宽度及深度" localSheetId="29">'比较法-商业'!$B$123:$M$123</definedName>
    <definedName name="套综临街宽度及深度" localSheetId="21">'[1]比较法-商业'!$B$123:$M$123</definedName>
    <definedName name="套综临街宽度及深度">'比较法-住宅、综合'!$B$123:$M$123</definedName>
    <definedName name="套综土地级别" localSheetId="29">'比较法-商业'!$B$110:$M$110</definedName>
    <definedName name="套综土地级别" localSheetId="21">'[1]比较法-商业'!$B$110:$M$110</definedName>
    <definedName name="套综土地级别">'比较法-住宅、综合'!$B$110:$M$110</definedName>
    <definedName name="套综用途" localSheetId="29">'比较法-商业'!$B$77:$M$77</definedName>
    <definedName name="套综用途" localSheetId="21">'[1]比较法-商业'!$B$77:$M$77</definedName>
    <definedName name="套综用途">'比较法-住宅、综合'!$B$77:$M$77</definedName>
    <definedName name="套综宗地内开发程度" localSheetId="29">'比较法-商业'!$B$125:$M$125</definedName>
    <definedName name="套综宗地内开发程度" localSheetId="21">'[1]比较法-商业'!$B$125:$M$125</definedName>
    <definedName name="套综宗地内开发程度">'比较法-住宅、综合'!$B$125:$M$125</definedName>
    <definedName name="套综宗地形状" localSheetId="29">'比较法-商业'!$B$121:$M$121</definedName>
    <definedName name="套综宗地形状" localSheetId="21">'[1]比较法-商业'!$B$121:$M$121</definedName>
    <definedName name="套综宗地形状">'比较法-住宅、综合'!$B$121:$M$121</definedName>
    <definedName name="土地估价师" localSheetId="29">[1]估价师及机构信息!$D$3:$D$16</definedName>
    <definedName name="土地估价师" localSheetId="21">[1]估价师及机构信息!$D$3:$D$16</definedName>
    <definedName name="土地估价师">估价师及机构信息!$D$3:$D$16</definedName>
    <definedName name="土地级别" localSheetId="29">[1]定义!$C$1:$C$14</definedName>
    <definedName name="土地级别" localSheetId="21">[1]定义!$C$1:$C$14</definedName>
    <definedName name="土地级别">定义!$C$1:$C$14</definedName>
    <definedName name="土地利用方向">定义!$P$1:$P$6</definedName>
    <definedName name="土地年限区间" localSheetId="29">[1]定义!$I$1:$I$8</definedName>
    <definedName name="土地年限区间" localSheetId="21">[1]定义!$I$1:$I$8</definedName>
    <definedName name="土地年限区间">定义!$I$1:$I$8</definedName>
    <definedName name="位置" localSheetId="29">[1]定义!$E$2:$E$4</definedName>
    <definedName name="位置" localSheetId="21">[1]定义!$E$2:$E$4</definedName>
    <definedName name="位置">定义!$E$2:$E$4</definedName>
    <definedName name="五等判定" localSheetId="29">[1]定义!$W$1:$W$6</definedName>
    <definedName name="五等判定" localSheetId="21">[1]定义!$W$1:$W$6</definedName>
    <definedName name="五等判定">定义!$W$1:$W$6</definedName>
    <definedName name="五级">区片价!$M$1:$M$35</definedName>
    <definedName name="项目类型" localSheetId="29">'[1]数据-汇总表'!$C$17:$C$26</definedName>
    <definedName name="项目类型" localSheetId="34">'[2]数据-汇总表'!$C$17:$C$26</definedName>
    <definedName name="项目类型" localSheetId="21">'[1]数据-汇总表'!$C$17:$C$26</definedName>
    <definedName name="项目类型">'数据-汇总表'!$C$17:$C$26</definedName>
    <definedName name="写字楼等级" localSheetId="29">'[1]不动产比较法-办公租金'!$B$113:$M$113</definedName>
    <definedName name="写字楼等级" localSheetId="21">'[1]不动产比较法-办公租金'!$B$113:$M$113</definedName>
    <definedName name="写字楼等级">'不动产比较法-办公'!$B$113:$M$113</definedName>
    <definedName name="一级">区片价!$I$1:$I$6</definedName>
    <definedName name="一修多修正项2" localSheetId="29">[1]典型户型修正!$5:$5</definedName>
    <definedName name="一修多修正项2" localSheetId="21">[1]典型户型修正!$5:$5</definedName>
    <definedName name="一修多修正项2">典型户型修正!$5:$5</definedName>
    <definedName name="一修多修正项3" localSheetId="29">[1]典型户型修正!$7:$7</definedName>
    <definedName name="一修多修正项3" localSheetId="21">[1]典型户型修正!$7:$7</definedName>
    <definedName name="一修多修正项3">典型户型修正!$7:$7</definedName>
    <definedName name="一修多修正项4" localSheetId="29">[1]典型户型修正!$9:$9</definedName>
    <definedName name="一修多修正项4" localSheetId="21">[1]典型户型修正!$9:$9</definedName>
    <definedName name="一修多修正项4">典型户型修正!$9:$9</definedName>
    <definedName name="一修多修正项5" localSheetId="29">[1]典型户型修正!$11:$11</definedName>
    <definedName name="一修多修正项5" localSheetId="21">[1]典型户型修正!$11:$11</definedName>
    <definedName name="一修多修正项5">典型户型修正!$11:$11</definedName>
    <definedName name="一修多修正项6" localSheetId="29">[1]典型户型修正!$13:$13</definedName>
    <definedName name="一修多修正项6" localSheetId="21">[1]典型户型修正!$13:$13</definedName>
    <definedName name="一修多修正项6">典型户型修正!$13:$13</definedName>
    <definedName name="一修多修正项7" localSheetId="29">[1]典型户型修正!$15:$15</definedName>
    <definedName name="一修多修正项7" localSheetId="21">[1]典型户型修正!$15:$15</definedName>
    <definedName name="一修多修正项7">典型户型修正!$15:$15</definedName>
    <definedName name="一修多修正项8" localSheetId="29">[1]典型户型修正!$17:$17</definedName>
    <definedName name="一修多修正项8" localSheetId="21">[1]典型户型修正!$17:$17</definedName>
    <definedName name="一修多修正项8">典型户型修正!$17:$17</definedName>
    <definedName name="用途类型" localSheetId="29">[1]定义!$A$1:$A$50</definedName>
    <definedName name="用途类型" localSheetId="21">[1]定义!$A$1:$A$50</definedName>
    <definedName name="用途类型">定义!$A$1:$A$50</definedName>
    <definedName name="有无电梯" localSheetId="29">'[1]不动产比较法-仓储'!$B$84:$M$84</definedName>
    <definedName name="有无电梯" localSheetId="21">'[1]不动产比较法-仓储'!$B$84:$M$84</definedName>
    <definedName name="有无电梯">'不动产比较法-仓储'!$B$84:$M$84</definedName>
    <definedName name="主用途" localSheetId="29">[1]定义!$F$1:$F$10</definedName>
    <definedName name="主用途" localSheetId="21">[1]定义!$F$1:$F$10</definedName>
    <definedName name="主用途">定义!$F$1:$F$10</definedName>
    <definedName name="住宅朝向" localSheetId="29">'[1]不动产比较法-住宅'!$B$88:$M$88</definedName>
    <definedName name="住宅朝向" localSheetId="21">'[1]不动产比较法-住宅'!$B$88:$M$88</definedName>
    <definedName name="住宅朝向">'不动产比较法-住宅'!$B$88:$M$88</definedName>
    <definedName name="住宅房型" localSheetId="29">'[1]不动产比较法-住宅'!$B$118:$M$118</definedName>
    <definedName name="住宅房型" localSheetId="21">'[1]不动产比较法-住宅'!$B$118:$M$118</definedName>
    <definedName name="住宅房型">'不动产比较法-住宅'!$B$118:$M$118</definedName>
    <definedName name="住宅公共部分装修" localSheetId="29">'[1]不动产比较法-住宅'!$B$109:$M$109</definedName>
    <definedName name="住宅公共部分装修" localSheetId="21">'[1]不动产比较法-住宅'!$B$109:$M$109</definedName>
    <definedName name="住宅公共部分装修">'不动产比较法-住宅'!$B$109:$M$109</definedName>
    <definedName name="住宅基础设施水平" localSheetId="29">'[1]不动产比较法-住宅'!$B$116:$M$116</definedName>
    <definedName name="住宅基础设施水平" localSheetId="21">'[1]不动产比较法-住宅'!$B$116:$M$116</definedName>
    <definedName name="住宅基础设施水平">'不动产比较法-住宅'!$B$116:$M$116</definedName>
    <definedName name="住宅建筑结构" localSheetId="29">'[1]不动产比较法-住宅'!$B$105:$M$105</definedName>
    <definedName name="住宅建筑结构" localSheetId="21">'[1]不动产比较法-住宅'!$B$105:$M$105</definedName>
    <definedName name="住宅建筑结构">'不动产比较法-住宅'!$B$105:$M$105</definedName>
    <definedName name="住宅建筑类型" localSheetId="29">'[1]不动产比较法-住宅'!$B$100:$M$100</definedName>
    <definedName name="住宅建筑类型" localSheetId="21">'[1]不动产比较法-住宅'!$B$100:$M$100</definedName>
    <definedName name="住宅建筑类型">'不动产比较法-住宅'!$B$100:$M$100</definedName>
    <definedName name="住宅建筑品质" localSheetId="29">'[1]不动产比较法-住宅'!$B$107:$M$107</definedName>
    <definedName name="住宅建筑品质" localSheetId="21">'[1]不动产比较法-住宅'!$B$107:$M$107</definedName>
    <definedName name="住宅建筑品质">'不动产比较法-住宅'!$B$107:$M$107</definedName>
    <definedName name="住宅交易情况" localSheetId="29">'[1]不动产比较法-住宅'!$A$61:$M$61</definedName>
    <definedName name="住宅交易情况" localSheetId="21">'[1]不动产比较法-住宅'!$A$61:$M$61</definedName>
    <definedName name="住宅交易情况">'不动产比较法-住宅'!$A$61:$M$61</definedName>
    <definedName name="住宅楼层" localSheetId="29">'[1]不动产比较法-住宅'!$B$86:$M$86</definedName>
    <definedName name="住宅楼层" localSheetId="21">'[1]不动产比较法-住宅'!$B$86:$M$86</definedName>
    <definedName name="住宅楼层">'不动产比较法-住宅'!$B$86:$M$86</definedName>
    <definedName name="住宅内部装修" localSheetId="29">'[1]不动产比较法-住宅'!$B$122:$M$122</definedName>
    <definedName name="住宅内部装修" localSheetId="21">'[1]不动产比较法-住宅'!$B$122:$M$122</definedName>
    <definedName name="住宅内部装修">'不动产比较法-住宅'!$B$122:$M$122</definedName>
    <definedName name="住宅物业管理" localSheetId="29">'[1]不动产比较法-住宅'!$B$114:$M$114</definedName>
    <definedName name="住宅物业管理" localSheetId="21">'[1]不动产比较法-住宅'!$B$114:$M$114</definedName>
    <definedName name="住宅物业管理">'不动产比较法-住宅'!$B$114:$M$114</definedName>
    <definedName name="住宅用途" localSheetId="29">'[1]不动产比较法-住宅'!$B$63:$M$63</definedName>
    <definedName name="住宅用途" localSheetId="21">'[1]不动产比较法-住宅'!$B$63:$M$63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 i="72" l="1"/>
  <c r="C6" i="72"/>
  <c r="C4" i="72"/>
  <c r="C3" i="72"/>
  <c r="B7" i="72"/>
  <c r="B6" i="72"/>
  <c r="B5" i="72"/>
  <c r="B4" i="72"/>
  <c r="B3" i="72"/>
  <c r="F113" i="71"/>
  <c r="K108" i="71"/>
  <c r="G108" i="71"/>
  <c r="C108" i="71"/>
  <c r="K100" i="71"/>
  <c r="G100" i="71"/>
  <c r="D100" i="71"/>
  <c r="N99" i="71"/>
  <c r="M99" i="71"/>
  <c r="M108" i="71" s="1"/>
  <c r="L99" i="71"/>
  <c r="K99" i="71"/>
  <c r="J99" i="71"/>
  <c r="I99" i="71"/>
  <c r="I108" i="71" s="1"/>
  <c r="H99" i="71"/>
  <c r="G99" i="71"/>
  <c r="F99" i="71"/>
  <c r="E99" i="71"/>
  <c r="E108" i="71" s="1"/>
  <c r="D99" i="71"/>
  <c r="D108" i="71" s="1"/>
  <c r="C99" i="71"/>
  <c r="C100" i="71" s="1"/>
  <c r="N87" i="71"/>
  <c r="M87" i="71"/>
  <c r="K87" i="71"/>
  <c r="J87" i="71" s="1"/>
  <c r="H87" i="71"/>
  <c r="D87" i="71"/>
  <c r="B87" i="71"/>
  <c r="M86" i="71"/>
  <c r="N86" i="71" s="1"/>
  <c r="K86" i="71"/>
  <c r="J86" i="71"/>
  <c r="D86" i="71"/>
  <c r="M85" i="71"/>
  <c r="N85" i="71" s="1"/>
  <c r="K85" i="71"/>
  <c r="J85" i="71"/>
  <c r="D85" i="71"/>
  <c r="B85" i="71"/>
  <c r="N84" i="71"/>
  <c r="M84" i="71"/>
  <c r="K84" i="71"/>
  <c r="J84" i="71" s="1"/>
  <c r="H84" i="71"/>
  <c r="D84" i="71"/>
  <c r="B84" i="71"/>
  <c r="M83" i="71"/>
  <c r="N83" i="71" s="1"/>
  <c r="K83" i="71"/>
  <c r="J83" i="71"/>
  <c r="D83" i="71"/>
  <c r="B83" i="71"/>
  <c r="N82" i="71"/>
  <c r="M82" i="71"/>
  <c r="K82" i="71"/>
  <c r="J82" i="71" s="1"/>
  <c r="H82" i="71"/>
  <c r="D82" i="71"/>
  <c r="B82" i="71"/>
  <c r="M81" i="71"/>
  <c r="N81" i="71" s="1"/>
  <c r="K81" i="71"/>
  <c r="J81" i="71"/>
  <c r="D81" i="71"/>
  <c r="E80" i="71" s="1"/>
  <c r="B78" i="71" s="1"/>
  <c r="B81" i="71"/>
  <c r="N80" i="71"/>
  <c r="M80" i="71"/>
  <c r="K80" i="71"/>
  <c r="J80" i="71" s="1"/>
  <c r="H80" i="71"/>
  <c r="F80" i="71"/>
  <c r="H86" i="71" s="1"/>
  <c r="D80" i="71"/>
  <c r="B80" i="71"/>
  <c r="N77" i="71"/>
  <c r="M77" i="71"/>
  <c r="K77" i="71"/>
  <c r="J77" i="71" s="1"/>
  <c r="H77" i="71"/>
  <c r="D77" i="71"/>
  <c r="N76" i="71"/>
  <c r="M76" i="71"/>
  <c r="K76" i="71"/>
  <c r="J76" i="71" s="1"/>
  <c r="H76" i="71"/>
  <c r="D76" i="71"/>
  <c r="B76" i="71"/>
  <c r="M75" i="71"/>
  <c r="N75" i="71" s="1"/>
  <c r="K75" i="71"/>
  <c r="J75" i="71"/>
  <c r="D75" i="71"/>
  <c r="M74" i="71"/>
  <c r="N74" i="71" s="1"/>
  <c r="K74" i="71"/>
  <c r="J74" i="71"/>
  <c r="D74" i="71"/>
  <c r="B74" i="71"/>
  <c r="N73" i="71"/>
  <c r="M73" i="71"/>
  <c r="K73" i="71"/>
  <c r="J73" i="71" s="1"/>
  <c r="H73" i="71"/>
  <c r="D73" i="71"/>
  <c r="B73" i="71"/>
  <c r="M72" i="71"/>
  <c r="N72" i="71" s="1"/>
  <c r="K72" i="71"/>
  <c r="J72" i="71"/>
  <c r="D72" i="71"/>
  <c r="B72" i="71"/>
  <c r="N71" i="71"/>
  <c r="M71" i="71"/>
  <c r="K71" i="71"/>
  <c r="J71" i="71" s="1"/>
  <c r="H71" i="71"/>
  <c r="D71" i="71"/>
  <c r="B71" i="71"/>
  <c r="M70" i="71"/>
  <c r="N70" i="71" s="1"/>
  <c r="K70" i="71"/>
  <c r="J70" i="71"/>
  <c r="D70" i="71"/>
  <c r="E69" i="71" s="1"/>
  <c r="B67" i="71" s="1"/>
  <c r="B70" i="71"/>
  <c r="N69" i="71"/>
  <c r="M69" i="71"/>
  <c r="K69" i="71"/>
  <c r="J69" i="71" s="1"/>
  <c r="H69" i="71"/>
  <c r="F69" i="71"/>
  <c r="H75" i="71" s="1"/>
  <c r="D69" i="71"/>
  <c r="B69" i="71"/>
  <c r="N66" i="71"/>
  <c r="M66" i="71"/>
  <c r="K66" i="71"/>
  <c r="J66" i="71" s="1"/>
  <c r="H66" i="71"/>
  <c r="D66" i="71"/>
  <c r="B66" i="71"/>
  <c r="M65" i="71"/>
  <c r="N65" i="71" s="1"/>
  <c r="K65" i="71"/>
  <c r="J65" i="71"/>
  <c r="D65" i="71"/>
  <c r="B65" i="71"/>
  <c r="N64" i="71"/>
  <c r="M64" i="71"/>
  <c r="K64" i="71"/>
  <c r="J64" i="71" s="1"/>
  <c r="H64" i="71"/>
  <c r="D64" i="71"/>
  <c r="B64" i="71"/>
  <c r="M63" i="71"/>
  <c r="N63" i="71" s="1"/>
  <c r="K63" i="71"/>
  <c r="J63" i="71"/>
  <c r="D63" i="71"/>
  <c r="M62" i="71"/>
  <c r="N62" i="71" s="1"/>
  <c r="K62" i="71"/>
  <c r="J62" i="71"/>
  <c r="D62" i="71"/>
  <c r="B62" i="71"/>
  <c r="N61" i="71"/>
  <c r="M61" i="71"/>
  <c r="K61" i="71"/>
  <c r="J61" i="71" s="1"/>
  <c r="H61" i="71"/>
  <c r="D61" i="71"/>
  <c r="N60" i="71"/>
  <c r="M60" i="71"/>
  <c r="K60" i="71"/>
  <c r="J60" i="71" s="1"/>
  <c r="H60" i="71"/>
  <c r="D60" i="71"/>
  <c r="B60" i="71"/>
  <c r="M59" i="71"/>
  <c r="N59" i="71" s="1"/>
  <c r="K59" i="71"/>
  <c r="J59" i="71"/>
  <c r="D59" i="71"/>
  <c r="E58" i="71" s="1"/>
  <c r="B56" i="71" s="1"/>
  <c r="B59" i="71"/>
  <c r="N58" i="71"/>
  <c r="M58" i="71"/>
  <c r="K58" i="71"/>
  <c r="J58" i="71" s="1"/>
  <c r="H58" i="71"/>
  <c r="F58" i="71"/>
  <c r="H65" i="71" s="1"/>
  <c r="D58" i="71"/>
  <c r="B58" i="71"/>
  <c r="N55" i="71"/>
  <c r="M55" i="71"/>
  <c r="K55" i="71"/>
  <c r="J55" i="71" s="1"/>
  <c r="D55" i="71"/>
  <c r="B55" i="71"/>
  <c r="M54" i="71"/>
  <c r="N54" i="71" s="1"/>
  <c r="K54" i="71"/>
  <c r="J54" i="71"/>
  <c r="D54" i="71"/>
  <c r="B54" i="71"/>
  <c r="N53" i="71"/>
  <c r="M53" i="71"/>
  <c r="K53" i="71"/>
  <c r="J53" i="71" s="1"/>
  <c r="D53" i="71"/>
  <c r="B53" i="71"/>
  <c r="M52" i="71"/>
  <c r="N52" i="71" s="1"/>
  <c r="K52" i="71"/>
  <c r="J52" i="71"/>
  <c r="D52" i="71"/>
  <c r="M51" i="71"/>
  <c r="N51" i="71" s="1"/>
  <c r="K51" i="71"/>
  <c r="J51" i="71"/>
  <c r="D51" i="71"/>
  <c r="B51" i="71"/>
  <c r="N50" i="71"/>
  <c r="M50" i="71"/>
  <c r="K50" i="71"/>
  <c r="J50" i="71" s="1"/>
  <c r="D50" i="71"/>
  <c r="N49" i="71"/>
  <c r="M49" i="71"/>
  <c r="K49" i="71"/>
  <c r="J49" i="71" s="1"/>
  <c r="D49" i="71"/>
  <c r="B49" i="71"/>
  <c r="M48" i="71"/>
  <c r="N48" i="71" s="1"/>
  <c r="K48" i="71"/>
  <c r="J48" i="71"/>
  <c r="D48" i="71"/>
  <c r="B48" i="71"/>
  <c r="N47" i="71"/>
  <c r="M47" i="71"/>
  <c r="K47" i="71"/>
  <c r="J47" i="71" s="1"/>
  <c r="E47" i="71"/>
  <c r="B45" i="71" s="1"/>
  <c r="C24" i="71" s="1"/>
  <c r="D47" i="71"/>
  <c r="B47" i="71"/>
  <c r="H39" i="71"/>
  <c r="H38" i="71"/>
  <c r="H37" i="71"/>
  <c r="H36" i="71"/>
  <c r="H35" i="71"/>
  <c r="H34" i="71"/>
  <c r="H33" i="71"/>
  <c r="D29" i="71"/>
  <c r="J20" i="71"/>
  <c r="I20" i="71"/>
  <c r="M19" i="71"/>
  <c r="I19" i="71"/>
  <c r="G19" i="71"/>
  <c r="C18" i="71"/>
  <c r="C16" i="71"/>
  <c r="F15" i="71"/>
  <c r="E15" i="71"/>
  <c r="D15" i="71"/>
  <c r="C15" i="71"/>
  <c r="Y12" i="71"/>
  <c r="C12" i="71"/>
  <c r="M11" i="71"/>
  <c r="AI10" i="71"/>
  <c r="AE10" i="71"/>
  <c r="AA10"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M9" i="71"/>
  <c r="C9" i="71"/>
  <c r="M8" i="71"/>
  <c r="M7" i="71"/>
  <c r="C7" i="71"/>
  <c r="A7" i="71"/>
  <c r="N6" i="71"/>
  <c r="N5" i="71"/>
  <c r="M4" i="71"/>
  <c r="N3" i="71"/>
  <c r="G3" i="71"/>
  <c r="M2" i="71"/>
  <c r="I2" i="71"/>
  <c r="G2" i="71"/>
  <c r="N1" i="71"/>
  <c r="M1" i="71"/>
  <c r="F1" i="71"/>
  <c r="D1" i="71"/>
  <c r="E11" i="71" l="1"/>
  <c r="E9" i="71"/>
  <c r="E8" i="71"/>
  <c r="E10" i="71"/>
  <c r="H113" i="71"/>
  <c r="F47" i="71"/>
  <c r="F39" i="71"/>
  <c r="F38" i="71"/>
  <c r="F37" i="71"/>
  <c r="F36" i="71"/>
  <c r="F35" i="71"/>
  <c r="F34" i="71"/>
  <c r="F33" i="71"/>
  <c r="O17" i="71"/>
  <c r="M17" i="71"/>
  <c r="K17" i="71"/>
  <c r="I17" i="71"/>
  <c r="D17" i="71"/>
  <c r="S2" i="71"/>
  <c r="N101" i="71"/>
  <c r="L101" i="71"/>
  <c r="J101" i="71"/>
  <c r="H101" i="71"/>
  <c r="F101" i="71"/>
  <c r="D101" i="71"/>
  <c r="M101" i="71"/>
  <c r="I101" i="71"/>
  <c r="E101" i="71"/>
  <c r="C23" i="71"/>
  <c r="J22" i="71"/>
  <c r="G22" i="71"/>
  <c r="E22" i="71"/>
  <c r="D22" i="71" s="1"/>
  <c r="AJ11" i="71"/>
  <c r="AH11" i="71"/>
  <c r="AF11" i="71"/>
  <c r="AD11" i="71"/>
  <c r="AB11" i="71"/>
  <c r="Z11" i="71"/>
  <c r="S4" i="71"/>
  <c r="C6" i="71"/>
  <c r="S7" i="71"/>
  <c r="Z7" i="71"/>
  <c r="Y11" i="71"/>
  <c r="AC11" i="71"/>
  <c r="AG11" i="71"/>
  <c r="Z12" i="71"/>
  <c r="Z13" i="71" s="1"/>
  <c r="AD12" i="71"/>
  <c r="AH12" i="71"/>
  <c r="AH13" i="71" s="1"/>
  <c r="E17" i="71"/>
  <c r="J17" i="71"/>
  <c r="N17" i="71"/>
  <c r="P25" i="71"/>
  <c r="P21" i="71"/>
  <c r="M20" i="71"/>
  <c r="O19" i="71"/>
  <c r="C19" i="71"/>
  <c r="H22" i="71"/>
  <c r="P23" i="71"/>
  <c r="I109" i="71"/>
  <c r="G101" i="71"/>
  <c r="B113" i="71"/>
  <c r="M12" i="71"/>
  <c r="N11" i="71"/>
  <c r="N10" i="71"/>
  <c r="N2" i="71"/>
  <c r="M3" i="71"/>
  <c r="S3" i="71"/>
  <c r="N4" i="71"/>
  <c r="M5" i="71"/>
  <c r="S5" i="71"/>
  <c r="M6" i="71"/>
  <c r="S6" i="71"/>
  <c r="N7" i="71"/>
  <c r="X7" i="71"/>
  <c r="N8" i="71"/>
  <c r="N9" i="71"/>
  <c r="AC13" i="71"/>
  <c r="AG13" i="71"/>
  <c r="M10" i="71"/>
  <c r="AC10" i="71"/>
  <c r="AG10" i="71"/>
  <c r="AA11" i="71"/>
  <c r="AA13" i="71" s="1"/>
  <c r="AE11" i="71"/>
  <c r="AE13" i="71" s="1"/>
  <c r="AI11" i="71"/>
  <c r="AI13" i="71" s="1"/>
  <c r="N12" i="71"/>
  <c r="Y13" i="71"/>
  <c r="AB12" i="71"/>
  <c r="AB13" i="71" s="1"/>
  <c r="AF12" i="71"/>
  <c r="AF13" i="71" s="1"/>
  <c r="AJ12" i="71"/>
  <c r="AJ13" i="71" s="1"/>
  <c r="C17" i="71"/>
  <c r="H17" i="71"/>
  <c r="G17" i="71" s="1"/>
  <c r="L17" i="71"/>
  <c r="C21" i="71"/>
  <c r="F22" i="71"/>
  <c r="P22" i="71"/>
  <c r="P24" i="71"/>
  <c r="D109" i="71"/>
  <c r="F108" i="71"/>
  <c r="F100" i="71"/>
  <c r="H108" i="71"/>
  <c r="H109" i="71" s="1"/>
  <c r="H100" i="71"/>
  <c r="J108" i="71"/>
  <c r="J100" i="71"/>
  <c r="L108" i="71"/>
  <c r="L109" i="71" s="1"/>
  <c r="L100" i="71"/>
  <c r="N108" i="71"/>
  <c r="N100" i="71"/>
  <c r="C101" i="71"/>
  <c r="K101" i="71"/>
  <c r="H59" i="71"/>
  <c r="H62" i="71"/>
  <c r="H63" i="71"/>
  <c r="H70" i="71"/>
  <c r="H72" i="71"/>
  <c r="H74" i="71"/>
  <c r="H81" i="71"/>
  <c r="H83" i="71"/>
  <c r="H85" i="71"/>
  <c r="E100" i="71"/>
  <c r="I100" i="71"/>
  <c r="M100" i="71"/>
  <c r="A3" i="3"/>
  <c r="K107" i="71" l="1"/>
  <c r="K105" i="71"/>
  <c r="K103" i="71"/>
  <c r="K106" i="71"/>
  <c r="K104" i="71"/>
  <c r="K102" i="71"/>
  <c r="G106" i="71"/>
  <c r="G104" i="71"/>
  <c r="G102" i="71"/>
  <c r="G109" i="71"/>
  <c r="G107" i="71"/>
  <c r="G105" i="71"/>
  <c r="G103" i="71"/>
  <c r="D5" i="71"/>
  <c r="E107" i="71"/>
  <c r="E106" i="71"/>
  <c r="E105" i="71"/>
  <c r="E104" i="71"/>
  <c r="E103" i="71"/>
  <c r="E102" i="71"/>
  <c r="M107" i="71"/>
  <c r="M106" i="71"/>
  <c r="M105" i="71"/>
  <c r="M104" i="71"/>
  <c r="M103" i="71"/>
  <c r="M102" i="71"/>
  <c r="F107" i="71"/>
  <c r="F106" i="71"/>
  <c r="F105" i="71"/>
  <c r="F104" i="71"/>
  <c r="F103" i="71"/>
  <c r="F102" i="71"/>
  <c r="J107" i="71"/>
  <c r="J106" i="71"/>
  <c r="J105" i="71"/>
  <c r="J104" i="71"/>
  <c r="J103" i="71"/>
  <c r="J102" i="71"/>
  <c r="N107" i="71"/>
  <c r="N106" i="71"/>
  <c r="N105" i="71"/>
  <c r="N104" i="71"/>
  <c r="N103" i="71"/>
  <c r="N102" i="71"/>
  <c r="H54" i="71"/>
  <c r="H52" i="71"/>
  <c r="H51" i="71"/>
  <c r="H48" i="71"/>
  <c r="H55" i="71"/>
  <c r="H50" i="71"/>
  <c r="H47" i="71"/>
  <c r="H53" i="71"/>
  <c r="H49" i="71"/>
  <c r="K109" i="71"/>
  <c r="C107" i="71"/>
  <c r="C105" i="71"/>
  <c r="C103" i="71"/>
  <c r="C106" i="71"/>
  <c r="C104" i="71"/>
  <c r="C102" i="71"/>
  <c r="N109" i="71"/>
  <c r="J109" i="71"/>
  <c r="F109" i="71"/>
  <c r="I118" i="71"/>
  <c r="J118" i="71" s="1"/>
  <c r="K118" i="71" s="1"/>
  <c r="L118" i="71" s="1"/>
  <c r="M118" i="71" s="1"/>
  <c r="G118" i="71"/>
  <c r="H118" i="71" s="1"/>
  <c r="I117" i="71"/>
  <c r="J117" i="71" s="1"/>
  <c r="K117" i="71" s="1"/>
  <c r="L117" i="71" s="1"/>
  <c r="M117" i="71" s="1"/>
  <c r="I116" i="71"/>
  <c r="J116" i="71" s="1"/>
  <c r="K116" i="71" s="1"/>
  <c r="L116" i="71" s="1"/>
  <c r="M116" i="71" s="1"/>
  <c r="I115" i="71"/>
  <c r="J115" i="71" s="1"/>
  <c r="K115" i="71" s="1"/>
  <c r="L115" i="71" s="1"/>
  <c r="M115" i="71" s="1"/>
  <c r="D118" i="71"/>
  <c r="E118" i="71" s="1"/>
  <c r="F118" i="71" s="1"/>
  <c r="D117" i="71"/>
  <c r="E117" i="71" s="1"/>
  <c r="F117" i="71" s="1"/>
  <c r="G117" i="71" s="1"/>
  <c r="H117" i="71" s="1"/>
  <c r="D116" i="71"/>
  <c r="E116" i="71" s="1"/>
  <c r="F116" i="71" s="1"/>
  <c r="G116" i="71" s="1"/>
  <c r="H116" i="71" s="1"/>
  <c r="D115" i="71"/>
  <c r="E115" i="71" s="1"/>
  <c r="F115" i="71" s="1"/>
  <c r="G115" i="71" s="1"/>
  <c r="H115" i="71" s="1"/>
  <c r="B118" i="71"/>
  <c r="C118" i="71" s="1"/>
  <c r="B116" i="71"/>
  <c r="C116" i="71" s="1"/>
  <c r="B117" i="71"/>
  <c r="C117" i="71" s="1"/>
  <c r="B115" i="71"/>
  <c r="M109" i="71"/>
  <c r="E109" i="71"/>
  <c r="AD13" i="71"/>
  <c r="I107" i="71"/>
  <c r="I106" i="71"/>
  <c r="I105" i="71"/>
  <c r="I104" i="71"/>
  <c r="I103" i="71"/>
  <c r="I102" i="71"/>
  <c r="D107" i="71"/>
  <c r="D106" i="71"/>
  <c r="D105" i="71"/>
  <c r="D104" i="71"/>
  <c r="D103" i="71"/>
  <c r="D102" i="71"/>
  <c r="H107" i="71"/>
  <c r="H106" i="71"/>
  <c r="H105" i="71"/>
  <c r="H104" i="71"/>
  <c r="H103" i="71"/>
  <c r="H102" i="71"/>
  <c r="L107" i="71"/>
  <c r="L106" i="71"/>
  <c r="L105" i="71"/>
  <c r="L104" i="71"/>
  <c r="L103" i="71"/>
  <c r="L102" i="71"/>
  <c r="C109" i="71"/>
  <c r="C40" i="70"/>
  <c r="F1" i="46"/>
  <c r="B133" i="70"/>
  <c r="B131" i="70"/>
  <c r="B129" i="70"/>
  <c r="D128" i="70"/>
  <c r="E128" i="70" s="1"/>
  <c r="F128" i="70" s="1"/>
  <c r="G128" i="70" s="1"/>
  <c r="H128" i="70" s="1"/>
  <c r="I128" i="70" s="1"/>
  <c r="J128" i="70" s="1"/>
  <c r="K128" i="70" s="1"/>
  <c r="L128" i="70" s="1"/>
  <c r="M128" i="70" s="1"/>
  <c r="F126" i="70"/>
  <c r="G126" i="70" s="1"/>
  <c r="H126" i="70" s="1"/>
  <c r="I126" i="70" s="1"/>
  <c r="J126" i="70" s="1"/>
  <c r="K126" i="70" s="1"/>
  <c r="L126" i="70" s="1"/>
  <c r="M126" i="70" s="1"/>
  <c r="D126" i="70"/>
  <c r="E126" i="70" s="1"/>
  <c r="D124" i="70"/>
  <c r="E124" i="70" s="1"/>
  <c r="F124" i="70" s="1"/>
  <c r="G124" i="70" s="1"/>
  <c r="H124" i="70" s="1"/>
  <c r="I124" i="70" s="1"/>
  <c r="J124" i="70" s="1"/>
  <c r="K124" i="70" s="1"/>
  <c r="L124" i="70" s="1"/>
  <c r="M124" i="70" s="1"/>
  <c r="F122" i="70"/>
  <c r="G122" i="70" s="1"/>
  <c r="H122" i="70" s="1"/>
  <c r="I122" i="70" s="1"/>
  <c r="J122" i="70" s="1"/>
  <c r="K122" i="70" s="1"/>
  <c r="L122" i="70" s="1"/>
  <c r="M122" i="70" s="1"/>
  <c r="D122" i="70"/>
  <c r="E122"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F109" i="70"/>
  <c r="G109" i="70" s="1"/>
  <c r="H109" i="70" s="1"/>
  <c r="I109" i="70" s="1"/>
  <c r="J109" i="70" s="1"/>
  <c r="K109" i="70" s="1"/>
  <c r="L109" i="70" s="1"/>
  <c r="M109" i="70" s="1"/>
  <c r="D109" i="70"/>
  <c r="E109" i="70" s="1"/>
  <c r="D107" i="70"/>
  <c r="E107" i="70" s="1"/>
  <c r="F107" i="70" s="1"/>
  <c r="G107" i="70" s="1"/>
  <c r="H107" i="70" s="1"/>
  <c r="I107" i="70" s="1"/>
  <c r="J107" i="70" s="1"/>
  <c r="K107" i="70" s="1"/>
  <c r="L107" i="70" s="1"/>
  <c r="M107" i="70" s="1"/>
  <c r="B106" i="70"/>
  <c r="G105" i="70"/>
  <c r="E105" i="70"/>
  <c r="F105" i="70" s="1"/>
  <c r="D105" i="70"/>
  <c r="E103" i="70"/>
  <c r="F103" i="70" s="1"/>
  <c r="G103" i="70" s="1"/>
  <c r="D103" i="70"/>
  <c r="G101" i="70"/>
  <c r="E101" i="70"/>
  <c r="F101" i="70" s="1"/>
  <c r="D101" i="70"/>
  <c r="E99" i="70"/>
  <c r="F99" i="70" s="1"/>
  <c r="G99" i="70" s="1"/>
  <c r="D99" i="70"/>
  <c r="G97" i="70"/>
  <c r="E97" i="70"/>
  <c r="F97" i="70" s="1"/>
  <c r="D97" i="70"/>
  <c r="E95" i="70"/>
  <c r="F95" i="70" s="1"/>
  <c r="G95" i="70" s="1"/>
  <c r="D95" i="70"/>
  <c r="G93" i="70"/>
  <c r="E93" i="70"/>
  <c r="F93" i="70" s="1"/>
  <c r="D93" i="70"/>
  <c r="E91" i="70"/>
  <c r="F91" i="70" s="1"/>
  <c r="G91" i="70" s="1"/>
  <c r="D91" i="70"/>
  <c r="B88" i="70"/>
  <c r="H16" i="70" s="1"/>
  <c r="B86" i="70"/>
  <c r="B84" i="70"/>
  <c r="H14" i="70" s="1"/>
  <c r="F83" i="70"/>
  <c r="G83" i="70" s="1"/>
  <c r="H83" i="70" s="1"/>
  <c r="I83" i="70" s="1"/>
  <c r="J83" i="70" s="1"/>
  <c r="K83" i="70" s="1"/>
  <c r="L83" i="70" s="1"/>
  <c r="M83" i="70" s="1"/>
  <c r="D83" i="70"/>
  <c r="E83" i="70" s="1"/>
  <c r="M81" i="70"/>
  <c r="L81" i="70"/>
  <c r="K81" i="70"/>
  <c r="J81" i="70"/>
  <c r="I81" i="70"/>
  <c r="H81" i="70"/>
  <c r="G81" i="70"/>
  <c r="F81" i="70"/>
  <c r="E81" i="70"/>
  <c r="D81" i="70"/>
  <c r="C81" i="70"/>
  <c r="B73" i="70"/>
  <c r="H67" i="70"/>
  <c r="I67" i="70" s="1"/>
  <c r="C67" i="70" s="1"/>
  <c r="E67" i="70"/>
  <c r="H66" i="70"/>
  <c r="I66" i="70" s="1"/>
  <c r="C66" i="70" s="1"/>
  <c r="E66" i="70"/>
  <c r="H65" i="70"/>
  <c r="I65" i="70" s="1"/>
  <c r="C65" i="70" s="1"/>
  <c r="E65" i="70"/>
  <c r="H64" i="70"/>
  <c r="I64" i="70" s="1"/>
  <c r="C64" i="70" s="1"/>
  <c r="E64" i="70"/>
  <c r="H63" i="70"/>
  <c r="I63" i="70" s="1"/>
  <c r="C63" i="70" s="1"/>
  <c r="E63" i="70"/>
  <c r="H62" i="70"/>
  <c r="I62" i="70" s="1"/>
  <c r="C62" i="70" s="1"/>
  <c r="I61" i="70"/>
  <c r="C61" i="70" s="1"/>
  <c r="H61" i="70"/>
  <c r="H60" i="70"/>
  <c r="I60" i="70" s="1"/>
  <c r="C60" i="70" s="1"/>
  <c r="I59" i="70"/>
  <c r="C59" i="70" s="1"/>
  <c r="H59" i="70"/>
  <c r="E58" i="70"/>
  <c r="E68" i="70" s="1"/>
  <c r="J57" i="70"/>
  <c r="I55" i="70"/>
  <c r="J55" i="70" s="1"/>
  <c r="P50" i="70"/>
  <c r="P49" i="70"/>
  <c r="K49" i="70"/>
  <c r="P48" i="70"/>
  <c r="I48" i="70"/>
  <c r="V48" i="70" s="1"/>
  <c r="G48" i="70"/>
  <c r="E55" i="70" s="1"/>
  <c r="F55" i="70" s="1"/>
  <c r="E48" i="70"/>
  <c r="R48" i="70" s="1"/>
  <c r="AC47" i="70"/>
  <c r="W47" i="70"/>
  <c r="Q47" i="70"/>
  <c r="Z47" i="70" s="1"/>
  <c r="J47" i="70"/>
  <c r="H47" i="70"/>
  <c r="AB47" i="70" s="1"/>
  <c r="F47" i="70"/>
  <c r="AA47" i="70" s="1"/>
  <c r="AB46" i="70"/>
  <c r="U46" i="70"/>
  <c r="Q46" i="70"/>
  <c r="Z46" i="70" s="1"/>
  <c r="J46" i="70"/>
  <c r="AC46" i="70" s="1"/>
  <c r="H46" i="70"/>
  <c r="F46" i="70"/>
  <c r="AA46" i="70" s="1"/>
  <c r="Q45" i="70"/>
  <c r="Z45" i="70" s="1"/>
  <c r="J45" i="70"/>
  <c r="AC45" i="70" s="1"/>
  <c r="H45" i="70"/>
  <c r="AB45" i="70" s="1"/>
  <c r="F45" i="70"/>
  <c r="AA45" i="70" s="1"/>
  <c r="Q44" i="70"/>
  <c r="Z44" i="70" s="1"/>
  <c r="J44" i="70"/>
  <c r="AC44" i="70" s="1"/>
  <c r="H44" i="70"/>
  <c r="AB44" i="70" s="1"/>
  <c r="F44" i="70"/>
  <c r="AA44" i="70" s="1"/>
  <c r="AC43" i="70"/>
  <c r="W43" i="70"/>
  <c r="Q43" i="70"/>
  <c r="Z43" i="70" s="1"/>
  <c r="J43" i="70"/>
  <c r="H43" i="70"/>
  <c r="AB43" i="70" s="1"/>
  <c r="F43" i="70"/>
  <c r="AA43" i="70" s="1"/>
  <c r="AB42" i="70"/>
  <c r="U42" i="70"/>
  <c r="Q42" i="70"/>
  <c r="Z42" i="70" s="1"/>
  <c r="J42" i="70"/>
  <c r="AC42" i="70" s="1"/>
  <c r="H42" i="70"/>
  <c r="F42" i="70"/>
  <c r="AA42" i="70" s="1"/>
  <c r="Q41" i="70"/>
  <c r="Z41" i="70" s="1"/>
  <c r="J41" i="70"/>
  <c r="AC41" i="70" s="1"/>
  <c r="H41" i="70"/>
  <c r="AB41" i="70" s="1"/>
  <c r="F41" i="70"/>
  <c r="AA41" i="70" s="1"/>
  <c r="Q40" i="70"/>
  <c r="Z40" i="70" s="1"/>
  <c r="Z39" i="70"/>
  <c r="Q39" i="70"/>
  <c r="J39" i="70"/>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H36" i="70"/>
  <c r="AB36" i="70" s="1"/>
  <c r="Q34" i="70"/>
  <c r="Z34" i="70" s="1"/>
  <c r="J34" i="70"/>
  <c r="AC34" i="70" s="1"/>
  <c r="H34" i="70"/>
  <c r="AB34" i="70" s="1"/>
  <c r="F34" i="70"/>
  <c r="AA34" i="70" s="1"/>
  <c r="Q33" i="70"/>
  <c r="Z33" i="70" s="1"/>
  <c r="J33" i="70"/>
  <c r="AC33" i="70" s="1"/>
  <c r="H33" i="70"/>
  <c r="AB33" i="70" s="1"/>
  <c r="F33" i="70"/>
  <c r="AA33" i="70" s="1"/>
  <c r="Q31" i="70"/>
  <c r="Z31" i="70" s="1"/>
  <c r="J31" i="70"/>
  <c r="AC31" i="70" s="1"/>
  <c r="H31" i="70"/>
  <c r="AB31" i="70" s="1"/>
  <c r="F31" i="70"/>
  <c r="AA31" i="70" s="1"/>
  <c r="C31" i="70"/>
  <c r="Q29" i="70"/>
  <c r="Z29" i="70" s="1"/>
  <c r="J29" i="70"/>
  <c r="AC29" i="70" s="1"/>
  <c r="H29" i="70"/>
  <c r="AB29" i="70" s="1"/>
  <c r="F29" i="70"/>
  <c r="AA29" i="70" s="1"/>
  <c r="C29" i="70"/>
  <c r="Q27" i="70"/>
  <c r="Z27" i="70" s="1"/>
  <c r="J27" i="70"/>
  <c r="AC27" i="70" s="1"/>
  <c r="H27" i="70"/>
  <c r="AB27" i="70" s="1"/>
  <c r="F27" i="70"/>
  <c r="AA27" i="70" s="1"/>
  <c r="C27" i="70"/>
  <c r="Q25" i="70"/>
  <c r="Z25" i="70" s="1"/>
  <c r="J25" i="70"/>
  <c r="W25" i="70" s="1"/>
  <c r="H25" i="70"/>
  <c r="AB25" i="70" s="1"/>
  <c r="F25" i="70"/>
  <c r="AA25" i="70" s="1"/>
  <c r="C25" i="70"/>
  <c r="Q23" i="70"/>
  <c r="Z23" i="70" s="1"/>
  <c r="J23" i="70"/>
  <c r="AC23" i="70" s="1"/>
  <c r="H23" i="70"/>
  <c r="AB23" i="70" s="1"/>
  <c r="F23" i="70"/>
  <c r="AA23" i="70" s="1"/>
  <c r="C23"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W16" i="70"/>
  <c r="Q16" i="70"/>
  <c r="Z16" i="70" s="1"/>
  <c r="J16" i="70"/>
  <c r="AC16" i="70" s="1"/>
  <c r="F16" i="70"/>
  <c r="AA16" i="70" s="1"/>
  <c r="Q15" i="70"/>
  <c r="Z15" i="70" s="1"/>
  <c r="J15" i="70"/>
  <c r="AC15" i="70" s="1"/>
  <c r="H15" i="70"/>
  <c r="AB15" i="70" s="1"/>
  <c r="F15" i="70"/>
  <c r="AA15" i="70" s="1"/>
  <c r="AC14" i="70"/>
  <c r="W14" i="70"/>
  <c r="Q14" i="70"/>
  <c r="Z14" i="70" s="1"/>
  <c r="J14" i="70"/>
  <c r="F14" i="70"/>
  <c r="AA14" i="70" s="1"/>
  <c r="Q13" i="70"/>
  <c r="Z13" i="70" s="1"/>
  <c r="H13" i="70"/>
  <c r="AC12" i="70"/>
  <c r="AB12" i="70"/>
  <c r="AA12" i="70"/>
  <c r="W12" i="70"/>
  <c r="U12" i="70"/>
  <c r="S12" i="70"/>
  <c r="Q12" i="70"/>
  <c r="Z12" i="70" s="1"/>
  <c r="Q11" i="70"/>
  <c r="Z11" i="70" s="1"/>
  <c r="J11" i="70"/>
  <c r="AC11" i="70" s="1"/>
  <c r="H11" i="70"/>
  <c r="AB11" i="70" s="1"/>
  <c r="F11" i="70"/>
  <c r="AA11" i="70" s="1"/>
  <c r="AC10" i="70"/>
  <c r="U10" i="70"/>
  <c r="J10" i="70"/>
  <c r="W10" i="70" s="1"/>
  <c r="H10" i="70"/>
  <c r="AB10" i="70" s="1"/>
  <c r="F10" i="70"/>
  <c r="S10" i="70" s="1"/>
  <c r="I9" i="70"/>
  <c r="E9" i="70"/>
  <c r="C9" i="70"/>
  <c r="C70" i="70" s="1"/>
  <c r="I7" i="70"/>
  <c r="G7" i="70"/>
  <c r="E7" i="70"/>
  <c r="Q73" i="69"/>
  <c r="F62" i="69"/>
  <c r="Q60" i="69"/>
  <c r="D60" i="69"/>
  <c r="Q59" i="69"/>
  <c r="K59" i="69"/>
  <c r="F58" i="69"/>
  <c r="Q52" i="69"/>
  <c r="J50" i="69"/>
  <c r="J51" i="69" s="1"/>
  <c r="M47" i="69"/>
  <c r="K40" i="69"/>
  <c r="F35" i="69"/>
  <c r="F34" i="69"/>
  <c r="C34" i="69" s="1"/>
  <c r="F33" i="69"/>
  <c r="F60" i="69" s="1"/>
  <c r="F32" i="69"/>
  <c r="F59" i="69" s="1"/>
  <c r="F31" i="69"/>
  <c r="F28" i="69"/>
  <c r="C28" i="69"/>
  <c r="F23" i="69"/>
  <c r="D24" i="69" s="1"/>
  <c r="D23" i="69"/>
  <c r="D22" i="69"/>
  <c r="F21" i="69"/>
  <c r="M20" i="69"/>
  <c r="F20" i="69"/>
  <c r="M19" i="69"/>
  <c r="M18" i="69"/>
  <c r="F18" i="69"/>
  <c r="M17" i="69"/>
  <c r="F17" i="69"/>
  <c r="C17" i="69"/>
  <c r="F15" i="69"/>
  <c r="G1" i="69"/>
  <c r="I13" i="3"/>
  <c r="D29" i="46" s="1"/>
  <c r="L47" i="69"/>
  <c r="F8" i="69"/>
  <c r="F36" i="69"/>
  <c r="M22" i="69"/>
  <c r="F9" i="69"/>
  <c r="M28" i="69"/>
  <c r="M24" i="69"/>
  <c r="L48" i="69"/>
  <c r="C115" i="71" l="1"/>
  <c r="D113" i="71"/>
  <c r="F19" i="6"/>
  <c r="AB13" i="70"/>
  <c r="U13" i="70"/>
  <c r="D70" i="70"/>
  <c r="C72" i="70"/>
  <c r="AA10" i="70"/>
  <c r="U11" i="70"/>
  <c r="S14" i="70"/>
  <c r="U15" i="70"/>
  <c r="S16" i="70"/>
  <c r="J13" i="70"/>
  <c r="F13" i="70"/>
  <c r="AB14" i="70"/>
  <c r="U14" i="70"/>
  <c r="AB16" i="70"/>
  <c r="U16" i="70"/>
  <c r="S17" i="70"/>
  <c r="W17" i="70"/>
  <c r="S19" i="70"/>
  <c r="W19" i="70"/>
  <c r="S21" i="70"/>
  <c r="AC21" i="70"/>
  <c r="W23" i="70"/>
  <c r="S25" i="70"/>
  <c r="AC25" i="70"/>
  <c r="S27" i="70"/>
  <c r="W27" i="70"/>
  <c r="S23" i="70"/>
  <c r="S29" i="70"/>
  <c r="W29" i="70"/>
  <c r="S31" i="70"/>
  <c r="W31" i="70"/>
  <c r="U33" i="70"/>
  <c r="S34" i="70"/>
  <c r="W34" i="70"/>
  <c r="U36" i="70"/>
  <c r="S37" i="70"/>
  <c r="W37" i="70"/>
  <c r="U38" i="70"/>
  <c r="AC39" i="70"/>
  <c r="W39" i="70"/>
  <c r="S39" i="70"/>
  <c r="J40" i="70"/>
  <c r="F40" i="70"/>
  <c r="S41" i="70"/>
  <c r="S45" i="70"/>
  <c r="G55" i="70"/>
  <c r="H55" i="70" s="1"/>
  <c r="S11" i="70"/>
  <c r="W11" i="70"/>
  <c r="S15" i="70"/>
  <c r="W15" i="70"/>
  <c r="U17" i="70"/>
  <c r="U19" i="70"/>
  <c r="U21" i="70"/>
  <c r="U23" i="70"/>
  <c r="U25" i="70"/>
  <c r="U27" i="70"/>
  <c r="U29" i="70"/>
  <c r="U31" i="70"/>
  <c r="S33" i="70"/>
  <c r="W33" i="70"/>
  <c r="U34" i="70"/>
  <c r="F36" i="70"/>
  <c r="J36" i="70"/>
  <c r="U37" i="70"/>
  <c r="S38" i="70"/>
  <c r="W38" i="70"/>
  <c r="U39" i="70"/>
  <c r="H40" i="70"/>
  <c r="W41" i="70"/>
  <c r="S43" i="70"/>
  <c r="U44" i="70"/>
  <c r="W45" i="70"/>
  <c r="S47" i="70"/>
  <c r="T48" i="70"/>
  <c r="U41" i="70"/>
  <c r="S42" i="70"/>
  <c r="W42" i="70"/>
  <c r="U43" i="70"/>
  <c r="S44" i="70"/>
  <c r="W44" i="70"/>
  <c r="U45" i="70"/>
  <c r="S46" i="70"/>
  <c r="W46" i="70"/>
  <c r="U47" i="70"/>
  <c r="L59" i="69"/>
  <c r="L58" i="69"/>
  <c r="F50" i="69"/>
  <c r="F63" i="69"/>
  <c r="L56" i="69"/>
  <c r="L57" i="69"/>
  <c r="L60" i="69"/>
  <c r="J59" i="69"/>
  <c r="J57" i="69"/>
  <c r="J55" i="69" s="1"/>
  <c r="J58" i="69" s="1"/>
  <c r="Q51" i="69" s="1"/>
  <c r="I54" i="69"/>
  <c r="P75" i="69"/>
  <c r="P62" i="69"/>
  <c r="J53" i="69"/>
  <c r="J60" i="69"/>
  <c r="Q49" i="69" s="1"/>
  <c r="F61" i="69"/>
  <c r="C61" i="69" s="1"/>
  <c r="M6" i="69"/>
  <c r="M27" i="69"/>
  <c r="M26" i="69"/>
  <c r="F26" i="69"/>
  <c r="M23" i="69"/>
  <c r="F38" i="69"/>
  <c r="F37" i="69"/>
  <c r="J36" i="69"/>
  <c r="F40" i="69"/>
  <c r="M9" i="69"/>
  <c r="M8" i="69"/>
  <c r="F42" i="69"/>
  <c r="F13" i="69"/>
  <c r="F16" i="69"/>
  <c r="J15" i="69"/>
  <c r="AB40" i="70" l="1"/>
  <c r="U40" i="70"/>
  <c r="AC36" i="70"/>
  <c r="W36" i="70"/>
  <c r="AC40" i="70"/>
  <c r="W40" i="70"/>
  <c r="AA13" i="70"/>
  <c r="S13" i="70"/>
  <c r="AA36" i="70"/>
  <c r="S36" i="70"/>
  <c r="AA40" i="70"/>
  <c r="S40" i="70"/>
  <c r="AC13" i="70"/>
  <c r="W13" i="70"/>
  <c r="D72" i="70"/>
  <c r="E70" i="70"/>
  <c r="F65" i="69"/>
  <c r="Q72" i="69"/>
  <c r="C27" i="69"/>
  <c r="F67" i="69"/>
  <c r="F64" i="69"/>
  <c r="L46" i="69"/>
  <c r="Q75" i="69"/>
  <c r="Q62" i="69"/>
  <c r="Q53" i="69"/>
  <c r="F1" i="69"/>
  <c r="Q67" i="69"/>
  <c r="Q58" i="69"/>
  <c r="Q61" i="69"/>
  <c r="Q74" i="69"/>
  <c r="F70" i="70" l="1"/>
  <c r="E72" i="70"/>
  <c r="F72" i="70" l="1"/>
  <c r="G70" i="70"/>
  <c r="H70" i="70" l="1"/>
  <c r="G72" i="70"/>
  <c r="H72" i="70" l="1"/>
  <c r="I70" i="70"/>
  <c r="J70" i="70" l="1"/>
  <c r="I72" i="70"/>
  <c r="J72" i="70" l="1"/>
  <c r="K70" i="70"/>
  <c r="L70" i="70" l="1"/>
  <c r="K72" i="70"/>
  <c r="L72" i="70" l="1"/>
  <c r="M70" i="70"/>
  <c r="N70" i="70" l="1"/>
  <c r="M72" i="70"/>
  <c r="N72" i="70" l="1"/>
  <c r="O70" i="70"/>
  <c r="P70" i="70" l="1"/>
  <c r="P72" i="70" s="1"/>
  <c r="O72" i="70"/>
  <c r="J9" i="70" l="1"/>
  <c r="F9" i="70"/>
  <c r="H9" i="70"/>
  <c r="AA9" i="70" l="1"/>
  <c r="R49" i="70" s="1"/>
  <c r="S9" i="70"/>
  <c r="U9" i="70"/>
  <c r="AB9" i="70"/>
  <c r="T49" i="70" s="1"/>
  <c r="G49" i="70" s="1"/>
  <c r="AC9" i="70"/>
  <c r="V49" i="70" s="1"/>
  <c r="I49" i="70" s="1"/>
  <c r="W9" i="70"/>
  <c r="G54" i="70" l="1"/>
  <c r="H54" i="70" s="1"/>
  <c r="G53" i="70"/>
  <c r="H53" i="70" s="1"/>
  <c r="I53" i="70"/>
  <c r="J53" i="70" s="1"/>
  <c r="R50" i="70"/>
  <c r="E49" i="70"/>
  <c r="E53" i="70" l="1"/>
  <c r="F53" i="70" s="1"/>
  <c r="E54" i="70"/>
  <c r="F54" i="70" s="1"/>
  <c r="I54" i="70"/>
  <c r="J54" i="70" s="1"/>
  <c r="C50" i="70"/>
  <c r="C49" i="70"/>
  <c r="B62" i="70" l="1"/>
  <c r="F62" i="70" s="1"/>
  <c r="B60" i="70"/>
  <c r="F60" i="70" s="1"/>
  <c r="B67" i="70"/>
  <c r="F67" i="70" s="1"/>
  <c r="B65" i="70"/>
  <c r="F65" i="70" s="1"/>
  <c r="B63" i="70"/>
  <c r="F63" i="70" s="1"/>
  <c r="B61" i="70"/>
  <c r="F61" i="70" s="1"/>
  <c r="B58" i="70"/>
  <c r="F58" i="70" s="1"/>
  <c r="B64" i="70"/>
  <c r="F64" i="70" s="1"/>
  <c r="B66" i="70"/>
  <c r="F66" i="70" s="1"/>
  <c r="B59" i="70"/>
  <c r="F59" i="70" s="1"/>
  <c r="F68" i="70" l="1"/>
  <c r="B2" i="70" s="1"/>
  <c r="B4" i="70" l="1"/>
  <c r="B3" i="70"/>
  <c r="B5" i="70"/>
  <c r="M11" i="69" l="1"/>
  <c r="J10" i="69" s="1"/>
  <c r="F11" i="69"/>
  <c r="F24" i="69"/>
  <c r="C52" i="69" l="1"/>
  <c r="C24" i="6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C40" i="68" l="1"/>
  <c r="E38" i="68"/>
  <c r="E39" i="68" s="1"/>
  <c r="E29" i="68"/>
  <c r="E26" i="68"/>
  <c r="AH5" i="59"/>
  <c r="AG5" i="59"/>
  <c r="AE5" i="59"/>
  <c r="AF5" i="59" s="1"/>
  <c r="AD5" i="59"/>
  <c r="Q5" i="59"/>
  <c r="P5" i="59"/>
  <c r="O5" i="59"/>
  <c r="N5" i="59"/>
  <c r="E32" i="68" l="1"/>
  <c r="C41" i="68"/>
  <c r="B2" i="68"/>
  <c r="B3" i="68" s="1"/>
  <c r="AH6" i="59"/>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c r="AD13" i="59"/>
  <c r="Q14" i="59"/>
  <c r="Q15" i="59"/>
  <c r="P14" i="59"/>
  <c r="P15" i="59"/>
  <c r="O14" i="59"/>
  <c r="O15" i="59"/>
  <c r="N14" i="59"/>
  <c r="N15" i="59"/>
  <c r="AH14" i="59"/>
  <c r="AG14" i="59"/>
  <c r="AE14" i="59"/>
  <c r="AF14" i="59"/>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c r="AD18" i="59"/>
  <c r="Q19" i="59"/>
  <c r="P19" i="59"/>
  <c r="O19" i="59"/>
  <c r="N19" i="59"/>
  <c r="M19" i="46"/>
  <c r="J50" i="15"/>
  <c r="J51" i="15"/>
  <c r="D21" i="59"/>
  <c r="AH19" i="59"/>
  <c r="AG19" i="59"/>
  <c r="AE19" i="59"/>
  <c r="AF19" i="59" s="1"/>
  <c r="AD19" i="59"/>
  <c r="AE20" i="59"/>
  <c r="AF20" i="59"/>
  <c r="AG20" i="59"/>
  <c r="AH20" i="59"/>
  <c r="AD20" i="59"/>
  <c r="Q20" i="59"/>
  <c r="P20" i="59"/>
  <c r="O20" i="59"/>
  <c r="N20" i="59"/>
  <c r="N21" i="59"/>
  <c r="Q21" i="59"/>
  <c r="P21" i="59"/>
  <c r="O21" i="59"/>
  <c r="K59" i="15"/>
  <c r="P62" i="15" s="1"/>
  <c r="P75" i="15"/>
  <c r="Q74" i="44"/>
  <c r="Q61" i="44"/>
  <c r="Q60" i="44"/>
  <c r="Q53" i="44"/>
  <c r="J51" i="44"/>
  <c r="J52" i="44"/>
  <c r="M48" i="44"/>
  <c r="A16" i="55"/>
  <c r="A15" i="55"/>
  <c r="B66" i="63" s="1"/>
  <c r="A14" i="55"/>
  <c r="A11" i="55"/>
  <c r="A10" i="55"/>
  <c r="B61" i="63" s="1"/>
  <c r="A9" i="55"/>
  <c r="B60" i="63" s="1"/>
  <c r="A8" i="55"/>
  <c r="A6" i="54"/>
  <c r="A8" i="54"/>
  <c r="A7" i="54"/>
  <c r="B51" i="63" s="1"/>
  <c r="A27" i="51"/>
  <c r="B20" i="63" s="1"/>
  <c r="Q22" i="59"/>
  <c r="O22" i="59"/>
  <c r="N23" i="59"/>
  <c r="O23" i="59"/>
  <c r="P23" i="59"/>
  <c r="Q23" i="59"/>
  <c r="N22" i="59"/>
  <c r="P22" i="59"/>
  <c r="K75" i="9"/>
  <c r="K6" i="4"/>
  <c r="O76" i="9" s="1"/>
  <c r="L76" i="9"/>
  <c r="B22" i="31"/>
  <c r="E15" i="66"/>
  <c r="F15" i="66"/>
  <c r="E16" i="66"/>
  <c r="F16" i="66"/>
  <c r="E17" i="66"/>
  <c r="F17" i="66"/>
  <c r="E18" i="66"/>
  <c r="F18" i="66"/>
  <c r="E19" i="66"/>
  <c r="F19" i="66"/>
  <c r="E20" i="66"/>
  <c r="F20" i="66"/>
  <c r="E21" i="66"/>
  <c r="F21" i="66"/>
  <c r="E22" i="66"/>
  <c r="F22" i="66"/>
  <c r="E23" i="66"/>
  <c r="F23" i="66"/>
  <c r="B3" i="66"/>
  <c r="B20" i="59"/>
  <c r="B19" i="59" s="1"/>
  <c r="B18" i="59" s="1"/>
  <c r="E20" i="59"/>
  <c r="E19" i="59"/>
  <c r="E18" i="59" s="1"/>
  <c r="E17" i="59" s="1"/>
  <c r="E16" i="59" s="1"/>
  <c r="E15" i="59" s="1"/>
  <c r="E14" i="59" s="1"/>
  <c r="E13" i="59" s="1"/>
  <c r="F20" i="59"/>
  <c r="V20" i="59"/>
  <c r="U20" i="59"/>
  <c r="S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H35" i="59"/>
  <c r="AG35" i="59"/>
  <c r="AE35" i="59"/>
  <c r="AF35" i="59"/>
  <c r="AD35" i="59"/>
  <c r="AD36" i="59"/>
  <c r="AE36" i="59"/>
  <c r="AF36" i="59"/>
  <c r="AG36" i="59"/>
  <c r="AH36" i="59"/>
  <c r="S2" i="31"/>
  <c r="M2" i="31"/>
  <c r="N2" i="31"/>
  <c r="O2" i="31"/>
  <c r="P2" i="31"/>
  <c r="Q2" i="31"/>
  <c r="R2" i="31"/>
  <c r="C20" i="59"/>
  <c r="C19" i="59"/>
  <c r="C3" i="65"/>
  <c r="C1" i="65"/>
  <c r="N1" i="65" s="1"/>
  <c r="T20" i="59"/>
  <c r="D20" i="59"/>
  <c r="B76" i="63"/>
  <c r="M5" i="54"/>
  <c r="A23" i="51"/>
  <c r="Y12" i="46"/>
  <c r="AA9" i="46"/>
  <c r="AB9" i="46"/>
  <c r="AB10" i="46" s="1"/>
  <c r="AC9" i="46"/>
  <c r="AD9" i="46"/>
  <c r="AD10" i="46"/>
  <c r="AE9" i="46"/>
  <c r="AF9" i="46"/>
  <c r="AF10" i="46" s="1"/>
  <c r="AG9" i="46"/>
  <c r="AG10" i="46" s="1"/>
  <c r="AH9" i="46"/>
  <c r="AH10" i="46"/>
  <c r="AI9" i="46"/>
  <c r="AJ9" i="46"/>
  <c r="AJ10" i="46" s="1"/>
  <c r="Z9" i="46"/>
  <c r="AI10" i="46"/>
  <c r="AE10" i="46"/>
  <c r="AA10" i="46"/>
  <c r="Y10" i="46"/>
  <c r="AI12" i="46"/>
  <c r="AG12" i="46"/>
  <c r="AE12" i="46"/>
  <c r="AA12" i="46"/>
  <c r="B73" i="63"/>
  <c r="A21" i="64"/>
  <c r="B75" i="63" s="1"/>
  <c r="A27" i="64"/>
  <c r="A15" i="64"/>
  <c r="A14" i="64"/>
  <c r="A11" i="64"/>
  <c r="A3" i="64"/>
  <c r="A45" i="9"/>
  <c r="A44" i="9"/>
  <c r="K39" i="9" s="1"/>
  <c r="C57" i="10"/>
  <c r="A28" i="64" s="1"/>
  <c r="C56" i="10"/>
  <c r="A26" i="51" s="1"/>
  <c r="B19" i="63" s="1"/>
  <c r="C55" i="10"/>
  <c r="C54" i="10"/>
  <c r="B49" i="63"/>
  <c r="B44" i="63"/>
  <c r="B40" i="63"/>
  <c r="B30" i="63"/>
  <c r="B27" i="63"/>
  <c r="B25" i="63"/>
  <c r="A11" i="51"/>
  <c r="B10" i="63" s="1"/>
  <c r="A26" i="64"/>
  <c r="K40" i="9"/>
  <c r="B58" i="63"/>
  <c r="B53"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s="1"/>
  <c r="B40" i="50"/>
  <c r="B3" i="63" s="1"/>
  <c r="B67" i="63"/>
  <c r="I19" i="46"/>
  <c r="Q24" i="59"/>
  <c r="P24" i="59"/>
  <c r="O24" i="59"/>
  <c r="N24" i="59"/>
  <c r="D85" i="59"/>
  <c r="F84" i="59"/>
  <c r="E84" i="59"/>
  <c r="E83" i="59" s="1"/>
  <c r="E82" i="59" s="1"/>
  <c r="C84" i="59"/>
  <c r="D84" i="59"/>
  <c r="B84" i="59"/>
  <c r="F83" i="59"/>
  <c r="F82" i="59" s="1"/>
  <c r="B83" i="59"/>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s="1"/>
  <c r="E64" i="59"/>
  <c r="E63" i="59" s="1"/>
  <c r="P63" i="59"/>
  <c r="C64" i="59"/>
  <c r="B64" i="59"/>
  <c r="D61" i="59"/>
  <c r="Q60" i="59"/>
  <c r="P60" i="59"/>
  <c r="O60" i="59"/>
  <c r="N60" i="59"/>
  <c r="Q59" i="59"/>
  <c r="P59" i="59"/>
  <c r="O59" i="59"/>
  <c r="N59" i="59"/>
  <c r="Q58" i="59"/>
  <c r="P58" i="59"/>
  <c r="O58" i="59"/>
  <c r="N58" i="59"/>
  <c r="Q57" i="59"/>
  <c r="F58" i="59" s="1"/>
  <c r="P57" i="59"/>
  <c r="E58" i="59" s="1"/>
  <c r="E59" i="59" s="1"/>
  <c r="E60" i="59" s="1"/>
  <c r="U60" i="59" s="1"/>
  <c r="O57" i="59"/>
  <c r="C58" i="59"/>
  <c r="D58" i="59" s="1"/>
  <c r="N57" i="59"/>
  <c r="B58" i="59"/>
  <c r="B59" i="59" s="1"/>
  <c r="B60" i="59" s="1"/>
  <c r="S60" i="59" s="1"/>
  <c r="D57" i="59"/>
  <c r="Q56" i="59"/>
  <c r="P56" i="59"/>
  <c r="O56" i="59"/>
  <c r="N56" i="59"/>
  <c r="Q55" i="59"/>
  <c r="P55" i="59"/>
  <c r="O55" i="59"/>
  <c r="N55" i="59"/>
  <c r="Q54" i="59"/>
  <c r="P54" i="59"/>
  <c r="O54" i="59"/>
  <c r="N54" i="59"/>
  <c r="Q53" i="59"/>
  <c r="F54" i="59"/>
  <c r="F55" i="59" s="1"/>
  <c r="F56" i="59" s="1"/>
  <c r="V56" i="59" s="1"/>
  <c r="P53" i="59"/>
  <c r="E54" i="59"/>
  <c r="E55" i="59" s="1"/>
  <c r="E56" i="59" s="1"/>
  <c r="U56" i="59" s="1"/>
  <c r="O53" i="59"/>
  <c r="C54" i="59" s="1"/>
  <c r="D54" i="59" s="1"/>
  <c r="N53" i="59"/>
  <c r="B54" i="59" s="1"/>
  <c r="B55" i="59"/>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c r="D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s="1"/>
  <c r="N45" i="59"/>
  <c r="B46" i="59" s="1"/>
  <c r="D45" i="59"/>
  <c r="T44" i="59"/>
  <c r="Q44" i="59"/>
  <c r="P44" i="59"/>
  <c r="O44" i="59"/>
  <c r="N44" i="59"/>
  <c r="D44" i="59"/>
  <c r="Q43" i="59"/>
  <c r="P43" i="59"/>
  <c r="O43" i="59"/>
  <c r="N43" i="59"/>
  <c r="Q42" i="59"/>
  <c r="P42" i="59"/>
  <c r="O42" i="59"/>
  <c r="N42" i="59"/>
  <c r="Q41" i="59"/>
  <c r="F42" i="59"/>
  <c r="P41" i="59"/>
  <c r="E42" i="59"/>
  <c r="E43" i="59" s="1"/>
  <c r="E44" i="59"/>
  <c r="U44" i="59" s="1"/>
  <c r="O41" i="59"/>
  <c r="C42" i="59" s="1"/>
  <c r="N41" i="59"/>
  <c r="B42" i="59" s="1"/>
  <c r="B43" i="59" s="1"/>
  <c r="B44" i="59" s="1"/>
  <c r="S44" i="59" s="1"/>
  <c r="D41" i="59"/>
  <c r="Q40" i="59"/>
  <c r="P40" i="59"/>
  <c r="O40" i="59"/>
  <c r="N40" i="59"/>
  <c r="Q39" i="59"/>
  <c r="P39" i="59"/>
  <c r="O39" i="59"/>
  <c r="N39" i="59"/>
  <c r="Q38" i="59"/>
  <c r="P38" i="59"/>
  <c r="O38" i="59"/>
  <c r="C39" i="59" s="1"/>
  <c r="N38" i="59"/>
  <c r="Q37" i="59"/>
  <c r="F38" i="59" s="1"/>
  <c r="P37" i="59"/>
  <c r="E38" i="59" s="1"/>
  <c r="E39" i="59"/>
  <c r="E40" i="59" s="1"/>
  <c r="U40" i="59" s="1"/>
  <c r="O37" i="59"/>
  <c r="C38" i="59"/>
  <c r="N37" i="59"/>
  <c r="B38" i="59"/>
  <c r="B39" i="59" s="1"/>
  <c r="B40" i="59"/>
  <c r="S40" i="59" s="1"/>
  <c r="D37" i="59"/>
  <c r="Q36" i="59"/>
  <c r="P36" i="59"/>
  <c r="O36" i="59"/>
  <c r="N36" i="59"/>
  <c r="Q35" i="59"/>
  <c r="AB35" i="59" s="1"/>
  <c r="P35" i="59"/>
  <c r="AA35" i="59" s="1"/>
  <c r="O35" i="59"/>
  <c r="Y35" i="59" s="1"/>
  <c r="Z35" i="59" s="1"/>
  <c r="N35" i="59"/>
  <c r="X35" i="59" s="1"/>
  <c r="Q34" i="59"/>
  <c r="AB34" i="59" s="1"/>
  <c r="P34" i="59"/>
  <c r="AA34" i="59" s="1"/>
  <c r="O34" i="59"/>
  <c r="Y34" i="59" s="1"/>
  <c r="Z34" i="59" s="1"/>
  <c r="N34" i="59"/>
  <c r="X34" i="59" s="1"/>
  <c r="Q33" i="59"/>
  <c r="AB33" i="59" s="1"/>
  <c r="F34" i="59"/>
  <c r="P33" i="59"/>
  <c r="E34" i="59"/>
  <c r="E35" i="59" s="1"/>
  <c r="E36" i="59"/>
  <c r="U36" i="59" s="1"/>
  <c r="O33" i="59"/>
  <c r="N33" i="59"/>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P29" i="59"/>
  <c r="O29" i="59"/>
  <c r="C30" i="59"/>
  <c r="N29" i="59"/>
  <c r="B30" i="59"/>
  <c r="B31" i="59" s="1"/>
  <c r="B32" i="59"/>
  <c r="S32" i="59" s="1"/>
  <c r="D29" i="59"/>
  <c r="Q28" i="59"/>
  <c r="P28" i="59"/>
  <c r="AA28" i="59" s="1"/>
  <c r="O28" i="59"/>
  <c r="N28" i="59"/>
  <c r="Q27" i="59"/>
  <c r="P27" i="59"/>
  <c r="AA27" i="59" s="1"/>
  <c r="O27" i="59"/>
  <c r="N27" i="59"/>
  <c r="Q26" i="59"/>
  <c r="P26" i="59"/>
  <c r="AA26" i="59" s="1"/>
  <c r="O26" i="59"/>
  <c r="N26" i="59"/>
  <c r="Q25" i="59"/>
  <c r="F26" i="59"/>
  <c r="P25" i="59"/>
  <c r="O25" i="59"/>
  <c r="N25" i="59"/>
  <c r="D25" i="59"/>
  <c r="AA3" i="59"/>
  <c r="E26" i="59"/>
  <c r="E27" i="59"/>
  <c r="E28" i="59" s="1"/>
  <c r="U28" i="59" s="1"/>
  <c r="B47" i="59"/>
  <c r="B48" i="59" s="1"/>
  <c r="S48" i="59" s="1"/>
  <c r="S64" i="59"/>
  <c r="F27" i="59"/>
  <c r="F28" i="59"/>
  <c r="V28" i="59" s="1"/>
  <c r="F35" i="59"/>
  <c r="F36" i="59"/>
  <c r="V36" i="59" s="1"/>
  <c r="F39" i="59"/>
  <c r="F40" i="59" s="1"/>
  <c r="V40" i="59" s="1"/>
  <c r="F43" i="59"/>
  <c r="F44" i="59"/>
  <c r="V44" i="59" s="1"/>
  <c r="F51" i="59"/>
  <c r="F52" i="59" s="1"/>
  <c r="V52" i="59" s="1"/>
  <c r="F59" i="59"/>
  <c r="F60" i="59" s="1"/>
  <c r="V60" i="59" s="1"/>
  <c r="D38" i="59"/>
  <c r="C43" i="59"/>
  <c r="D43" i="59"/>
  <c r="D42" i="59"/>
  <c r="C47" i="59"/>
  <c r="C48" i="59" s="1"/>
  <c r="D46" i="59"/>
  <c r="C51" i="59"/>
  <c r="C52" i="59" s="1"/>
  <c r="C55" i="59"/>
  <c r="D55" i="59" s="1"/>
  <c r="C59" i="59"/>
  <c r="C60" i="59" s="1"/>
  <c r="C31" i="59"/>
  <c r="C32" i="59" s="1"/>
  <c r="D30" i="59"/>
  <c r="E62" i="59"/>
  <c r="P61" i="59" s="1"/>
  <c r="T64" i="59"/>
  <c r="O64" i="59"/>
  <c r="D64" i="59"/>
  <c r="C63" i="59"/>
  <c r="P64" i="59"/>
  <c r="U64" i="59"/>
  <c r="Q64" i="59"/>
  <c r="C67" i="59"/>
  <c r="E67" i="59"/>
  <c r="E66" i="59" s="1"/>
  <c r="D68" i="59"/>
  <c r="E71" i="59"/>
  <c r="E70" i="59" s="1"/>
  <c r="D72" i="59"/>
  <c r="C75" i="59"/>
  <c r="E75" i="59"/>
  <c r="E74" i="59" s="1"/>
  <c r="D76" i="59"/>
  <c r="C79" i="59"/>
  <c r="C83" i="59"/>
  <c r="D83" i="59" s="1"/>
  <c r="U16" i="4"/>
  <c r="S16" i="4"/>
  <c r="Q16" i="4"/>
  <c r="O16" i="4"/>
  <c r="M16" i="4"/>
  <c r="K16" i="4"/>
  <c r="P62" i="59"/>
  <c r="C82" i="59"/>
  <c r="D82" i="59" s="1"/>
  <c r="D75" i="59"/>
  <c r="C74" i="59"/>
  <c r="D74" i="59"/>
  <c r="D67" i="59"/>
  <c r="C66" i="59"/>
  <c r="D66" i="59" s="1"/>
  <c r="C62" i="59"/>
  <c r="D62" i="59" s="1"/>
  <c r="O63" i="59"/>
  <c r="D63" i="59"/>
  <c r="D79" i="59"/>
  <c r="C78" i="59"/>
  <c r="D78" i="59" s="1"/>
  <c r="D31" i="59"/>
  <c r="D59" i="59"/>
  <c r="C56" i="59"/>
  <c r="D56" i="59" s="1"/>
  <c r="D51" i="59"/>
  <c r="D47" i="59"/>
  <c r="T56" i="59"/>
  <c r="O62" i="59"/>
  <c r="O6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c r="M54" i="46"/>
  <c r="N54" i="46" s="1"/>
  <c r="K54" i="46"/>
  <c r="M53" i="46"/>
  <c r="N53" i="46" s="1"/>
  <c r="K53" i="46"/>
  <c r="J53" i="46" s="1"/>
  <c r="D53" i="46"/>
  <c r="M52" i="46"/>
  <c r="N52" i="46" s="1"/>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15" i="43"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S31" i="35" s="1"/>
  <c r="D87" i="35"/>
  <c r="E87" i="35"/>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E113" i="33" s="1"/>
  <c r="F113" i="33" s="1"/>
  <c r="F37" i="33"/>
  <c r="AA37" i="33"/>
  <c r="D111" i="33"/>
  <c r="E111" i="33"/>
  <c r="F111" i="33" s="1"/>
  <c r="G111" i="33"/>
  <c r="H111" i="33" s="1"/>
  <c r="I111" i="33" s="1"/>
  <c r="J111" i="33" s="1"/>
  <c r="K111" i="33" s="1"/>
  <c r="L111" i="33" s="1"/>
  <c r="M111" i="33" s="1"/>
  <c r="S515" i="31"/>
  <c r="S517" i="31"/>
  <c r="S519" i="31"/>
  <c r="S521" i="31"/>
  <c r="S523" i="31"/>
  <c r="F41" i="21"/>
  <c r="S41" i="21" s="1"/>
  <c r="J41" i="21"/>
  <c r="AC41" i="21"/>
  <c r="H41" i="21"/>
  <c r="U41" i="21"/>
  <c r="D83" i="39"/>
  <c r="E83" i="39"/>
  <c r="F83" i="39" s="1"/>
  <c r="G83" i="39"/>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AA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H46" i="21" s="1"/>
  <c r="B128" i="21"/>
  <c r="B126" i="21"/>
  <c r="J44" i="21" s="1"/>
  <c r="AC44" i="21" s="1"/>
  <c r="B98" i="21"/>
  <c r="B96" i="21"/>
  <c r="B94" i="21"/>
  <c r="B92" i="21"/>
  <c r="J28" i="21" s="1"/>
  <c r="AC28" i="21" s="1"/>
  <c r="B90" i="21"/>
  <c r="B74" i="21"/>
  <c r="J14" i="21" s="1"/>
  <c r="W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26" i="21"/>
  <c r="W26" i="21" s="1"/>
  <c r="F26" i="21"/>
  <c r="AA26" i="21" s="1"/>
  <c r="AB41" i="21"/>
  <c r="AA41" i="21"/>
  <c r="W41" i="21"/>
  <c r="S10" i="39"/>
  <c r="E103" i="37"/>
  <c r="F103" i="37" s="1"/>
  <c r="W39" i="37"/>
  <c r="F29" i="36"/>
  <c r="AA29" i="36"/>
  <c r="F16" i="36"/>
  <c r="AA16" i="36"/>
  <c r="U22" i="36"/>
  <c r="W23" i="36"/>
  <c r="W22" i="36"/>
  <c r="U26" i="36"/>
  <c r="J33" i="36"/>
  <c r="W33" i="36" s="1"/>
  <c r="AC27" i="35"/>
  <c r="U31" i="35"/>
  <c r="S34" i="35"/>
  <c r="W24" i="35"/>
  <c r="W31" i="35"/>
  <c r="F36" i="34"/>
  <c r="S36" i="34" s="1"/>
  <c r="W9" i="34"/>
  <c r="S34" i="34"/>
  <c r="W39" i="34"/>
  <c r="H39" i="33"/>
  <c r="AB39" i="33"/>
  <c r="U33" i="33"/>
  <c r="W38" i="33"/>
  <c r="S40" i="33"/>
  <c r="S33" i="33"/>
  <c r="W33" i="33"/>
  <c r="U38" i="33"/>
  <c r="S8" i="21"/>
  <c r="AB27" i="35"/>
  <c r="S10" i="40"/>
  <c r="W10" i="40"/>
  <c r="S11" i="40"/>
  <c r="U11" i="40"/>
  <c r="S36" i="40"/>
  <c r="U36" i="40"/>
  <c r="S40" i="39"/>
  <c r="S36" i="39"/>
  <c r="F11" i="21"/>
  <c r="S11" i="21"/>
  <c r="AB36" i="21"/>
  <c r="C29" i="39"/>
  <c r="C23" i="39"/>
  <c r="U36" i="39"/>
  <c r="S42" i="39"/>
  <c r="H32" i="33"/>
  <c r="AB32" i="33"/>
  <c r="H11" i="21"/>
  <c r="U11" i="21"/>
  <c r="J11" i="21"/>
  <c r="W11" i="21"/>
  <c r="F86" i="40"/>
  <c r="G86" i="40" s="1"/>
  <c r="AA12" i="33"/>
  <c r="U9" i="21"/>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W8" i="35"/>
  <c r="AC8" i="35"/>
  <c r="F35" i="37"/>
  <c r="E101" i="37"/>
  <c r="F101" i="37" s="1"/>
  <c r="G101" i="37"/>
  <c r="H101" i="37" s="1"/>
  <c r="I101" i="37" s="1"/>
  <c r="J101" i="37" s="1"/>
  <c r="K101" i="37" s="1"/>
  <c r="L101" i="37" s="1"/>
  <c r="M101" i="37" s="1"/>
  <c r="J34" i="37"/>
  <c r="W34" i="37"/>
  <c r="H43" i="34"/>
  <c r="U42" i="34"/>
  <c r="E114" i="34"/>
  <c r="H36" i="34"/>
  <c r="U36" i="34"/>
  <c r="F37" i="34"/>
  <c r="AA37" i="34"/>
  <c r="F33" i="34"/>
  <c r="S33" i="34"/>
  <c r="F19" i="34"/>
  <c r="AA19" i="34" s="1"/>
  <c r="J10" i="34"/>
  <c r="AC10" i="34" s="1"/>
  <c r="J28" i="34"/>
  <c r="W28" i="34" s="1"/>
  <c r="S38" i="33"/>
  <c r="F36" i="33"/>
  <c r="S36" i="33" s="1"/>
  <c r="F19" i="33"/>
  <c r="S19" i="33" s="1"/>
  <c r="J19" i="33"/>
  <c r="W40" i="33"/>
  <c r="G125" i="21"/>
  <c r="AB30" i="36"/>
  <c r="S22" i="35"/>
  <c r="H29" i="35"/>
  <c r="U34" i="37"/>
  <c r="AA34" i="37"/>
  <c r="AB42" i="34"/>
  <c r="AB40"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c r="J44" i="34"/>
  <c r="AC44" i="34"/>
  <c r="F44" i="34"/>
  <c r="S44" i="34"/>
  <c r="J10" i="35"/>
  <c r="W10" i="35"/>
  <c r="AL5" i="3"/>
  <c r="BQ13" i="3"/>
  <c r="H14" i="21"/>
  <c r="U14" i="21" s="1"/>
  <c r="F28" i="21"/>
  <c r="AA28" i="21" s="1"/>
  <c r="J30" i="21"/>
  <c r="AC30"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W30" i="21"/>
  <c r="S28" i="21"/>
  <c r="AB14" i="21"/>
  <c r="AC14" i="21"/>
  <c r="W42" i="21"/>
  <c r="W31" i="34"/>
  <c r="S46" i="33"/>
  <c r="U36" i="37"/>
  <c r="AC13" i="36"/>
  <c r="AB45" i="33"/>
  <c r="AB31" i="33"/>
  <c r="AA27" i="33"/>
  <c r="AB27" i="33"/>
  <c r="S45"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AC8" i="37"/>
  <c r="S25" i="37"/>
  <c r="AC36" i="34"/>
  <c r="AB8" i="34"/>
  <c r="AC37" i="33"/>
  <c r="AC45" i="33"/>
  <c r="U19" i="21"/>
  <c r="AC33" i="21"/>
  <c r="AA36" i="21"/>
  <c r="S39" i="33"/>
  <c r="F43" i="33"/>
  <c r="AA43" i="33"/>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E94" i="37"/>
  <c r="F94" i="37" s="1"/>
  <c r="F31" i="37"/>
  <c r="S31" i="37"/>
  <c r="G94" i="37"/>
  <c r="H94" i="37" s="1"/>
  <c r="I94" i="37" s="1"/>
  <c r="J94" i="37" s="1"/>
  <c r="K94" i="37" s="1"/>
  <c r="L94" i="37" s="1"/>
  <c r="M94" i="37" s="1"/>
  <c r="H31" i="37"/>
  <c r="AB31" i="37"/>
  <c r="J15" i="37"/>
  <c r="W15" i="37"/>
  <c r="AB10" i="37"/>
  <c r="J11" i="37"/>
  <c r="W11" i="37"/>
  <c r="U31" i="37"/>
  <c r="E90" i="40"/>
  <c r="F90" i="40" s="1"/>
  <c r="F21" i="40"/>
  <c r="S21" i="40"/>
  <c r="W36" i="40"/>
  <c r="U40" i="39"/>
  <c r="J21" i="40"/>
  <c r="AC21" i="40" s="1"/>
  <c r="G90" i="40"/>
  <c r="S27" i="31"/>
  <c r="AZ558" i="3"/>
  <c r="AZ540" i="3"/>
  <c r="AZ560" i="3"/>
  <c r="G483" i="3"/>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AA13" i="40"/>
  <c r="E78" i="40"/>
  <c r="F78" i="40"/>
  <c r="G78" i="40" s="1"/>
  <c r="H78" i="40"/>
  <c r="I78" i="40" s="1"/>
  <c r="J78" i="40" s="1"/>
  <c r="K78" i="40" s="1"/>
  <c r="L78" i="40" s="1"/>
  <c r="M78" i="40" s="1"/>
  <c r="R16" i="4"/>
  <c r="P16" i="4"/>
  <c r="D3" i="35"/>
  <c r="G4" i="4"/>
  <c r="S37" i="34"/>
  <c r="J16" i="35"/>
  <c r="W16" i="35"/>
  <c r="U42" i="21"/>
  <c r="AC26" i="36"/>
  <c r="W25" i="35"/>
  <c r="AZ322" i="3"/>
  <c r="H13" i="39"/>
  <c r="AB13" i="39"/>
  <c r="F13" i="39"/>
  <c r="J13" i="39"/>
  <c r="AC13" i="39" s="1"/>
  <c r="AA36" i="35"/>
  <c r="H11" i="37"/>
  <c r="AB11" i="37"/>
  <c r="W37" i="37"/>
  <c r="AA30" i="33"/>
  <c r="AA36" i="37"/>
  <c r="S42" i="33"/>
  <c r="U32" i="33"/>
  <c r="AB17" i="37"/>
  <c r="AZ488" i="3"/>
  <c r="AZ508" i="3"/>
  <c r="AZ524" i="3"/>
  <c r="AZ546" i="3"/>
  <c r="AA45" i="33"/>
  <c r="AC11" i="36"/>
  <c r="AC10" i="36"/>
  <c r="AB45" i="34"/>
  <c r="AC14" i="37"/>
  <c r="AB35" i="35"/>
  <c r="S25" i="35"/>
  <c r="W44" i="33"/>
  <c r="AC30" i="33"/>
  <c r="W30" i="33"/>
  <c r="AC29" i="37"/>
  <c r="W32" i="36"/>
  <c r="AC32" i="36"/>
  <c r="U28" i="33"/>
  <c r="AB28" i="33"/>
  <c r="J33" i="34"/>
  <c r="AC33" i="34"/>
  <c r="AB36" i="34"/>
  <c r="J40" i="34"/>
  <c r="W40" i="34" s="1"/>
  <c r="F16" i="35"/>
  <c r="AA16" i="35" s="1"/>
  <c r="W42" i="33"/>
  <c r="J35" i="34"/>
  <c r="W35" i="34" s="1"/>
  <c r="F107" i="34"/>
  <c r="G107" i="34" s="1"/>
  <c r="H107" i="34"/>
  <c r="I107" i="34" s="1"/>
  <c r="J107" i="34" s="1"/>
  <c r="K107" i="34" s="1"/>
  <c r="L107" i="34" s="1"/>
  <c r="M107" i="34" s="1"/>
  <c r="S30" i="36"/>
  <c r="H16" i="36"/>
  <c r="AB16" i="36"/>
  <c r="G103" i="37"/>
  <c r="H103" i="37"/>
  <c r="I103" i="37" s="1"/>
  <c r="J103" i="37"/>
  <c r="K103" i="37" s="1"/>
  <c r="L103" i="37" s="1"/>
  <c r="M103" i="37" s="1"/>
  <c r="H35" i="37"/>
  <c r="AB35" i="37" s="1"/>
  <c r="S26"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s="1"/>
  <c r="J32" i="33"/>
  <c r="AC32" i="33" s="1"/>
  <c r="F35" i="33"/>
  <c r="AA35" i="33" s="1"/>
  <c r="AB39" i="34"/>
  <c r="F11" i="34"/>
  <c r="S11" i="34"/>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G92" i="40"/>
  <c r="F23" i="40"/>
  <c r="S23" i="40" s="1"/>
  <c r="AC15" i="40"/>
  <c r="W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s="1"/>
  <c r="K9" i="1"/>
  <c r="M9" i="1" s="1"/>
  <c r="B7" i="1"/>
  <c r="E7" i="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W28"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A18" i="64"/>
  <c r="B74" i="63"/>
  <c r="C53" i="10"/>
  <c r="A25" i="64" s="1"/>
  <c r="A18" i="51"/>
  <c r="B14" i="63" s="1"/>
  <c r="BA16" i="3"/>
  <c r="BA17" i="3"/>
  <c r="AZ17" i="3"/>
  <c r="F3" i="35"/>
  <c r="K1" i="43"/>
  <c r="K1" i="12"/>
  <c r="G1" i="44"/>
  <c r="I4" i="6"/>
  <c r="G3" i="46" s="1"/>
  <c r="AZ15" i="3"/>
  <c r="BK5" i="3"/>
  <c r="BO5" i="3"/>
  <c r="F29" i="6" s="1"/>
  <c r="BP5" i="3"/>
  <c r="BN5" i="3"/>
  <c r="BL18" i="3"/>
  <c r="AZ18" i="3"/>
  <c r="BC5" i="3"/>
  <c r="BD5" i="3"/>
  <c r="BR5" i="3"/>
  <c r="BS5" i="3"/>
  <c r="BQ5" i="3"/>
  <c r="BL16" i="3"/>
  <c r="AZ16" i="3" s="1"/>
  <c r="BM5" i="3"/>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C24" i="46" s="1"/>
  <c r="E58" i="46"/>
  <c r="B56" i="46" s="1"/>
  <c r="A4" i="64"/>
  <c r="A4" i="51"/>
  <c r="B6" i="63" s="1"/>
  <c r="C51" i="10"/>
  <c r="I100" i="46"/>
  <c r="N100" i="46"/>
  <c r="H100" i="46"/>
  <c r="F108" i="46"/>
  <c r="H80"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G1" i="15"/>
  <c r="F66" i="36"/>
  <c r="H18" i="36"/>
  <c r="U16"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AC27" i="40" s="1"/>
  <c r="W37" i="40"/>
  <c r="S1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E5" i="6"/>
  <c r="D12" i="11" s="1"/>
  <c r="C12" i="11" s="1"/>
  <c r="AT6" i="3"/>
  <c r="G29" i="6"/>
  <c r="A9" i="64"/>
  <c r="A9" i="51"/>
  <c r="B9" i="63" s="1"/>
  <c r="A3" i="55"/>
  <c r="B56" i="63" s="1"/>
  <c r="E4" i="4"/>
  <c r="B21" i="55" s="1"/>
  <c r="B72" i="63" s="1"/>
  <c r="C4" i="4"/>
  <c r="B20" i="55" s="1"/>
  <c r="B70" i="63" s="1"/>
  <c r="G66" i="36"/>
  <c r="J18" i="36"/>
  <c r="AE8" i="1"/>
  <c r="AE7" i="1"/>
  <c r="W18" i="36"/>
  <c r="AC18" i="36"/>
  <c r="AG6" i="1"/>
  <c r="L20" i="6"/>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H58" i="46"/>
  <c r="J17" i="46"/>
  <c r="C17" i="46"/>
  <c r="F34" i="46"/>
  <c r="F38" i="46"/>
  <c r="F37" i="46"/>
  <c r="H113" i="46"/>
  <c r="H49" i="46"/>
  <c r="H53" i="46"/>
  <c r="D19" i="59"/>
  <c r="C18" i="59"/>
  <c r="D18" i="59"/>
  <c r="U16" i="59"/>
  <c r="F19" i="59"/>
  <c r="F18" i="59" s="1"/>
  <c r="F17" i="59" s="1"/>
  <c r="F16"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7" i="59"/>
  <c r="C16" i="59"/>
  <c r="C15" i="59" s="1"/>
  <c r="C14" i="59" s="1"/>
  <c r="C13" i="59" s="1"/>
  <c r="B17" i="59"/>
  <c r="B16" i="59" s="1"/>
  <c r="D17" i="59"/>
  <c r="C7" i="46"/>
  <c r="D14" i="59"/>
  <c r="M29" i="69"/>
  <c r="F13" i="67"/>
  <c r="E11" i="67"/>
  <c r="F41" i="15"/>
  <c r="E13" i="67"/>
  <c r="F9" i="15"/>
  <c r="F16" i="15"/>
  <c r="M23" i="15"/>
  <c r="F7" i="15"/>
  <c r="M28" i="15"/>
  <c r="M31" i="44"/>
  <c r="F40" i="44"/>
  <c r="J5" i="65"/>
  <c r="M30" i="44"/>
  <c r="F8" i="44"/>
  <c r="L47" i="15"/>
  <c r="F9" i="67"/>
  <c r="F36" i="15"/>
  <c r="F39" i="44"/>
  <c r="M8" i="44"/>
  <c r="J15" i="15"/>
  <c r="M8" i="15"/>
  <c r="N7" i="65"/>
  <c r="F37" i="15"/>
  <c r="E12" i="67"/>
  <c r="I3" i="65"/>
  <c r="F43" i="44"/>
  <c r="M25" i="44"/>
  <c r="B9" i="67"/>
  <c r="F28" i="44"/>
  <c r="F15" i="44"/>
  <c r="J3" i="65"/>
  <c r="N4" i="65"/>
  <c r="F43" i="15"/>
  <c r="M27" i="15"/>
  <c r="J4" i="65"/>
  <c r="AE6" i="1"/>
  <c r="B8" i="67"/>
  <c r="F14" i="67"/>
  <c r="F12" i="67"/>
  <c r="M11" i="44"/>
  <c r="F38" i="44"/>
  <c r="F10" i="67"/>
  <c r="B12" i="67"/>
  <c r="E8" i="67"/>
  <c r="L48" i="44"/>
  <c r="E9" i="67"/>
  <c r="F43" i="69"/>
  <c r="L48" i="15"/>
  <c r="L49" i="44"/>
  <c r="F45" i="44"/>
  <c r="F18" i="44"/>
  <c r="F11" i="44"/>
  <c r="M29" i="15"/>
  <c r="M22" i="15"/>
  <c r="F8" i="15"/>
  <c r="M6" i="15"/>
  <c r="N6" i="65"/>
  <c r="M24" i="15"/>
  <c r="F8" i="67"/>
  <c r="F9" i="44"/>
  <c r="B13" i="67"/>
  <c r="B11" i="67"/>
  <c r="I5" i="65"/>
  <c r="F11" i="67"/>
  <c r="N5" i="65"/>
  <c r="J36" i="15"/>
  <c r="J7" i="65"/>
  <c r="B10" i="67"/>
  <c r="E14" i="67"/>
  <c r="B14" i="67"/>
  <c r="I4" i="65"/>
  <c r="I7" i="65"/>
  <c r="M28" i="44"/>
  <c r="M26" i="15"/>
  <c r="F26" i="15"/>
  <c r="N3" i="65"/>
  <c r="F46" i="44"/>
  <c r="F42" i="15"/>
  <c r="J6" i="65"/>
  <c r="M10" i="44"/>
  <c r="F7" i="69"/>
  <c r="M9" i="15"/>
  <c r="F13" i="15"/>
  <c r="M26" i="44"/>
  <c r="J17" i="44"/>
  <c r="I6" i="65"/>
  <c r="F40" i="15"/>
  <c r="F6" i="15"/>
  <c r="M29" i="44"/>
  <c r="F38" i="15"/>
  <c r="M24" i="44"/>
  <c r="E10" i="67"/>
  <c r="F10" i="44"/>
  <c r="E20" i="71" l="1"/>
  <c r="F70" i="69"/>
  <c r="F49" i="69"/>
  <c r="C48" i="69" s="1"/>
  <c r="M7" i="69"/>
  <c r="J6" i="69" s="1"/>
  <c r="M6" i="1"/>
  <c r="E8" i="6"/>
  <c r="E58" i="39" s="1"/>
  <c r="G11" i="1"/>
  <c r="L16" i="4"/>
  <c r="N16" i="4"/>
  <c r="B15" i="59"/>
  <c r="B14" i="59" s="1"/>
  <c r="B13" i="59" s="1"/>
  <c r="S16" i="59"/>
  <c r="F15" i="59"/>
  <c r="F14" i="59" s="1"/>
  <c r="F13" i="59" s="1"/>
  <c r="F12" i="59" s="1"/>
  <c r="V16" i="59"/>
  <c r="E29" i="6"/>
  <c r="K15" i="1" s="1"/>
  <c r="U25" i="33"/>
  <c r="S33" i="40"/>
  <c r="AC14" i="40"/>
  <c r="AB14" i="40"/>
  <c r="AB46" i="21"/>
  <c r="U46" i="21"/>
  <c r="C12" i="59"/>
  <c r="D13" i="59"/>
  <c r="F30" i="6"/>
  <c r="D15" i="59"/>
  <c r="D16" i="59"/>
  <c r="T16" i="59"/>
  <c r="M83" i="9"/>
  <c r="N83" i="9" s="1"/>
  <c r="N89" i="9" s="1"/>
  <c r="O89" i="9" s="1"/>
  <c r="M85" i="9"/>
  <c r="N85" i="9" s="1"/>
  <c r="M87" i="9"/>
  <c r="N87" i="9" s="1"/>
  <c r="M88" i="9"/>
  <c r="N88" i="9" s="1"/>
  <c r="M84" i="9"/>
  <c r="N84" i="9" s="1"/>
  <c r="O39" i="9"/>
  <c r="R6" i="54" s="1"/>
  <c r="B50" i="63" s="1"/>
  <c r="A17" i="51"/>
  <c r="B13" i="63" s="1"/>
  <c r="U17" i="40"/>
  <c r="AZ370" i="3"/>
  <c r="AZ356" i="3"/>
  <c r="AZ324" i="3"/>
  <c r="AZ381" i="3"/>
  <c r="AZ358" i="3"/>
  <c r="AZ355" i="3"/>
  <c r="U15" i="37"/>
  <c r="AB15" i="37"/>
  <c r="AB12" i="37"/>
  <c r="U12" i="37"/>
  <c r="AZ484" i="3"/>
  <c r="AB9" i="34"/>
  <c r="U9" i="34"/>
  <c r="AA13" i="33"/>
  <c r="S13" i="33"/>
  <c r="AC29" i="33"/>
  <c r="W29" i="33"/>
  <c r="BL572" i="3"/>
  <c r="AZ572" i="3" s="1"/>
  <c r="F12" i="21"/>
  <c r="J12" i="21"/>
  <c r="H30" i="21"/>
  <c r="F30" i="21"/>
  <c r="J9" i="33"/>
  <c r="H9" i="33"/>
  <c r="F9" i="33"/>
  <c r="AB34" i="35"/>
  <c r="U34" i="35"/>
  <c r="AC36" i="35"/>
  <c r="W36" i="35"/>
  <c r="J9" i="36"/>
  <c r="H9" i="36"/>
  <c r="F9" i="36"/>
  <c r="J24" i="36"/>
  <c r="H24" i="36"/>
  <c r="F24" i="36"/>
  <c r="H34" i="36"/>
  <c r="J34" i="36"/>
  <c r="F34" i="36"/>
  <c r="W31" i="36"/>
  <c r="AC31" i="36"/>
  <c r="AB30" i="37"/>
  <c r="U30" i="37"/>
  <c r="AZ396" i="3"/>
  <c r="AZ412" i="3"/>
  <c r="AZ429" i="3"/>
  <c r="AA23" i="37"/>
  <c r="AC23" i="37"/>
  <c r="AC28" i="33"/>
  <c r="U30" i="33"/>
  <c r="F46" i="21"/>
  <c r="J46" i="21"/>
  <c r="F44" i="21"/>
  <c r="H44" i="21"/>
  <c r="H28" i="21"/>
  <c r="F14" i="21"/>
  <c r="AC35" i="21"/>
  <c r="AA38" i="21"/>
  <c r="H39" i="37"/>
  <c r="F39" i="37"/>
  <c r="H12" i="21"/>
  <c r="AC8" i="21"/>
  <c r="W8" i="21"/>
  <c r="W40" i="21"/>
  <c r="AC40" i="21"/>
  <c r="BA570" i="3"/>
  <c r="AZ570" i="3" s="1"/>
  <c r="BT5" i="3"/>
  <c r="G28" i="6" s="1"/>
  <c r="BI5" i="3"/>
  <c r="BG5" i="3"/>
  <c r="AA10" i="21"/>
  <c r="S10" i="21"/>
  <c r="J26" i="33"/>
  <c r="F26" i="33"/>
  <c r="AC8" i="34"/>
  <c r="W8" i="34"/>
  <c r="S28" i="34"/>
  <c r="AA31" i="35"/>
  <c r="F26" i="37"/>
  <c r="G569" i="3"/>
  <c r="G564" i="3"/>
  <c r="G535" i="3"/>
  <c r="G528" i="3"/>
  <c r="G520" i="3"/>
  <c r="G511" i="3"/>
  <c r="G500" i="3"/>
  <c r="G490" i="3"/>
  <c r="G482" i="3"/>
  <c r="G5" i="3" s="1"/>
  <c r="B3" i="3" s="1"/>
  <c r="AZ389" i="3"/>
  <c r="AZ400" i="3"/>
  <c r="AZ404" i="3"/>
  <c r="AZ416" i="3"/>
  <c r="AZ421" i="3"/>
  <c r="H5" i="3"/>
  <c r="BH5" i="3"/>
  <c r="BF5" i="3"/>
  <c r="AZ445" i="3"/>
  <c r="AZ448" i="3"/>
  <c r="AZ468" i="3"/>
  <c r="AZ472" i="3"/>
  <c r="AZ206" i="3"/>
  <c r="AZ210" i="3"/>
  <c r="AZ222" i="3"/>
  <c r="AZ226" i="3"/>
  <c r="AZ238" i="3"/>
  <c r="AZ242" i="3"/>
  <c r="AZ254" i="3"/>
  <c r="AZ258" i="3"/>
  <c r="AZ269" i="3"/>
  <c r="AZ272" i="3"/>
  <c r="AZ285" i="3"/>
  <c r="AZ288" i="3"/>
  <c r="AZ296" i="3"/>
  <c r="A30" i="51"/>
  <c r="B22" i="63" s="1"/>
  <c r="A30" i="64"/>
  <c r="AZ21" i="3"/>
  <c r="AZ25" i="3"/>
  <c r="AZ30" i="3"/>
  <c r="AZ41" i="3"/>
  <c r="AZ46" i="3"/>
  <c r="AZ57" i="3"/>
  <c r="AZ62" i="3"/>
  <c r="AZ156" i="3"/>
  <c r="AZ159" i="3"/>
  <c r="AZ172" i="3"/>
  <c r="AZ175" i="3"/>
  <c r="AZ60" i="3"/>
  <c r="AZ67" i="3"/>
  <c r="AZ69" i="3"/>
  <c r="AZ73" i="3"/>
  <c r="AZ80" i="3"/>
  <c r="AZ89" i="3"/>
  <c r="AZ100" i="3"/>
  <c r="AZ105" i="3"/>
  <c r="I21" i="57"/>
  <c r="D1" i="57" s="1"/>
  <c r="E10" i="57" s="1"/>
  <c r="T32" i="59"/>
  <c r="D32" i="59"/>
  <c r="D39" i="59"/>
  <c r="C40" i="59"/>
  <c r="T60" i="59"/>
  <c r="D60" i="59"/>
  <c r="T52" i="59"/>
  <c r="D52" i="59"/>
  <c r="T48" i="59"/>
  <c r="D48" i="59"/>
  <c r="G8" i="1"/>
  <c r="B54" i="46"/>
  <c r="C27" i="40"/>
  <c r="S27" i="40"/>
  <c r="S21" i="34"/>
  <c r="S18" i="35"/>
  <c r="C71" i="59"/>
  <c r="Y25" i="59"/>
  <c r="Z25" i="59" s="1"/>
  <c r="C26" i="59"/>
  <c r="X26" i="59"/>
  <c r="X27" i="59"/>
  <c r="X28" i="59"/>
  <c r="AA29" i="59"/>
  <c r="E30" i="59"/>
  <c r="E31" i="59" s="1"/>
  <c r="E32" i="59" s="1"/>
  <c r="U32" i="59" s="1"/>
  <c r="Y33" i="59"/>
  <c r="Z33" i="59" s="1"/>
  <c r="C34" i="59"/>
  <c r="X7" i="59"/>
  <c r="X5" i="59"/>
  <c r="X6" i="59"/>
  <c r="AA7" i="59"/>
  <c r="AA5" i="59"/>
  <c r="F63" i="59"/>
  <c r="X25" i="59"/>
  <c r="B26" i="59"/>
  <c r="B27" i="59" s="1"/>
  <c r="B28" i="59" s="1"/>
  <c r="S28" i="59" s="1"/>
  <c r="X3" i="59"/>
  <c r="AB29" i="59"/>
  <c r="F30" i="59"/>
  <c r="F31" i="59" s="1"/>
  <c r="F32" i="59" s="1"/>
  <c r="V32" i="59" s="1"/>
  <c r="X33" i="59"/>
  <c r="B34" i="59"/>
  <c r="B35" i="59" s="1"/>
  <c r="B36" i="59" s="1"/>
  <c r="S36" i="59" s="1"/>
  <c r="N64" i="59"/>
  <c r="B63" i="59"/>
  <c r="Y24" i="59"/>
  <c r="Z24" i="59" s="1"/>
  <c r="C24" i="59"/>
  <c r="AB24" i="59"/>
  <c r="F24" i="59"/>
  <c r="AB3" i="59"/>
  <c r="Z10" i="46"/>
  <c r="Z12" i="46"/>
  <c r="AC10" i="46"/>
  <c r="AC12" i="46"/>
  <c r="Y11" i="59"/>
  <c r="Z11" i="59" s="1"/>
  <c r="AB11" i="59"/>
  <c r="AA25" i="59"/>
  <c r="AB25" i="59"/>
  <c r="Y26" i="59"/>
  <c r="Z26" i="59" s="1"/>
  <c r="AB26" i="59"/>
  <c r="Y27" i="59"/>
  <c r="Z27" i="59" s="1"/>
  <c r="AB27" i="59"/>
  <c r="Y28" i="59"/>
  <c r="Z28" i="59" s="1"/>
  <c r="AB28" i="59"/>
  <c r="X29" i="59"/>
  <c r="Y29" i="59"/>
  <c r="Z29" i="59" s="1"/>
  <c r="X30" i="59"/>
  <c r="AA30" i="59"/>
  <c r="X31" i="59"/>
  <c r="AA31" i="59"/>
  <c r="X32" i="59"/>
  <c r="AA32" i="59"/>
  <c r="AA33" i="59"/>
  <c r="Y5" i="59"/>
  <c r="Z5" i="59" s="1"/>
  <c r="Y7" i="59"/>
  <c r="Z7" i="59" s="1"/>
  <c r="AB7" i="59"/>
  <c r="AB5" i="59"/>
  <c r="X24" i="59"/>
  <c r="B24" i="59"/>
  <c r="X22" i="59"/>
  <c r="AA23" i="59"/>
  <c r="X23" i="59"/>
  <c r="AB22" i="59"/>
  <c r="A28" i="51"/>
  <c r="AA21" i="59"/>
  <c r="X21" i="59"/>
  <c r="Y20" i="59"/>
  <c r="Z20" i="59" s="1"/>
  <c r="AB20" i="59"/>
  <c r="Y19" i="59"/>
  <c r="Z19" i="59" s="1"/>
  <c r="AB19" i="59"/>
  <c r="X18" i="59"/>
  <c r="Y18" i="59"/>
  <c r="Z18" i="59" s="1"/>
  <c r="AA18" i="59"/>
  <c r="AB18" i="59"/>
  <c r="Y16" i="59"/>
  <c r="Z16" i="59" s="1"/>
  <c r="AB16" i="59"/>
  <c r="X14" i="59"/>
  <c r="Y14" i="59"/>
  <c r="Z14" i="59" s="1"/>
  <c r="AA14" i="59"/>
  <c r="AB14" i="59"/>
  <c r="X12" i="59"/>
  <c r="AA12" i="59"/>
  <c r="X13" i="59"/>
  <c r="AA13" i="59"/>
  <c r="AB9" i="59"/>
  <c r="AB6" i="59"/>
  <c r="Y8" i="59"/>
  <c r="Z8" i="59" s="1"/>
  <c r="AA9" i="59"/>
  <c r="AA6" i="59"/>
  <c r="AA11" i="59"/>
  <c r="X10" i="59"/>
  <c r="AA24" i="59"/>
  <c r="K76" i="9"/>
  <c r="E24" i="59"/>
  <c r="AA22" i="59"/>
  <c r="AB23" i="59"/>
  <c r="Y23" i="59"/>
  <c r="Z23" i="59" s="1"/>
  <c r="Y22" i="59"/>
  <c r="Z22" i="59" s="1"/>
  <c r="Y21" i="59"/>
  <c r="Z21" i="59" s="1"/>
  <c r="AB21" i="59"/>
  <c r="X20" i="59"/>
  <c r="AA20" i="59"/>
  <c r="X19" i="59"/>
  <c r="AA19" i="59"/>
  <c r="X17" i="59"/>
  <c r="Y17" i="59"/>
  <c r="Z17" i="59" s="1"/>
  <c r="AA17" i="59"/>
  <c r="AB17" i="59"/>
  <c r="X16" i="59"/>
  <c r="AA16" i="59"/>
  <c r="X15" i="59"/>
  <c r="Y15" i="59"/>
  <c r="Z15" i="59" s="1"/>
  <c r="AA15" i="59"/>
  <c r="AB15" i="59"/>
  <c r="Y12" i="59"/>
  <c r="Z12" i="59" s="1"/>
  <c r="AB12" i="59"/>
  <c r="Y13" i="59"/>
  <c r="Z13" i="59" s="1"/>
  <c r="AB13" i="59"/>
  <c r="AB8" i="59"/>
  <c r="AB10" i="59"/>
  <c r="Y9" i="59"/>
  <c r="Z9" i="59" s="1"/>
  <c r="Y10" i="59"/>
  <c r="Z10" i="59" s="1"/>
  <c r="Y6" i="59"/>
  <c r="Z6" i="59" s="1"/>
  <c r="AA10" i="59"/>
  <c r="AA8" i="59"/>
  <c r="X9" i="59"/>
  <c r="X8" i="59"/>
  <c r="X11" i="59"/>
  <c r="G13" i="1"/>
  <c r="D96" i="9"/>
  <c r="B41" i="1"/>
  <c r="M18" i="15" s="1"/>
  <c r="AP7" i="1"/>
  <c r="G9" i="1"/>
  <c r="G10" i="1"/>
  <c r="Q16" i="1"/>
  <c r="F21" i="43" s="1"/>
  <c r="C6" i="43"/>
  <c r="D70" i="39"/>
  <c r="C72" i="39"/>
  <c r="C67" i="40"/>
  <c r="D65" i="40"/>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O9" i="1"/>
  <c r="P9" i="1" s="1"/>
  <c r="J109" i="46"/>
  <c r="C102" i="46"/>
  <c r="S3" i="46" s="1"/>
  <c r="J105" i="46"/>
  <c r="J104" i="46"/>
  <c r="M104" i="46"/>
  <c r="D21" i="12"/>
  <c r="C21" i="12" s="1"/>
  <c r="O8" i="1"/>
  <c r="P8" i="1" s="1"/>
  <c r="O6" i="1"/>
  <c r="BL5" i="3"/>
  <c r="AZ13" i="3"/>
  <c r="E14" i="6"/>
  <c r="E13" i="6"/>
  <c r="E10" i="6"/>
  <c r="M105" i="46"/>
  <c r="M102" i="46"/>
  <c r="M106" i="46"/>
  <c r="M109" i="46"/>
  <c r="M103" i="46"/>
  <c r="AP16" i="1"/>
  <c r="F22" i="11" s="1"/>
  <c r="K77" i="9"/>
  <c r="K79" i="9" s="1"/>
  <c r="K81" i="9" s="1"/>
  <c r="E12" i="52"/>
  <c r="B15" i="52"/>
  <c r="F31" i="15"/>
  <c r="F33" i="44"/>
  <c r="E12" i="59"/>
  <c r="B12" i="59"/>
  <c r="B4" i="52"/>
  <c r="B7" i="52"/>
  <c r="E14" i="52"/>
  <c r="E6" i="52"/>
  <c r="E11" i="52"/>
  <c r="E9" i="52"/>
  <c r="E7" i="52"/>
  <c r="B9" i="52"/>
  <c r="E4" i="52"/>
  <c r="E13" i="52"/>
  <c r="B8" i="52"/>
  <c r="E10" i="52"/>
  <c r="B10" i="52"/>
  <c r="B6" i="52"/>
  <c r="B5" i="52"/>
  <c r="B11" i="52"/>
  <c r="B12" i="52"/>
  <c r="E8" i="52"/>
  <c r="B14" i="52"/>
  <c r="E5" i="52"/>
  <c r="Y3" i="59"/>
  <c r="Z3" i="59" s="1"/>
  <c r="D12" i="59"/>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F41" i="69"/>
  <c r="C16" i="15"/>
  <c r="C18" i="44"/>
  <c r="C16" i="69"/>
  <c r="E3" i="65"/>
  <c r="E2" i="65"/>
  <c r="F68" i="69" l="1"/>
  <c r="P28" i="71"/>
  <c r="N28" i="71"/>
  <c r="M28" i="71"/>
  <c r="G20" i="71" s="1"/>
  <c r="O28" i="71"/>
  <c r="F27" i="6"/>
  <c r="F31" i="6" s="1"/>
  <c r="C60" i="69"/>
  <c r="C47" i="69"/>
  <c r="J18" i="69"/>
  <c r="J5" i="69"/>
  <c r="C5" i="46"/>
  <c r="E53" i="40"/>
  <c r="M20" i="44"/>
  <c r="K17" i="4"/>
  <c r="A22" i="51" s="1"/>
  <c r="B16" i="63" s="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411" i="3"/>
  <c r="E471" i="3"/>
  <c r="E408" i="3"/>
  <c r="E238" i="3"/>
  <c r="E44" i="3"/>
  <c r="E492" i="3"/>
  <c r="E295" i="3"/>
  <c r="E89" i="3"/>
  <c r="E201" i="3"/>
  <c r="E170" i="3"/>
  <c r="E274" i="3"/>
  <c r="E32" i="3"/>
  <c r="E547" i="3"/>
  <c r="E426" i="3"/>
  <c r="E60" i="3"/>
  <c r="Q6" i="3"/>
  <c r="E178" i="3"/>
  <c r="J6" i="3"/>
  <c r="E48" i="3"/>
  <c r="E438" i="3"/>
  <c r="E455" i="3"/>
  <c r="E363" i="3"/>
  <c r="E113" i="3"/>
  <c r="E79" i="3"/>
  <c r="E425" i="3"/>
  <c r="E401" i="3"/>
  <c r="E257" i="3"/>
  <c r="E272" i="3"/>
  <c r="E166" i="3"/>
  <c r="E102" i="3"/>
  <c r="O6" i="3"/>
  <c r="E451" i="3"/>
  <c r="E556" i="3"/>
  <c r="U6" i="3"/>
  <c r="E258" i="3"/>
  <c r="E207" i="3"/>
  <c r="E479" i="3"/>
  <c r="E449" i="3"/>
  <c r="E43" i="3"/>
  <c r="E196" i="3"/>
  <c r="E276" i="3"/>
  <c r="E259" i="3"/>
  <c r="E370" i="3"/>
  <c r="E308" i="3"/>
  <c r="E526" i="3"/>
  <c r="E466" i="3"/>
  <c r="E65" i="3"/>
  <c r="E51" i="3"/>
  <c r="E513" i="3"/>
  <c r="E198" i="3"/>
  <c r="E345" i="3"/>
  <c r="E281" i="3"/>
  <c r="E72" i="3"/>
  <c r="E290" i="3"/>
  <c r="E440" i="3"/>
  <c r="E413" i="3"/>
  <c r="AO6" i="3"/>
  <c r="E475" i="3"/>
  <c r="E241" i="3"/>
  <c r="E69" i="3"/>
  <c r="E446" i="3"/>
  <c r="E152" i="3"/>
  <c r="E437" i="3"/>
  <c r="E46" i="3"/>
  <c r="E221" i="3"/>
  <c r="E457" i="3"/>
  <c r="E31" i="3"/>
  <c r="X6" i="3"/>
  <c r="AA6" i="3"/>
  <c r="E127" i="3"/>
  <c r="E299" i="3"/>
  <c r="E327" i="3"/>
  <c r="E103" i="3"/>
  <c r="E200" i="3"/>
  <c r="E454" i="3"/>
  <c r="E230" i="3"/>
  <c r="E250" i="3"/>
  <c r="E41" i="3"/>
  <c r="E418" i="3"/>
  <c r="E92" i="3"/>
  <c r="E414" i="3"/>
  <c r="E202" i="3"/>
  <c r="E149" i="3"/>
  <c r="E249" i="3"/>
  <c r="E549" i="3"/>
  <c r="E460" i="3"/>
  <c r="I3" i="6"/>
  <c r="E463" i="3"/>
  <c r="E292" i="3"/>
  <c r="E447" i="3"/>
  <c r="E33" i="3"/>
  <c r="E75" i="3"/>
  <c r="E119" i="3"/>
  <c r="E97" i="3"/>
  <c r="AE6" i="3"/>
  <c r="E289" i="3"/>
  <c r="E136" i="3"/>
  <c r="E568" i="3"/>
  <c r="E85" i="3"/>
  <c r="E539" i="3"/>
  <c r="E332" i="3"/>
  <c r="E245" i="3"/>
  <c r="E139" i="3"/>
  <c r="E52" i="3"/>
  <c r="E445" i="3"/>
  <c r="E25" i="3"/>
  <c r="E204" i="3"/>
  <c r="E291" i="3"/>
  <c r="E305" i="3"/>
  <c r="E527" i="3"/>
  <c r="E73" i="3"/>
  <c r="E365" i="3"/>
  <c r="E126" i="3"/>
  <c r="E248" i="3"/>
  <c r="E211" i="3"/>
  <c r="E336" i="3"/>
  <c r="Y6" i="3"/>
  <c r="AR6" i="3"/>
  <c r="E416" i="3"/>
  <c r="E477" i="3"/>
  <c r="E96" i="3"/>
  <c r="E540" i="3"/>
  <c r="E160" i="3"/>
  <c r="E134" i="3"/>
  <c r="E242" i="3"/>
  <c r="AI6" i="3"/>
  <c r="E133" i="3"/>
  <c r="E239"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M6" i="3"/>
  <c r="E421" i="3"/>
  <c r="E206" i="3"/>
  <c r="E132" i="3"/>
  <c r="E333" i="3"/>
  <c r="E91" i="3"/>
  <c r="E115" i="3"/>
  <c r="E359" i="3"/>
  <c r="E195" i="3"/>
  <c r="E391" i="3"/>
  <c r="E321" i="3"/>
  <c r="AD6" i="3"/>
  <c r="E266" i="3"/>
  <c r="E215" i="3"/>
  <c r="I6" i="3"/>
  <c r="E548" i="3"/>
  <c r="Z6" i="3"/>
  <c r="E62" i="3"/>
  <c r="E389" i="3"/>
  <c r="AK6" i="3"/>
  <c r="E14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78" i="3"/>
  <c r="E534" i="3"/>
  <c r="E387" i="3"/>
  <c r="R6" i="3"/>
  <c r="E125" i="3"/>
  <c r="AH6" i="3"/>
  <c r="E140" i="3"/>
  <c r="E84" i="3"/>
  <c r="E142" i="3"/>
  <c r="E431" i="3"/>
  <c r="E70" i="3"/>
  <c r="E38" i="3"/>
  <c r="E151" i="3"/>
  <c r="E313" i="3"/>
  <c r="E53" i="3"/>
  <c r="E405" i="3"/>
  <c r="W6" i="3"/>
  <c r="H6" i="3" s="1"/>
  <c r="E293" i="3"/>
  <c r="E283" i="3"/>
  <c r="E535" i="3"/>
  <c r="E156" i="3"/>
  <c r="E381" i="3"/>
  <c r="E49" i="3"/>
  <c r="E427" i="3"/>
  <c r="E193" i="3"/>
  <c r="E104" i="3"/>
  <c r="E94" i="3"/>
  <c r="E376" i="3"/>
  <c r="E294" i="3"/>
  <c r="E21" i="3"/>
  <c r="E64" i="3"/>
  <c r="P6" i="3"/>
  <c r="E343" i="3"/>
  <c r="AP6" i="3"/>
  <c r="E410" i="3"/>
  <c r="E468" i="3"/>
  <c r="E109" i="3"/>
  <c r="E185" i="3"/>
  <c r="E148" i="3"/>
  <c r="E27" i="3"/>
  <c r="E412" i="3"/>
  <c r="E469" i="3"/>
  <c r="E28" i="6"/>
  <c r="G30" i="6"/>
  <c r="G31" i="6" s="1"/>
  <c r="U24" i="59"/>
  <c r="E23" i="59"/>
  <c r="E22" i="59" s="1"/>
  <c r="B21" i="63"/>
  <c r="N4" i="63"/>
  <c r="F62" i="59"/>
  <c r="Q63" i="59"/>
  <c r="D34" i="59"/>
  <c r="C35" i="59"/>
  <c r="T40" i="59"/>
  <c r="D40" i="59"/>
  <c r="E500" i="3"/>
  <c r="E520" i="3"/>
  <c r="E569" i="3"/>
  <c r="AA26" i="33"/>
  <c r="S26" i="33"/>
  <c r="U12" i="21"/>
  <c r="AB12" i="21"/>
  <c r="AB39" i="37"/>
  <c r="U39" i="37"/>
  <c r="AB28" i="21"/>
  <c r="U28" i="21"/>
  <c r="AA44" i="21"/>
  <c r="S44" i="21"/>
  <c r="S46" i="21"/>
  <c r="AA46" i="21"/>
  <c r="S34" i="36"/>
  <c r="AA34" i="36"/>
  <c r="AB34" i="36"/>
  <c r="U34" i="36"/>
  <c r="U24" i="36"/>
  <c r="AB24" i="36"/>
  <c r="AA9" i="36"/>
  <c r="S9" i="36"/>
  <c r="AC9" i="36"/>
  <c r="W9" i="36"/>
  <c r="U9" i="33"/>
  <c r="AB9" i="33"/>
  <c r="S30" i="21"/>
  <c r="AA30" i="21"/>
  <c r="AC12" i="21"/>
  <c r="W12" i="21"/>
  <c r="E11" i="59"/>
  <c r="E10" i="59" s="1"/>
  <c r="E9" i="59" s="1"/>
  <c r="E8" i="59" s="1"/>
  <c r="U12" i="59"/>
  <c r="B11" i="59"/>
  <c r="B10" i="59" s="1"/>
  <c r="B9" i="59" s="1"/>
  <c r="B8" i="59" s="1"/>
  <c r="S12" i="59"/>
  <c r="AZ5" i="3"/>
  <c r="S24" i="59"/>
  <c r="B23" i="59"/>
  <c r="B22" i="59" s="1"/>
  <c r="F23" i="59"/>
  <c r="F22" i="59" s="1"/>
  <c r="V24" i="59"/>
  <c r="D24" i="59"/>
  <c r="T24" i="59"/>
  <c r="C23" i="59"/>
  <c r="B62" i="59"/>
  <c r="N63" i="59"/>
  <c r="D26" i="59"/>
  <c r="C27" i="59"/>
  <c r="D71" i="59"/>
  <c r="C70" i="59"/>
  <c r="D70" i="59" s="1"/>
  <c r="E511" i="3"/>
  <c r="E528" i="3"/>
  <c r="E564" i="3"/>
  <c r="AA26" i="37"/>
  <c r="S26" i="37"/>
  <c r="AC26" i="33"/>
  <c r="W26" i="33"/>
  <c r="S39" i="37"/>
  <c r="AA39" i="37"/>
  <c r="AA14" i="21"/>
  <c r="S14" i="21"/>
  <c r="AB44" i="21"/>
  <c r="U44" i="21"/>
  <c r="W46" i="21"/>
  <c r="AC46" i="21"/>
  <c r="AC34" i="36"/>
  <c r="W34" i="36"/>
  <c r="AA24" i="36"/>
  <c r="S24" i="36"/>
  <c r="AC24" i="36"/>
  <c r="W24" i="36"/>
  <c r="AB9" i="36"/>
  <c r="U9" i="36"/>
  <c r="AA9" i="33"/>
  <c r="S9" i="33"/>
  <c r="AC9" i="33"/>
  <c r="W9" i="33"/>
  <c r="AB30" i="21"/>
  <c r="U30" i="21"/>
  <c r="AA12" i="21"/>
  <c r="S12" i="21"/>
  <c r="C11" i="59"/>
  <c r="T12" i="59"/>
  <c r="BA5" i="3"/>
  <c r="E27" i="6" s="1"/>
  <c r="F11" i="59"/>
  <c r="F10" i="59" s="1"/>
  <c r="F9" i="59" s="1"/>
  <c r="F8" i="59" s="1"/>
  <c r="V12" i="59"/>
  <c r="F66" i="9"/>
  <c r="P72" i="9" s="1"/>
  <c r="F32" i="15"/>
  <c r="F59" i="15" s="1"/>
  <c r="F28" i="15"/>
  <c r="C28" i="15" s="1"/>
  <c r="F34" i="44"/>
  <c r="F72" i="9"/>
  <c r="F70" i="9"/>
  <c r="F30" i="44"/>
  <c r="C30" i="44" s="1"/>
  <c r="F24" i="43"/>
  <c r="C24" i="43" s="1"/>
  <c r="D86" i="9"/>
  <c r="F71" i="9"/>
  <c r="F29" i="12"/>
  <c r="G16" i="1"/>
  <c r="H12" i="39" s="1"/>
  <c r="AB12" i="39" s="1"/>
  <c r="C25" i="43"/>
  <c r="I109" i="46"/>
  <c r="I106" i="46"/>
  <c r="C23" i="46"/>
  <c r="S2" i="46"/>
  <c r="S7" i="46"/>
  <c r="S4" i="46"/>
  <c r="C21" i="46"/>
  <c r="S6" i="46"/>
  <c r="S5" i="46"/>
  <c r="B40" i="1"/>
  <c r="F20" i="43" s="1"/>
  <c r="F33" i="12"/>
  <c r="C34" i="12" s="1"/>
  <c r="D33" i="12" s="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0" i="40"/>
  <c r="E65" i="39"/>
  <c r="E3" i="6"/>
  <c r="D16" i="43" s="1"/>
  <c r="AY6" i="3"/>
  <c r="P6" i="1"/>
  <c r="E61" i="40"/>
  <c r="E66" i="39"/>
  <c r="M19" i="44"/>
  <c r="C19" i="46"/>
  <c r="F17" i="11"/>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E41" i="71" l="1"/>
  <c r="C41" i="71" s="1"/>
  <c r="C20" i="71"/>
  <c r="J24" i="69"/>
  <c r="J26" i="69"/>
  <c r="J29" i="69" s="1"/>
  <c r="C59" i="69"/>
  <c r="C58" i="69" s="1"/>
  <c r="C65" i="69"/>
  <c r="C10" i="59"/>
  <c r="D11" i="59"/>
  <c r="D27" i="59"/>
  <c r="C28" i="59"/>
  <c r="D23" i="59"/>
  <c r="C22" i="59"/>
  <c r="D22" i="59" s="1"/>
  <c r="Q62" i="59"/>
  <c r="Q61" i="59"/>
  <c r="E30" i="6"/>
  <c r="E31" i="6" s="1"/>
  <c r="K14" i="1"/>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F7" i="59"/>
  <c r="F6" i="59" s="1"/>
  <c r="F5" i="59" s="1"/>
  <c r="V8" i="59"/>
  <c r="N62" i="59"/>
  <c r="N61" i="59"/>
  <c r="B7" i="59"/>
  <c r="B6" i="59" s="1"/>
  <c r="B5" i="59" s="1"/>
  <c r="S8" i="59"/>
  <c r="E7" i="59"/>
  <c r="E6" i="59" s="1"/>
  <c r="E5" i="59" s="1"/>
  <c r="U8" i="59"/>
  <c r="D35" i="59"/>
  <c r="C36" i="59"/>
  <c r="W7" i="37"/>
  <c r="C16" i="43"/>
  <c r="J12" i="40"/>
  <c r="AC12" i="40" s="1"/>
  <c r="U12" i="39"/>
  <c r="J12" i="39"/>
  <c r="AC12" i="39" s="1"/>
  <c r="H12" i="40"/>
  <c r="U12" i="40" s="1"/>
  <c r="F12" i="39"/>
  <c r="S12" i="39" s="1"/>
  <c r="F12" i="40"/>
  <c r="S12" i="40" s="1"/>
  <c r="AB7" i="37"/>
  <c r="T42" i="37" s="1"/>
  <c r="G42" i="37" s="1"/>
  <c r="D20" i="43"/>
  <c r="E72" i="39"/>
  <c r="F70" i="39"/>
  <c r="F65" i="40"/>
  <c r="E67" i="40"/>
  <c r="C115" i="46"/>
  <c r="D113" i="46" s="1"/>
  <c r="W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T13" i="46" s="1"/>
  <c r="V13" i="46" s="1"/>
  <c r="C15" i="12"/>
  <c r="W12" i="39"/>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F24" i="15"/>
  <c r="C24" i="15" s="1"/>
  <c r="F26" i="12"/>
  <c r="F26" i="44"/>
  <c r="C26" i="44" s="1"/>
  <c r="C34" i="46" l="1"/>
  <c r="C5" i="72"/>
  <c r="C8" i="72" s="1"/>
  <c r="T15" i="46"/>
  <c r="V15" i="46" s="1"/>
  <c r="T16" i="46"/>
  <c r="V16" i="46" s="1"/>
  <c r="T15" i="71"/>
  <c r="V15" i="71" s="1"/>
  <c r="T13" i="71"/>
  <c r="V13" i="71" s="1"/>
  <c r="C29" i="71"/>
  <c r="T7" i="71"/>
  <c r="V7" i="71" s="1"/>
  <c r="T2" i="71"/>
  <c r="V2" i="71" s="1"/>
  <c r="T10" i="71"/>
  <c r="V10" i="71" s="1"/>
  <c r="T8" i="71"/>
  <c r="V8" i="71" s="1"/>
  <c r="T5" i="71"/>
  <c r="V5" i="71" s="1"/>
  <c r="C37" i="71"/>
  <c r="C35" i="71"/>
  <c r="C33" i="71"/>
  <c r="T14" i="71"/>
  <c r="V14" i="71" s="1"/>
  <c r="T12" i="71"/>
  <c r="V12" i="71" s="1"/>
  <c r="T11" i="71"/>
  <c r="V11" i="71" s="1"/>
  <c r="T4" i="71"/>
  <c r="V4" i="71" s="1"/>
  <c r="T16" i="71"/>
  <c r="V16" i="71" s="1"/>
  <c r="T9" i="71"/>
  <c r="V9" i="71" s="1"/>
  <c r="T6" i="71"/>
  <c r="V6" i="71" s="1"/>
  <c r="T3" i="71"/>
  <c r="V3" i="71" s="1"/>
  <c r="C36" i="71"/>
  <c r="C34" i="71"/>
  <c r="C39" i="71"/>
  <c r="C38" i="71"/>
  <c r="T12" i="46"/>
  <c r="V12" i="46" s="1"/>
  <c r="T11" i="46"/>
  <c r="V11" i="46" s="1"/>
  <c r="T9" i="46"/>
  <c r="V9" i="46" s="1"/>
  <c r="C36" i="46"/>
  <c r="G36" i="46" s="1"/>
  <c r="I36" i="46" s="1"/>
  <c r="T6" i="46"/>
  <c r="V6" i="46" s="1"/>
  <c r="T2" i="46"/>
  <c r="V2" i="46" s="1"/>
  <c r="C37" i="46"/>
  <c r="G37" i="46" s="1"/>
  <c r="I37" i="46" s="1"/>
  <c r="T5" i="46"/>
  <c r="V5" i="46" s="1"/>
  <c r="C35" i="46"/>
  <c r="G35" i="46" s="1"/>
  <c r="I35" i="46" s="1"/>
  <c r="T8" i="46"/>
  <c r="V8" i="46" s="1"/>
  <c r="T3" i="46"/>
  <c r="V3" i="46" s="1"/>
  <c r="T4" i="46"/>
  <c r="V4" i="46" s="1"/>
  <c r="C39" i="46"/>
  <c r="E39" i="46" s="1"/>
  <c r="AB12" i="40"/>
  <c r="T36" i="59"/>
  <c r="D36" i="59"/>
  <c r="C9" i="59"/>
  <c r="D10" i="59"/>
  <c r="S6" i="1"/>
  <c r="M19" i="6"/>
  <c r="K27" i="6"/>
  <c r="M14" i="1"/>
  <c r="K16" i="1"/>
  <c r="C11" i="11" s="1"/>
  <c r="C10" i="11" s="1"/>
  <c r="T28" i="59"/>
  <c r="D28" i="59"/>
  <c r="AA12" i="40"/>
  <c r="G70" i="39"/>
  <c r="F72" i="39"/>
  <c r="F67" i="40"/>
  <c r="G65" i="40"/>
  <c r="T10" i="46"/>
  <c r="V10" i="46" s="1"/>
  <c r="C33" i="46"/>
  <c r="E33" i="46" s="1"/>
  <c r="C29" i="46"/>
  <c r="C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6" i="46"/>
  <c r="G39" i="46"/>
  <c r="I39" i="46" s="1"/>
  <c r="C7" i="66"/>
  <c r="C6" i="66"/>
  <c r="C8" i="66"/>
  <c r="C22" i="4"/>
  <c r="D21" i="6"/>
  <c r="D10" i="6"/>
  <c r="H21" i="6"/>
  <c r="D6" i="6"/>
  <c r="D14" i="6"/>
  <c r="D20" i="6"/>
  <c r="H23" i="6"/>
  <c r="F45" i="9"/>
  <c r="E68" i="39"/>
  <c r="D26" i="6"/>
  <c r="D22" i="6"/>
  <c r="D12" i="6"/>
  <c r="H25" i="6"/>
  <c r="D5" i="6"/>
  <c r="H22" i="6"/>
  <c r="H26" i="6"/>
  <c r="F46" i="9"/>
  <c r="E63" i="40"/>
  <c r="D25" i="6"/>
  <c r="H24" i="6"/>
  <c r="D28" i="6"/>
  <c r="E45" i="9"/>
  <c r="K38" i="9"/>
  <c r="C14" i="66" s="1"/>
  <c r="B2" i="66" s="1"/>
  <c r="H20" i="6"/>
  <c r="D29" i="6"/>
  <c r="E44" i="9"/>
  <c r="D19" i="6"/>
  <c r="D13" i="6"/>
  <c r="D23" i="6"/>
  <c r="D8" i="6"/>
  <c r="F44" i="9"/>
  <c r="D24" i="6"/>
  <c r="R24" i="6" s="1"/>
  <c r="D11" i="6"/>
  <c r="D9" i="6"/>
  <c r="D15" i="6"/>
  <c r="E46" i="9"/>
  <c r="D13" i="11"/>
  <c r="C13" i="11" s="1"/>
  <c r="D22" i="12"/>
  <c r="C22" i="12" s="1"/>
  <c r="C20" i="12" s="1"/>
  <c r="D19" i="12"/>
  <c r="C19" i="12" s="1"/>
  <c r="C16" i="12"/>
  <c r="C65" i="15"/>
  <c r="C59" i="15"/>
  <c r="C27" i="12"/>
  <c r="D26" i="12" s="1"/>
  <c r="C32" i="12" s="1"/>
  <c r="D30" i="12" s="1"/>
  <c r="J26" i="15"/>
  <c r="J29" i="15" s="1"/>
  <c r="J24" i="15"/>
  <c r="C38" i="15"/>
  <c r="Q58" i="44"/>
  <c r="Q67" i="44"/>
  <c r="Q49" i="44"/>
  <c r="Q55" i="44" s="1"/>
  <c r="C17" i="15"/>
  <c r="F7" i="67"/>
  <c r="C19" i="44"/>
  <c r="E30" i="46" l="1"/>
  <c r="C10" i="72"/>
  <c r="C12" i="72" s="1"/>
  <c r="E39" i="71"/>
  <c r="G39" i="71"/>
  <c r="I39" i="71" s="1"/>
  <c r="E36" i="71"/>
  <c r="G36" i="71"/>
  <c r="I36" i="71" s="1"/>
  <c r="E35" i="71"/>
  <c r="G35" i="71"/>
  <c r="I35" i="71" s="1"/>
  <c r="E38" i="71"/>
  <c r="G38" i="71"/>
  <c r="I38" i="71" s="1"/>
  <c r="E34" i="71"/>
  <c r="G34" i="71"/>
  <c r="I34" i="71" s="1"/>
  <c r="E33" i="71"/>
  <c r="G33" i="71"/>
  <c r="I33" i="71" s="1"/>
  <c r="E37" i="71"/>
  <c r="G37" i="71"/>
  <c r="I37" i="71" s="1"/>
  <c r="C30" i="71"/>
  <c r="E30" i="71" s="1"/>
  <c r="E29" i="71"/>
  <c r="E37" i="46"/>
  <c r="E35" i="46"/>
  <c r="C18" i="11"/>
  <c r="C17" i="11"/>
  <c r="C19" i="11" s="1"/>
  <c r="C20" i="11" s="1"/>
  <c r="C21" i="11" s="1"/>
  <c r="C22" i="11" s="1"/>
  <c r="C23" i="11" s="1"/>
  <c r="B2" i="11" s="1"/>
  <c r="S16" i="1"/>
  <c r="T8" i="1" s="1"/>
  <c r="C8" i="59"/>
  <c r="D9" i="59"/>
  <c r="O14" i="1"/>
  <c r="O16" i="1" s="1"/>
  <c r="M16" i="1"/>
  <c r="T13" i="1"/>
  <c r="T10" i="1"/>
  <c r="T6" i="1"/>
  <c r="T9" i="1"/>
  <c r="T11" i="1"/>
  <c r="T7" i="1"/>
  <c r="T12" i="1"/>
  <c r="M27" i="6"/>
  <c r="I19" i="6"/>
  <c r="G33" i="46"/>
  <c r="I33" i="46" s="1"/>
  <c r="F7" i="34"/>
  <c r="S7" i="34" s="1"/>
  <c r="H65" i="40"/>
  <c r="G67" i="40"/>
  <c r="H70" i="39"/>
  <c r="G72" i="39"/>
  <c r="E29" i="46"/>
  <c r="H7" i="34"/>
  <c r="U7" i="34" s="1"/>
  <c r="C27" i="46"/>
  <c r="S7" i="21"/>
  <c r="AA7" i="21"/>
  <c r="R48" i="21" s="1"/>
  <c r="AA7" i="33"/>
  <c r="R48" i="33" s="1"/>
  <c r="S7" i="33"/>
  <c r="AA7" i="34"/>
  <c r="R49" i="34" s="1"/>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C14" i="69"/>
  <c r="C16" i="44"/>
  <c r="B7" i="67"/>
  <c r="C14" i="15"/>
  <c r="E7" i="67"/>
  <c r="C26" i="71" l="1"/>
  <c r="B2" i="71" s="1"/>
  <c r="D4" i="71" s="1"/>
  <c r="C27" i="71"/>
  <c r="C26" i="46"/>
  <c r="B2" i="46" s="1"/>
  <c r="D4" i="46" s="1"/>
  <c r="C15" i="69"/>
  <c r="C18" i="69"/>
  <c r="P14" i="1"/>
  <c r="P16" i="1" s="1"/>
  <c r="C13" i="12" s="1"/>
  <c r="C14" i="12" s="1"/>
  <c r="C17" i="44"/>
  <c r="C20" i="44"/>
  <c r="C18" i="15"/>
  <c r="C15" i="15"/>
  <c r="C13" i="43"/>
  <c r="L16" i="1"/>
  <c r="N16" i="1"/>
  <c r="F22" i="43" s="1"/>
  <c r="C7" i="59"/>
  <c r="T8" i="59"/>
  <c r="D8" i="59"/>
  <c r="B3" i="11"/>
  <c r="B5" i="11"/>
  <c r="B4" i="11"/>
  <c r="I27" i="6"/>
  <c r="H19" i="6"/>
  <c r="S19" i="6"/>
  <c r="S27" i="6" s="1"/>
  <c r="T16" i="1"/>
  <c r="C17" i="12"/>
  <c r="AB7" i="34"/>
  <c r="T49" i="34" s="1"/>
  <c r="G49" i="34" s="1"/>
  <c r="I70" i="39"/>
  <c r="H72" i="39"/>
  <c r="H67" i="40"/>
  <c r="I65" i="40"/>
  <c r="G52" i="33"/>
  <c r="H52" i="33" s="1"/>
  <c r="G53" i="33"/>
  <c r="H53" i="33" s="1"/>
  <c r="R50" i="34"/>
  <c r="E49" i="34"/>
  <c r="R49" i="33"/>
  <c r="E48" i="33"/>
  <c r="R49" i="21"/>
  <c r="E48" i="21"/>
  <c r="W7" i="34"/>
  <c r="AC7" i="34"/>
  <c r="V49" i="34" s="1"/>
  <c r="I49" i="34" s="1"/>
  <c r="G53" i="34"/>
  <c r="H53" i="34" s="1"/>
  <c r="D31" i="6"/>
  <c r="E3" i="67"/>
  <c r="B2" i="67"/>
  <c r="B3" i="46"/>
  <c r="C19" i="9"/>
  <c r="C20" i="9"/>
  <c r="F37" i="44"/>
  <c r="F35" i="15"/>
  <c r="M23" i="44"/>
  <c r="M21" i="15"/>
  <c r="B3" i="71" l="1"/>
  <c r="B4" i="71"/>
  <c r="B4" i="46"/>
  <c r="L43" i="9"/>
  <c r="C19" i="69"/>
  <c r="C20" i="69" s="1"/>
  <c r="C26" i="69" s="1"/>
  <c r="C21" i="44"/>
  <c r="C22" i="44" s="1"/>
  <c r="C28" i="44" s="1"/>
  <c r="C19" i="15"/>
  <c r="C20" i="15" s="1"/>
  <c r="C23" i="15" s="1"/>
  <c r="C18" i="12"/>
  <c r="D7" i="59"/>
  <c r="C6" i="59"/>
  <c r="R19" i="6"/>
  <c r="H27" i="6"/>
  <c r="C17" i="43"/>
  <c r="C14" i="43"/>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9"/>
  <c r="C23" i="69" l="1"/>
  <c r="C29" i="69" s="1"/>
  <c r="C25" i="44"/>
  <c r="C31" i="44" s="1"/>
  <c r="C15" i="44" s="1"/>
  <c r="Q72" i="44" s="1"/>
  <c r="R27" i="6"/>
  <c r="R6" i="1"/>
  <c r="C18" i="43"/>
  <c r="C35" i="44"/>
  <c r="C26" i="15"/>
  <c r="C29" i="15" s="1"/>
  <c r="C23" i="12"/>
  <c r="C19" i="43"/>
  <c r="C20" i="43" s="1"/>
  <c r="C5" i="59"/>
  <c r="D6" i="59"/>
  <c r="K70" i="39"/>
  <c r="J72" i="39"/>
  <c r="K65" i="40"/>
  <c r="J67" i="40"/>
  <c r="C33" i="44"/>
  <c r="M21" i="69"/>
  <c r="J20" i="69" l="1"/>
  <c r="R16" i="1"/>
  <c r="C36" i="69"/>
  <c r="J14" i="69"/>
  <c r="Q50" i="69"/>
  <c r="J19" i="69"/>
  <c r="C56" i="69"/>
  <c r="C63" i="69" s="1"/>
  <c r="C13" i="69"/>
  <c r="C43" i="44"/>
  <c r="J21" i="44"/>
  <c r="J19" i="44" s="1"/>
  <c r="C38" i="44"/>
  <c r="J16" i="44"/>
  <c r="J24" i="44" s="1"/>
  <c r="Q51" i="44"/>
  <c r="C39" i="44"/>
  <c r="Q50" i="15"/>
  <c r="C13" i="15"/>
  <c r="C37" i="15" s="1"/>
  <c r="C56" i="15"/>
  <c r="C63" i="15" s="1"/>
  <c r="J19" i="15"/>
  <c r="J17" i="15" s="1"/>
  <c r="C36" i="15"/>
  <c r="J14" i="15"/>
  <c r="J22" i="15" s="1"/>
  <c r="J59" i="15"/>
  <c r="J60" i="15" s="1"/>
  <c r="Q49" i="15" s="1"/>
  <c r="C33" i="15"/>
  <c r="C31" i="15" s="1"/>
  <c r="C21" i="43"/>
  <c r="C23" i="43" s="1"/>
  <c r="C27" i="43" s="1"/>
  <c r="B2" i="43" s="1"/>
  <c r="D5" i="59"/>
  <c r="M20" i="46"/>
  <c r="C55" i="15"/>
  <c r="C64" i="15" s="1"/>
  <c r="K67" i="40"/>
  <c r="L65" i="40"/>
  <c r="K72" i="39"/>
  <c r="L70" i="39"/>
  <c r="C60" i="15"/>
  <c r="C58" i="15" s="1"/>
  <c r="J17" i="69" l="1"/>
  <c r="C55" i="69"/>
  <c r="C64" i="69" s="1"/>
  <c r="C57" i="69" s="1"/>
  <c r="C66" i="69" s="1"/>
  <c r="C67" i="69" s="1"/>
  <c r="C70" i="69" s="1"/>
  <c r="Q71" i="69"/>
  <c r="C37" i="69"/>
  <c r="J35" i="69"/>
  <c r="J22" i="69"/>
  <c r="J13" i="69"/>
  <c r="J23" i="69" s="1"/>
  <c r="C30" i="15"/>
  <c r="C39" i="15" s="1"/>
  <c r="C40" i="15" s="1"/>
  <c r="Q57" i="15" s="1"/>
  <c r="J15" i="44"/>
  <c r="J25" i="44" s="1"/>
  <c r="J18" i="44" s="1"/>
  <c r="J27" i="44" s="1"/>
  <c r="C32" i="44"/>
  <c r="C42" i="44" s="1"/>
  <c r="C44" i="44" s="1"/>
  <c r="C45" i="44" s="1"/>
  <c r="J13" i="15"/>
  <c r="J23" i="15" s="1"/>
  <c r="J16" i="15" s="1"/>
  <c r="J25" i="15" s="1"/>
  <c r="J35" i="15"/>
  <c r="J39" i="15" s="1"/>
  <c r="J40" i="15" s="1"/>
  <c r="Q71" i="15"/>
  <c r="B5" i="43"/>
  <c r="B3" i="43"/>
  <c r="B4" i="43"/>
  <c r="L67" i="40"/>
  <c r="M65" i="40"/>
  <c r="M70" i="39"/>
  <c r="L72" i="39"/>
  <c r="C57" i="15"/>
  <c r="C66" i="15" s="1"/>
  <c r="C67" i="15" s="1"/>
  <c r="C70" i="15" s="1"/>
  <c r="L51" i="15"/>
  <c r="J16" i="69" l="1"/>
  <c r="J25" i="69" s="1"/>
  <c r="L57" i="15"/>
  <c r="L60" i="15" s="1"/>
  <c r="Q67" i="15" s="1"/>
  <c r="Q68" i="15"/>
  <c r="Q70" i="15"/>
  <c r="Q69" i="15" s="1"/>
  <c r="Q71" i="44"/>
  <c r="Q70" i="44" s="1"/>
  <c r="L52" i="44"/>
  <c r="B2" i="44"/>
  <c r="B3" i="44" s="1"/>
  <c r="L46" i="15"/>
  <c r="B2" i="15" s="1"/>
  <c r="B3" i="15" s="1"/>
  <c r="Q66" i="15"/>
  <c r="Q48" i="15"/>
  <c r="Q54" i="15" s="1"/>
  <c r="C43" i="15"/>
  <c r="J42" i="15"/>
  <c r="J43" i="15" s="1"/>
  <c r="M72" i="39"/>
  <c r="N70" i="39"/>
  <c r="N72" i="39" s="1"/>
  <c r="J9" i="39" s="1"/>
  <c r="F9" i="39"/>
  <c r="H9" i="39"/>
  <c r="N65" i="40"/>
  <c r="N67" i="40" s="1"/>
  <c r="M67" i="40"/>
  <c r="H9" i="40" s="1"/>
  <c r="C46" i="15"/>
  <c r="Q58" i="15" l="1"/>
  <c r="Q63" i="15" s="1"/>
  <c r="B5" i="44"/>
  <c r="B4" i="44"/>
  <c r="Q76" i="15"/>
  <c r="L58" i="44"/>
  <c r="L61" i="44" s="1"/>
  <c r="Q69" i="44"/>
  <c r="J9" i="40"/>
  <c r="AC9" i="40" s="1"/>
  <c r="V44" i="40" s="1"/>
  <c r="I44" i="40" s="1"/>
  <c r="U9" i="40"/>
  <c r="AB9" i="40"/>
  <c r="T44" i="40" s="1"/>
  <c r="G44" i="40" s="1"/>
  <c r="G48" i="40" s="1"/>
  <c r="H48" i="40" s="1"/>
  <c r="U9" i="39"/>
  <c r="AB9" i="39"/>
  <c r="T49" i="39" s="1"/>
  <c r="G49" i="39" s="1"/>
  <c r="W9" i="39"/>
  <c r="AC9" i="39"/>
  <c r="V49" i="39" s="1"/>
  <c r="I49" i="39" s="1"/>
  <c r="F9" i="40"/>
  <c r="S9" i="39"/>
  <c r="AA9" i="39"/>
  <c r="R49" i="39" s="1"/>
  <c r="L47" i="44" l="1"/>
  <c r="Q68" i="44"/>
  <c r="Q77" i="44" s="1"/>
  <c r="Q59" i="44"/>
  <c r="Q64" i="44" s="1"/>
  <c r="W9" i="40"/>
  <c r="E49" i="39"/>
  <c r="R50" i="39"/>
  <c r="I53" i="39"/>
  <c r="J53" i="39" s="1"/>
  <c r="G53" i="39"/>
  <c r="H53" i="39" s="1"/>
  <c r="G54" i="39"/>
  <c r="H54" i="39" s="1"/>
  <c r="AA9" i="40"/>
  <c r="R44" i="40" s="1"/>
  <c r="S9" i="40"/>
  <c r="G49" i="40"/>
  <c r="H49" i="40" s="1"/>
  <c r="I48" i="40"/>
  <c r="J48" i="40" s="1"/>
  <c r="R45" i="40" l="1"/>
  <c r="E44" i="40"/>
  <c r="E54" i="39"/>
  <c r="F54" i="39" s="1"/>
  <c r="E53" i="39"/>
  <c r="F53" i="39" s="1"/>
  <c r="I54" i="39"/>
  <c r="J54" i="39" s="1"/>
  <c r="C49" i="39"/>
  <c r="C50" i="39"/>
  <c r="B59" i="39" l="1"/>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61" i="40" l="1"/>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 r="F6" i="69"/>
  <c r="C6" i="69" l="1"/>
  <c r="C33" i="69" s="1"/>
  <c r="C10" i="69" l="1"/>
  <c r="C5" i="69" s="1"/>
  <c r="C38" i="69" s="1"/>
  <c r="C32" i="69"/>
  <c r="C31" i="69" s="1"/>
  <c r="C30" i="69" l="1"/>
  <c r="C39" i="69" s="1"/>
  <c r="J39" i="69" s="1"/>
  <c r="J40" i="69" s="1"/>
  <c r="Q70" i="69" l="1"/>
  <c r="Q69" i="69" s="1"/>
  <c r="C40" i="69"/>
  <c r="B2" i="69" s="1"/>
  <c r="B3" i="69" s="1"/>
  <c r="C8" i="12" s="1"/>
  <c r="C10" i="12" s="1"/>
  <c r="C6" i="12" s="1"/>
  <c r="L51" i="69"/>
  <c r="Q68" i="69" l="1"/>
  <c r="Q57" i="69"/>
  <c r="Q63" i="69" s="1"/>
  <c r="C43" i="69"/>
  <c r="J42" i="69"/>
  <c r="J43" i="69" s="1"/>
  <c r="Q48" i="69"/>
  <c r="Q54" i="69" s="1"/>
  <c r="C46" i="69"/>
  <c r="Q66" i="69"/>
  <c r="Q76" i="69" s="1"/>
  <c r="C24" i="12"/>
  <c r="C29" i="12"/>
  <c r="C35" i="12" l="1"/>
  <c r="C33" i="12" s="1"/>
  <c r="C28" i="12"/>
  <c r="C26" i="12" s="1"/>
  <c r="C31" i="12" s="1"/>
  <c r="C30" i="12" s="1"/>
  <c r="C36" i="12" l="1"/>
  <c r="B2" i="12" s="1"/>
  <c r="B4" i="12" s="1"/>
  <c r="D19" i="9"/>
  <c r="D21" i="9"/>
  <c r="B3" i="12" l="1"/>
  <c r="B5" i="12"/>
  <c r="G19" i="9"/>
  <c r="G22" i="9" s="1"/>
  <c r="L44" i="9"/>
  <c r="D22" i="9"/>
  <c r="G21" i="9"/>
  <c r="C32" i="9"/>
  <c r="D20" i="9"/>
  <c r="N43" i="9" l="1"/>
  <c r="G20" i="9"/>
  <c r="C42" i="9"/>
  <c r="O43" i="9"/>
  <c r="C35" i="9"/>
  <c r="F42" i="9" s="1"/>
  <c r="C33" i="9"/>
  <c r="O38" i="9"/>
  <c r="C34" i="9"/>
  <c r="E42" i="9" l="1"/>
  <c r="P5" i="54" s="1"/>
  <c r="B46" i="63" s="1"/>
  <c r="M38" i="9"/>
  <c r="K27" i="9" s="1"/>
  <c r="D42" i="9"/>
  <c r="Q5" i="54" s="1"/>
  <c r="B47" i="63" s="1"/>
  <c r="N38" i="9"/>
  <c r="K28" i="9" s="1"/>
  <c r="K26" i="9"/>
  <c r="K25" i="9"/>
  <c r="D14" i="66"/>
  <c r="R5" i="54"/>
  <c r="B48" i="63" s="1"/>
  <c r="N68" i="9"/>
  <c r="D63" i="9"/>
  <c r="E14" i="66" l="1"/>
  <c r="F14" i="66"/>
  <c r="B5" i="66"/>
  <c r="C111" i="9"/>
  <c r="C104" i="9" s="1"/>
  <c r="D70" i="9"/>
  <c r="D73" i="9"/>
  <c r="N73" i="9" s="1"/>
  <c r="C103" i="9"/>
  <c r="C82" i="9"/>
  <c r="C81" i="9" s="1"/>
  <c r="C85" i="9" s="1"/>
  <c r="C86" i="9" s="1"/>
  <c r="D72" i="9" s="1"/>
  <c r="D71" i="9"/>
  <c r="D66" i="9" s="1"/>
  <c r="N72" i="9" s="1"/>
  <c r="C96" i="9"/>
  <c r="C91" i="9" s="1"/>
  <c r="C90" i="9"/>
  <c r="C113" i="9" l="1"/>
  <c r="C114" i="9" s="1"/>
  <c r="E114" i="9" s="1"/>
  <c r="E115" i="9" s="1"/>
  <c r="C97" i="9"/>
  <c r="D5" i="66"/>
  <c r="C5" i="66"/>
  <c r="C115" i="9" l="1"/>
  <c r="D76" i="9" s="1"/>
  <c r="D74" i="9" s="1"/>
  <c r="N74" i="9" s="1"/>
  <c r="O77" i="9" s="1"/>
  <c r="O78" i="9" s="1"/>
  <c r="C98" i="9"/>
  <c r="E98" i="9" s="1"/>
  <c r="E99" i="9" s="1"/>
  <c r="O79" i="9" l="1"/>
  <c r="O81" i="9" s="1"/>
  <c r="C99" i="9"/>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A04D846-B8D1-4E0F-92C3-CAC5F5D4CDF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E32A345-0316-4235-9EE4-C3D771A8D5DD}">
      <text>
        <r>
          <rPr>
            <sz val="11"/>
            <color indexed="81"/>
            <rFont val="宋体"/>
            <family val="3"/>
            <charset val="134"/>
          </rPr>
          <t xml:space="preserve">需注意，采用基准地价系数修正法中土地结果计算时，土地报酬率应采用该方法中报酬率（还原率）。
</t>
        </r>
      </text>
    </comment>
    <comment ref="L55" authorId="0" shapeId="0" xr:uid="{3569D5EC-C811-4AD3-AFBB-CF62A170CCF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0CA0EA8-83F6-43E0-A675-D9FDC310912A}">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F779BF71-9FFE-40EE-88F3-73AA2A13810F}">
      <text>
        <r>
          <rPr>
            <b/>
            <sz val="9"/>
            <color indexed="81"/>
            <rFont val="宋体"/>
            <family val="3"/>
            <charset val="134"/>
          </rPr>
          <t>对应区片地价表</t>
        </r>
        <r>
          <rPr>
            <sz val="9"/>
            <color indexed="81"/>
            <rFont val="宋体"/>
            <family val="3"/>
            <charset val="134"/>
          </rPr>
          <t xml:space="preserve">
</t>
        </r>
      </text>
    </comment>
    <comment ref="Y9" authorId="1" shapeId="0" xr:uid="{A9B8D044-DEE4-4E98-B9A5-F850C74F464D}">
      <text>
        <r>
          <rPr>
            <sz val="11"/>
            <color indexed="81"/>
            <rFont val="宋体"/>
            <family val="3"/>
            <charset val="134"/>
          </rPr>
          <t xml:space="preserve">录入层数，将对应的结果录入至左侧相应层的楼层修正系数单元格中
</t>
        </r>
      </text>
    </comment>
    <comment ref="Z9" authorId="0" shapeId="0" xr:uid="{2AA099B7-16FA-4726-A7BD-23A21AABC1BC}">
      <text>
        <r>
          <rPr>
            <b/>
            <sz val="9"/>
            <color indexed="81"/>
            <rFont val="宋体"/>
            <family val="3"/>
            <charset val="134"/>
          </rPr>
          <t xml:space="preserve">所在楼层
</t>
        </r>
        <r>
          <rPr>
            <sz val="9"/>
            <color indexed="81"/>
            <rFont val="宋体"/>
            <family val="3"/>
            <charset val="134"/>
          </rPr>
          <t xml:space="preserve">
</t>
        </r>
      </text>
    </comment>
    <comment ref="AA9" authorId="0" shapeId="0" xr:uid="{1B2FBA66-9320-4E9A-9168-09889D83C8A7}">
      <text>
        <r>
          <rPr>
            <b/>
            <sz val="9"/>
            <color indexed="81"/>
            <rFont val="宋体"/>
            <family val="3"/>
            <charset val="134"/>
          </rPr>
          <t xml:space="preserve">所在楼层
</t>
        </r>
        <r>
          <rPr>
            <sz val="9"/>
            <color indexed="81"/>
            <rFont val="宋体"/>
            <family val="3"/>
            <charset val="134"/>
          </rPr>
          <t xml:space="preserve">
</t>
        </r>
      </text>
    </comment>
    <comment ref="AB9" authorId="0" shapeId="0" xr:uid="{F943A0E8-FAF0-4D07-8B88-8DB95FE92654}">
      <text>
        <r>
          <rPr>
            <b/>
            <sz val="9"/>
            <color indexed="81"/>
            <rFont val="宋体"/>
            <family val="3"/>
            <charset val="134"/>
          </rPr>
          <t xml:space="preserve">所在楼层
</t>
        </r>
        <r>
          <rPr>
            <sz val="9"/>
            <color indexed="81"/>
            <rFont val="宋体"/>
            <family val="3"/>
            <charset val="134"/>
          </rPr>
          <t xml:space="preserve">
</t>
        </r>
      </text>
    </comment>
    <comment ref="AC9" authorId="0" shapeId="0" xr:uid="{596048CA-27D5-41B1-B2D6-08188A7B2760}">
      <text>
        <r>
          <rPr>
            <b/>
            <sz val="9"/>
            <color indexed="81"/>
            <rFont val="宋体"/>
            <family val="3"/>
            <charset val="134"/>
          </rPr>
          <t xml:space="preserve">所在楼层
</t>
        </r>
        <r>
          <rPr>
            <sz val="9"/>
            <color indexed="81"/>
            <rFont val="宋体"/>
            <family val="3"/>
            <charset val="134"/>
          </rPr>
          <t xml:space="preserve">
</t>
        </r>
      </text>
    </comment>
    <comment ref="AD9" authorId="0" shapeId="0" xr:uid="{E5153323-2BF2-45B6-BA03-B3BC0D59DE4C}">
      <text>
        <r>
          <rPr>
            <b/>
            <sz val="9"/>
            <color indexed="81"/>
            <rFont val="宋体"/>
            <family val="3"/>
            <charset val="134"/>
          </rPr>
          <t xml:space="preserve">所在楼层
</t>
        </r>
        <r>
          <rPr>
            <sz val="9"/>
            <color indexed="81"/>
            <rFont val="宋体"/>
            <family val="3"/>
            <charset val="134"/>
          </rPr>
          <t xml:space="preserve">
</t>
        </r>
      </text>
    </comment>
    <comment ref="AE9" authorId="0" shapeId="0" xr:uid="{1BEF3CA2-1D55-4F93-ADC7-A78D0146F1E7}">
      <text>
        <r>
          <rPr>
            <b/>
            <sz val="9"/>
            <color indexed="81"/>
            <rFont val="宋体"/>
            <family val="3"/>
            <charset val="134"/>
          </rPr>
          <t xml:space="preserve">所在楼层
</t>
        </r>
        <r>
          <rPr>
            <sz val="9"/>
            <color indexed="81"/>
            <rFont val="宋体"/>
            <family val="3"/>
            <charset val="134"/>
          </rPr>
          <t xml:space="preserve">
</t>
        </r>
      </text>
    </comment>
    <comment ref="AF9" authorId="0" shapeId="0" xr:uid="{6FE680B2-CB59-4D73-AB13-A88F17B66867}">
      <text>
        <r>
          <rPr>
            <b/>
            <sz val="9"/>
            <color indexed="81"/>
            <rFont val="宋体"/>
            <family val="3"/>
            <charset val="134"/>
          </rPr>
          <t xml:space="preserve">所在楼层
</t>
        </r>
        <r>
          <rPr>
            <sz val="9"/>
            <color indexed="81"/>
            <rFont val="宋体"/>
            <family val="3"/>
            <charset val="134"/>
          </rPr>
          <t xml:space="preserve">
</t>
        </r>
      </text>
    </comment>
    <comment ref="AG9" authorId="0" shapeId="0" xr:uid="{59F96E03-E45D-41DC-9BC1-2A89553F7C34}">
      <text>
        <r>
          <rPr>
            <b/>
            <sz val="9"/>
            <color indexed="81"/>
            <rFont val="宋体"/>
            <family val="3"/>
            <charset val="134"/>
          </rPr>
          <t xml:space="preserve">所在楼层
</t>
        </r>
        <r>
          <rPr>
            <sz val="9"/>
            <color indexed="81"/>
            <rFont val="宋体"/>
            <family val="3"/>
            <charset val="134"/>
          </rPr>
          <t xml:space="preserve">
</t>
        </r>
      </text>
    </comment>
    <comment ref="AH9" authorId="0" shapeId="0" xr:uid="{40C1A8DF-3ED6-4297-AB33-A868B7C1FEB8}">
      <text>
        <r>
          <rPr>
            <b/>
            <sz val="9"/>
            <color indexed="81"/>
            <rFont val="宋体"/>
            <family val="3"/>
            <charset val="134"/>
          </rPr>
          <t xml:space="preserve">所在楼层
</t>
        </r>
        <r>
          <rPr>
            <sz val="9"/>
            <color indexed="81"/>
            <rFont val="宋体"/>
            <family val="3"/>
            <charset val="134"/>
          </rPr>
          <t xml:space="preserve">
</t>
        </r>
      </text>
    </comment>
    <comment ref="AI9" authorId="0" shapeId="0" xr:uid="{DA357406-831A-47E1-BC7E-5E2A137FA460}">
      <text>
        <r>
          <rPr>
            <b/>
            <sz val="9"/>
            <color indexed="81"/>
            <rFont val="宋体"/>
            <family val="3"/>
            <charset val="134"/>
          </rPr>
          <t xml:space="preserve">所在楼层
</t>
        </r>
        <r>
          <rPr>
            <sz val="9"/>
            <color indexed="81"/>
            <rFont val="宋体"/>
            <family val="3"/>
            <charset val="134"/>
          </rPr>
          <t xml:space="preserve">
</t>
        </r>
      </text>
    </comment>
    <comment ref="AJ9" authorId="0" shapeId="0" xr:uid="{7ECE9BF2-1FB8-4226-A604-33046D948A04}">
      <text>
        <r>
          <rPr>
            <b/>
            <sz val="9"/>
            <color indexed="81"/>
            <rFont val="宋体"/>
            <family val="3"/>
            <charset val="134"/>
          </rPr>
          <t xml:space="preserve">所在楼层
</t>
        </r>
        <r>
          <rPr>
            <sz val="9"/>
            <color indexed="81"/>
            <rFont val="宋体"/>
            <family val="3"/>
            <charset val="134"/>
          </rPr>
          <t xml:space="preserve">
</t>
        </r>
      </text>
    </comment>
    <comment ref="Y12" authorId="0" shapeId="0" xr:uid="{1FBF9E1D-6107-465E-885C-ABECED4E8014}">
      <text>
        <r>
          <rPr>
            <b/>
            <sz val="9"/>
            <color indexed="81"/>
            <rFont val="宋体"/>
            <family val="3"/>
            <charset val="134"/>
          </rPr>
          <t xml:space="preserve">所在楼层
</t>
        </r>
        <r>
          <rPr>
            <sz val="9"/>
            <color indexed="81"/>
            <rFont val="宋体"/>
            <family val="3"/>
            <charset val="134"/>
          </rPr>
          <t xml:space="preserve">
</t>
        </r>
      </text>
    </comment>
    <comment ref="Z12" authorId="0" shapeId="0" xr:uid="{23FFAAB3-D1A0-4E64-8A17-420D86B8B6A6}">
      <text>
        <r>
          <rPr>
            <b/>
            <sz val="9"/>
            <color indexed="81"/>
            <rFont val="宋体"/>
            <family val="3"/>
            <charset val="134"/>
          </rPr>
          <t xml:space="preserve">所在楼层
</t>
        </r>
        <r>
          <rPr>
            <sz val="9"/>
            <color indexed="81"/>
            <rFont val="宋体"/>
            <family val="3"/>
            <charset val="134"/>
          </rPr>
          <t xml:space="preserve">
</t>
        </r>
      </text>
    </comment>
    <comment ref="AA12" authorId="0" shapeId="0" xr:uid="{991DCF5D-F532-4E2F-9655-9CB4E4887588}">
      <text>
        <r>
          <rPr>
            <b/>
            <sz val="9"/>
            <color indexed="81"/>
            <rFont val="宋体"/>
            <family val="3"/>
            <charset val="134"/>
          </rPr>
          <t xml:space="preserve">所在楼层
</t>
        </r>
        <r>
          <rPr>
            <sz val="9"/>
            <color indexed="81"/>
            <rFont val="宋体"/>
            <family val="3"/>
            <charset val="134"/>
          </rPr>
          <t xml:space="preserve">
</t>
        </r>
      </text>
    </comment>
    <comment ref="AB12" authorId="0" shapeId="0" xr:uid="{304A50A1-3DE7-42B8-B079-DA2D6E0DCFD3}">
      <text>
        <r>
          <rPr>
            <b/>
            <sz val="9"/>
            <color indexed="81"/>
            <rFont val="宋体"/>
            <family val="3"/>
            <charset val="134"/>
          </rPr>
          <t xml:space="preserve">所在楼层
</t>
        </r>
        <r>
          <rPr>
            <sz val="9"/>
            <color indexed="81"/>
            <rFont val="宋体"/>
            <family val="3"/>
            <charset val="134"/>
          </rPr>
          <t xml:space="preserve">
</t>
        </r>
      </text>
    </comment>
    <comment ref="AC12" authorId="0" shapeId="0" xr:uid="{B14F56CF-E401-4B89-AF30-341A7B77457A}">
      <text>
        <r>
          <rPr>
            <b/>
            <sz val="9"/>
            <color indexed="81"/>
            <rFont val="宋体"/>
            <family val="3"/>
            <charset val="134"/>
          </rPr>
          <t xml:space="preserve">所在楼层
</t>
        </r>
        <r>
          <rPr>
            <sz val="9"/>
            <color indexed="81"/>
            <rFont val="宋体"/>
            <family val="3"/>
            <charset val="134"/>
          </rPr>
          <t xml:space="preserve">
</t>
        </r>
      </text>
    </comment>
    <comment ref="AD12" authorId="0" shapeId="0" xr:uid="{9CB3C6E8-8E8A-45CB-B1BE-3D4938AF0AC5}">
      <text>
        <r>
          <rPr>
            <b/>
            <sz val="9"/>
            <color indexed="81"/>
            <rFont val="宋体"/>
            <family val="3"/>
            <charset val="134"/>
          </rPr>
          <t xml:space="preserve">所在楼层
</t>
        </r>
        <r>
          <rPr>
            <sz val="9"/>
            <color indexed="81"/>
            <rFont val="宋体"/>
            <family val="3"/>
            <charset val="134"/>
          </rPr>
          <t xml:space="preserve">
</t>
        </r>
      </text>
    </comment>
    <comment ref="AE12" authorId="0" shapeId="0" xr:uid="{0DE82AEA-AAB4-4E3C-A4AB-7394A2733F4E}">
      <text>
        <r>
          <rPr>
            <b/>
            <sz val="9"/>
            <color indexed="81"/>
            <rFont val="宋体"/>
            <family val="3"/>
            <charset val="134"/>
          </rPr>
          <t xml:space="preserve">所在楼层
</t>
        </r>
        <r>
          <rPr>
            <sz val="9"/>
            <color indexed="81"/>
            <rFont val="宋体"/>
            <family val="3"/>
            <charset val="134"/>
          </rPr>
          <t xml:space="preserve">
</t>
        </r>
      </text>
    </comment>
    <comment ref="AF12" authorId="0" shapeId="0" xr:uid="{789D298E-0C4B-43DC-AB8C-6BC15748A667}">
      <text>
        <r>
          <rPr>
            <b/>
            <sz val="9"/>
            <color indexed="81"/>
            <rFont val="宋体"/>
            <family val="3"/>
            <charset val="134"/>
          </rPr>
          <t xml:space="preserve">所在楼层
</t>
        </r>
        <r>
          <rPr>
            <sz val="9"/>
            <color indexed="81"/>
            <rFont val="宋体"/>
            <family val="3"/>
            <charset val="134"/>
          </rPr>
          <t xml:space="preserve">
</t>
        </r>
      </text>
    </comment>
    <comment ref="AG12" authorId="0" shapeId="0" xr:uid="{BF5F146F-F1F0-47C9-A024-49065800C492}">
      <text>
        <r>
          <rPr>
            <b/>
            <sz val="9"/>
            <color indexed="81"/>
            <rFont val="宋体"/>
            <family val="3"/>
            <charset val="134"/>
          </rPr>
          <t xml:space="preserve">所在楼层
</t>
        </r>
        <r>
          <rPr>
            <sz val="9"/>
            <color indexed="81"/>
            <rFont val="宋体"/>
            <family val="3"/>
            <charset val="134"/>
          </rPr>
          <t xml:space="preserve">
</t>
        </r>
      </text>
    </comment>
    <comment ref="AH12" authorId="0" shapeId="0" xr:uid="{55BACF33-AE83-48F0-961C-54AA3AFAEA84}">
      <text>
        <r>
          <rPr>
            <b/>
            <sz val="9"/>
            <color indexed="81"/>
            <rFont val="宋体"/>
            <family val="3"/>
            <charset val="134"/>
          </rPr>
          <t xml:space="preserve">所在楼层
</t>
        </r>
        <r>
          <rPr>
            <sz val="9"/>
            <color indexed="81"/>
            <rFont val="宋体"/>
            <family val="3"/>
            <charset val="134"/>
          </rPr>
          <t xml:space="preserve">
</t>
        </r>
      </text>
    </comment>
    <comment ref="AI12" authorId="0" shapeId="0" xr:uid="{F189D27E-60AD-42EA-AA14-7C4281FE6320}">
      <text>
        <r>
          <rPr>
            <b/>
            <sz val="9"/>
            <color indexed="81"/>
            <rFont val="宋体"/>
            <family val="3"/>
            <charset val="134"/>
          </rPr>
          <t xml:space="preserve">所在楼层
</t>
        </r>
        <r>
          <rPr>
            <sz val="9"/>
            <color indexed="81"/>
            <rFont val="宋体"/>
            <family val="3"/>
            <charset val="134"/>
          </rPr>
          <t xml:space="preserve">
</t>
        </r>
      </text>
    </comment>
    <comment ref="AJ12" authorId="0" shapeId="0" xr:uid="{8A7929FD-DE95-4437-8349-1A8662B1E6BC}">
      <text>
        <r>
          <rPr>
            <b/>
            <sz val="9"/>
            <color indexed="81"/>
            <rFont val="宋体"/>
            <family val="3"/>
            <charset val="134"/>
          </rPr>
          <t xml:space="preserve">所在楼层
</t>
        </r>
        <r>
          <rPr>
            <sz val="9"/>
            <color indexed="81"/>
            <rFont val="宋体"/>
            <family val="3"/>
            <charset val="134"/>
          </rPr>
          <t xml:space="preserve">
</t>
        </r>
      </text>
    </comment>
    <comment ref="D17" authorId="2" shapeId="0" xr:uid="{9F434B65-EC02-4962-BE9A-D29BEDCB67AF}">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C18E3B35-CE9D-4FED-BC41-70578BBF6C92}">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6790CB21-E655-471A-82C3-F86C68576FA4}">
      <text>
        <r>
          <rPr>
            <sz val="10"/>
            <color indexed="81"/>
            <rFont val="宋体"/>
            <family val="3"/>
            <charset val="134"/>
          </rPr>
          <t xml:space="preserve">需在此处填写剩余土地年限
</t>
        </r>
      </text>
    </comment>
    <comment ref="C99" authorId="0" shapeId="0" xr:uid="{ECC9655D-1587-41FE-9CD5-00B2DB05CF76}">
      <text>
        <r>
          <rPr>
            <b/>
            <sz val="9"/>
            <color indexed="81"/>
            <rFont val="宋体"/>
            <family val="3"/>
            <charset val="134"/>
          </rPr>
          <t xml:space="preserve">所在楼层
</t>
        </r>
        <r>
          <rPr>
            <sz val="9"/>
            <color indexed="81"/>
            <rFont val="宋体"/>
            <family val="3"/>
            <charset val="134"/>
          </rPr>
          <t xml:space="preserve">
</t>
        </r>
      </text>
    </comment>
    <comment ref="D99" authorId="0" shapeId="0" xr:uid="{52F9B5E1-D7E1-404D-80F4-4446F558388F}">
      <text>
        <r>
          <rPr>
            <b/>
            <sz val="9"/>
            <color indexed="81"/>
            <rFont val="宋体"/>
            <family val="3"/>
            <charset val="134"/>
          </rPr>
          <t xml:space="preserve">所在楼层
</t>
        </r>
        <r>
          <rPr>
            <sz val="9"/>
            <color indexed="81"/>
            <rFont val="宋体"/>
            <family val="3"/>
            <charset val="134"/>
          </rPr>
          <t xml:space="preserve">
</t>
        </r>
      </text>
    </comment>
    <comment ref="E99" authorId="0" shapeId="0" xr:uid="{BFE2B80B-766E-4D61-977D-AF3231D68268}">
      <text>
        <r>
          <rPr>
            <b/>
            <sz val="9"/>
            <color indexed="81"/>
            <rFont val="宋体"/>
            <family val="3"/>
            <charset val="134"/>
          </rPr>
          <t xml:space="preserve">所在楼层
</t>
        </r>
        <r>
          <rPr>
            <sz val="9"/>
            <color indexed="81"/>
            <rFont val="宋体"/>
            <family val="3"/>
            <charset val="134"/>
          </rPr>
          <t xml:space="preserve">
</t>
        </r>
      </text>
    </comment>
    <comment ref="F99" authorId="0" shapeId="0" xr:uid="{E4A943EE-3593-4FC8-B727-FFF228F18F3D}">
      <text>
        <r>
          <rPr>
            <b/>
            <sz val="9"/>
            <color indexed="81"/>
            <rFont val="宋体"/>
            <family val="3"/>
            <charset val="134"/>
          </rPr>
          <t xml:space="preserve">所在楼层
</t>
        </r>
        <r>
          <rPr>
            <sz val="9"/>
            <color indexed="81"/>
            <rFont val="宋体"/>
            <family val="3"/>
            <charset val="134"/>
          </rPr>
          <t xml:space="preserve">
</t>
        </r>
      </text>
    </comment>
    <comment ref="G99" authorId="0" shapeId="0" xr:uid="{48315B35-218A-4B56-8805-508DFCBA0635}">
      <text>
        <r>
          <rPr>
            <b/>
            <sz val="9"/>
            <color indexed="81"/>
            <rFont val="宋体"/>
            <family val="3"/>
            <charset val="134"/>
          </rPr>
          <t xml:space="preserve">所在楼层
</t>
        </r>
        <r>
          <rPr>
            <sz val="9"/>
            <color indexed="81"/>
            <rFont val="宋体"/>
            <family val="3"/>
            <charset val="134"/>
          </rPr>
          <t xml:space="preserve">
</t>
        </r>
      </text>
    </comment>
    <comment ref="H99" authorId="0" shapeId="0" xr:uid="{F6215EAA-4499-4777-8729-8688B255D17E}">
      <text>
        <r>
          <rPr>
            <b/>
            <sz val="9"/>
            <color indexed="81"/>
            <rFont val="宋体"/>
            <family val="3"/>
            <charset val="134"/>
          </rPr>
          <t xml:space="preserve">所在楼层
</t>
        </r>
        <r>
          <rPr>
            <sz val="9"/>
            <color indexed="81"/>
            <rFont val="宋体"/>
            <family val="3"/>
            <charset val="134"/>
          </rPr>
          <t xml:space="preserve">
</t>
        </r>
      </text>
    </comment>
    <comment ref="I99" authorId="0" shapeId="0" xr:uid="{909D4CE7-2CC8-44FA-B407-1201BE70E99E}">
      <text>
        <r>
          <rPr>
            <b/>
            <sz val="9"/>
            <color indexed="81"/>
            <rFont val="宋体"/>
            <family val="3"/>
            <charset val="134"/>
          </rPr>
          <t xml:space="preserve">所在楼层
</t>
        </r>
        <r>
          <rPr>
            <sz val="9"/>
            <color indexed="81"/>
            <rFont val="宋体"/>
            <family val="3"/>
            <charset val="134"/>
          </rPr>
          <t xml:space="preserve">
</t>
        </r>
      </text>
    </comment>
    <comment ref="J99" authorId="0" shapeId="0" xr:uid="{902B9261-9356-499F-88E0-4F3648B41DB7}">
      <text>
        <r>
          <rPr>
            <b/>
            <sz val="9"/>
            <color indexed="81"/>
            <rFont val="宋体"/>
            <family val="3"/>
            <charset val="134"/>
          </rPr>
          <t xml:space="preserve">所在楼层
</t>
        </r>
        <r>
          <rPr>
            <sz val="9"/>
            <color indexed="81"/>
            <rFont val="宋体"/>
            <family val="3"/>
            <charset val="134"/>
          </rPr>
          <t xml:space="preserve">
</t>
        </r>
      </text>
    </comment>
    <comment ref="K99" authorId="0" shapeId="0" xr:uid="{1A244C52-1CF4-41A5-845F-61128201957F}">
      <text>
        <r>
          <rPr>
            <b/>
            <sz val="9"/>
            <color indexed="81"/>
            <rFont val="宋体"/>
            <family val="3"/>
            <charset val="134"/>
          </rPr>
          <t xml:space="preserve">所在楼层
</t>
        </r>
        <r>
          <rPr>
            <sz val="9"/>
            <color indexed="81"/>
            <rFont val="宋体"/>
            <family val="3"/>
            <charset val="134"/>
          </rPr>
          <t xml:space="preserve">
</t>
        </r>
      </text>
    </comment>
    <comment ref="L99" authorId="0" shapeId="0" xr:uid="{6D4A6118-D369-4148-BFA7-9E376611FBE8}">
      <text>
        <r>
          <rPr>
            <b/>
            <sz val="9"/>
            <color indexed="81"/>
            <rFont val="宋体"/>
            <family val="3"/>
            <charset val="134"/>
          </rPr>
          <t xml:space="preserve">所在楼层
</t>
        </r>
        <r>
          <rPr>
            <sz val="9"/>
            <color indexed="81"/>
            <rFont val="宋体"/>
            <family val="3"/>
            <charset val="134"/>
          </rPr>
          <t xml:space="preserve">
</t>
        </r>
      </text>
    </comment>
    <comment ref="M99" authorId="0" shapeId="0" xr:uid="{CF57C345-DACB-4047-98DC-B9CC225FC286}">
      <text>
        <r>
          <rPr>
            <b/>
            <sz val="9"/>
            <color indexed="81"/>
            <rFont val="宋体"/>
            <family val="3"/>
            <charset val="134"/>
          </rPr>
          <t xml:space="preserve">所在楼层
</t>
        </r>
        <r>
          <rPr>
            <sz val="9"/>
            <color indexed="81"/>
            <rFont val="宋体"/>
            <family val="3"/>
            <charset val="134"/>
          </rPr>
          <t xml:space="preserve">
</t>
        </r>
      </text>
    </comment>
    <comment ref="N99" authorId="0" shapeId="0" xr:uid="{97CA0185-654F-4400-A47B-9F35DBB7FD16}">
      <text>
        <r>
          <rPr>
            <b/>
            <sz val="9"/>
            <color indexed="81"/>
            <rFont val="宋体"/>
            <family val="3"/>
            <charset val="134"/>
          </rPr>
          <t xml:space="preserve">所在楼层
</t>
        </r>
        <r>
          <rPr>
            <sz val="9"/>
            <color indexed="81"/>
            <rFont val="宋体"/>
            <family val="3"/>
            <charset val="134"/>
          </rPr>
          <t xml:space="preserve">
</t>
        </r>
      </text>
    </comment>
    <comment ref="C101" authorId="0" shapeId="0" xr:uid="{25D02B60-D171-4682-91EA-8E3B621E9275}">
      <text>
        <r>
          <rPr>
            <b/>
            <sz val="9"/>
            <color indexed="81"/>
            <rFont val="宋体"/>
            <family val="3"/>
            <charset val="134"/>
          </rPr>
          <t xml:space="preserve">容积率
</t>
        </r>
      </text>
    </comment>
    <comment ref="D101" authorId="0" shapeId="0" xr:uid="{2CD611FC-35D0-4D19-8C0B-24C3BA14AEF0}">
      <text>
        <r>
          <rPr>
            <b/>
            <sz val="9"/>
            <color indexed="81"/>
            <rFont val="宋体"/>
            <family val="3"/>
            <charset val="134"/>
          </rPr>
          <t xml:space="preserve">容积率
</t>
        </r>
      </text>
    </comment>
    <comment ref="E101" authorId="0" shapeId="0" xr:uid="{4172D5E6-515C-47B7-81DA-F4D263D307EA}">
      <text>
        <r>
          <rPr>
            <b/>
            <sz val="9"/>
            <color indexed="81"/>
            <rFont val="宋体"/>
            <family val="3"/>
            <charset val="134"/>
          </rPr>
          <t xml:space="preserve">容积率
</t>
        </r>
      </text>
    </comment>
    <comment ref="F101" authorId="0" shapeId="0" xr:uid="{68BF8652-66B4-42F0-AFAF-2C91FA84C17E}">
      <text>
        <r>
          <rPr>
            <b/>
            <sz val="9"/>
            <color indexed="81"/>
            <rFont val="宋体"/>
            <family val="3"/>
            <charset val="134"/>
          </rPr>
          <t xml:space="preserve">容积率
</t>
        </r>
      </text>
    </comment>
    <comment ref="G101" authorId="0" shapeId="0" xr:uid="{CAF671AA-A453-479B-82B6-6B8410E22A60}">
      <text>
        <r>
          <rPr>
            <b/>
            <sz val="9"/>
            <color indexed="81"/>
            <rFont val="宋体"/>
            <family val="3"/>
            <charset val="134"/>
          </rPr>
          <t xml:space="preserve">容积率
</t>
        </r>
      </text>
    </comment>
    <comment ref="H101" authorId="0" shapeId="0" xr:uid="{F67D38AD-26E4-4ACA-92A3-54BF7AAF5D55}">
      <text>
        <r>
          <rPr>
            <b/>
            <sz val="9"/>
            <color indexed="81"/>
            <rFont val="宋体"/>
            <family val="3"/>
            <charset val="134"/>
          </rPr>
          <t xml:space="preserve">容积率
</t>
        </r>
      </text>
    </comment>
    <comment ref="I101" authorId="0" shapeId="0" xr:uid="{50AEC7C2-51C8-41EE-A5C4-9FA40542F73E}">
      <text>
        <r>
          <rPr>
            <b/>
            <sz val="9"/>
            <color indexed="81"/>
            <rFont val="宋体"/>
            <family val="3"/>
            <charset val="134"/>
          </rPr>
          <t xml:space="preserve">容积率
</t>
        </r>
      </text>
    </comment>
    <comment ref="J101" authorId="0" shapeId="0" xr:uid="{8CF7600E-453D-469C-B34A-912CDAF4B095}">
      <text>
        <r>
          <rPr>
            <b/>
            <sz val="9"/>
            <color indexed="81"/>
            <rFont val="宋体"/>
            <family val="3"/>
            <charset val="134"/>
          </rPr>
          <t xml:space="preserve">容积率
</t>
        </r>
      </text>
    </comment>
    <comment ref="K101" authorId="0" shapeId="0" xr:uid="{C9BDA717-6AD5-4864-823D-9D75DA62DBD3}">
      <text>
        <r>
          <rPr>
            <b/>
            <sz val="9"/>
            <color indexed="81"/>
            <rFont val="宋体"/>
            <family val="3"/>
            <charset val="134"/>
          </rPr>
          <t xml:space="preserve">容积率
</t>
        </r>
      </text>
    </comment>
    <comment ref="L101" authorId="0" shapeId="0" xr:uid="{4CA8E714-C039-4291-BB94-9649FCF3D3FB}">
      <text>
        <r>
          <rPr>
            <b/>
            <sz val="9"/>
            <color indexed="81"/>
            <rFont val="宋体"/>
            <family val="3"/>
            <charset val="134"/>
          </rPr>
          <t xml:space="preserve">容积率
</t>
        </r>
      </text>
    </comment>
    <comment ref="M101" authorId="0" shapeId="0" xr:uid="{0DA5463D-F399-400F-848E-1717D65FF92C}">
      <text>
        <r>
          <rPr>
            <b/>
            <sz val="9"/>
            <color indexed="81"/>
            <rFont val="宋体"/>
            <family val="3"/>
            <charset val="134"/>
          </rPr>
          <t xml:space="preserve">容积率
</t>
        </r>
      </text>
    </comment>
    <comment ref="N101" authorId="0" shapeId="0" xr:uid="{9AF78B6C-75C5-4BED-87BE-807E0DE9F0B6}">
      <text>
        <r>
          <rPr>
            <b/>
            <sz val="9"/>
            <color indexed="81"/>
            <rFont val="宋体"/>
            <family val="3"/>
            <charset val="134"/>
          </rPr>
          <t xml:space="preserve">容积率
</t>
        </r>
      </text>
    </comment>
    <comment ref="C108" authorId="0" shapeId="0" xr:uid="{A4874145-F14E-425A-8042-25C50703C892}">
      <text>
        <r>
          <rPr>
            <b/>
            <sz val="9"/>
            <color indexed="81"/>
            <rFont val="宋体"/>
            <family val="3"/>
            <charset val="134"/>
          </rPr>
          <t xml:space="preserve">所在楼层
</t>
        </r>
        <r>
          <rPr>
            <sz val="9"/>
            <color indexed="81"/>
            <rFont val="宋体"/>
            <family val="3"/>
            <charset val="134"/>
          </rPr>
          <t xml:space="preserve">
</t>
        </r>
      </text>
    </comment>
    <comment ref="D108" authorId="0" shapeId="0" xr:uid="{1FB3D7BA-3E11-4E81-9433-15A2B7E177FF}">
      <text>
        <r>
          <rPr>
            <b/>
            <sz val="9"/>
            <color indexed="81"/>
            <rFont val="宋体"/>
            <family val="3"/>
            <charset val="134"/>
          </rPr>
          <t xml:space="preserve">所在楼层
</t>
        </r>
        <r>
          <rPr>
            <sz val="9"/>
            <color indexed="81"/>
            <rFont val="宋体"/>
            <family val="3"/>
            <charset val="134"/>
          </rPr>
          <t xml:space="preserve">
</t>
        </r>
      </text>
    </comment>
    <comment ref="E108" authorId="0" shapeId="0" xr:uid="{6B354FEA-6382-447F-858A-BDA1BE6531B6}">
      <text>
        <r>
          <rPr>
            <b/>
            <sz val="9"/>
            <color indexed="81"/>
            <rFont val="宋体"/>
            <family val="3"/>
            <charset val="134"/>
          </rPr>
          <t xml:space="preserve">所在楼层
</t>
        </r>
        <r>
          <rPr>
            <sz val="9"/>
            <color indexed="81"/>
            <rFont val="宋体"/>
            <family val="3"/>
            <charset val="134"/>
          </rPr>
          <t xml:space="preserve">
</t>
        </r>
      </text>
    </comment>
    <comment ref="F108" authorId="0" shapeId="0" xr:uid="{72B8B7E7-422C-4918-BA58-824A4D785397}">
      <text>
        <r>
          <rPr>
            <b/>
            <sz val="9"/>
            <color indexed="81"/>
            <rFont val="宋体"/>
            <family val="3"/>
            <charset val="134"/>
          </rPr>
          <t xml:space="preserve">所在楼层
</t>
        </r>
        <r>
          <rPr>
            <sz val="9"/>
            <color indexed="81"/>
            <rFont val="宋体"/>
            <family val="3"/>
            <charset val="134"/>
          </rPr>
          <t xml:space="preserve">
</t>
        </r>
      </text>
    </comment>
    <comment ref="G108" authorId="0" shapeId="0" xr:uid="{CD549D57-771B-4392-8870-3437FB81AD37}">
      <text>
        <r>
          <rPr>
            <b/>
            <sz val="9"/>
            <color indexed="81"/>
            <rFont val="宋体"/>
            <family val="3"/>
            <charset val="134"/>
          </rPr>
          <t xml:space="preserve">所在楼层
</t>
        </r>
        <r>
          <rPr>
            <sz val="9"/>
            <color indexed="81"/>
            <rFont val="宋体"/>
            <family val="3"/>
            <charset val="134"/>
          </rPr>
          <t xml:space="preserve">
</t>
        </r>
      </text>
    </comment>
    <comment ref="H108" authorId="0" shapeId="0" xr:uid="{1E062754-0D94-4692-BF92-9AA252D5A502}">
      <text>
        <r>
          <rPr>
            <b/>
            <sz val="9"/>
            <color indexed="81"/>
            <rFont val="宋体"/>
            <family val="3"/>
            <charset val="134"/>
          </rPr>
          <t xml:space="preserve">所在楼层
</t>
        </r>
        <r>
          <rPr>
            <sz val="9"/>
            <color indexed="81"/>
            <rFont val="宋体"/>
            <family val="3"/>
            <charset val="134"/>
          </rPr>
          <t xml:space="preserve">
</t>
        </r>
      </text>
    </comment>
    <comment ref="I108" authorId="0" shapeId="0" xr:uid="{38A7BD77-BC6F-4901-9D1D-AF5E28C802F0}">
      <text>
        <r>
          <rPr>
            <b/>
            <sz val="9"/>
            <color indexed="81"/>
            <rFont val="宋体"/>
            <family val="3"/>
            <charset val="134"/>
          </rPr>
          <t xml:space="preserve">所在楼层
</t>
        </r>
        <r>
          <rPr>
            <sz val="9"/>
            <color indexed="81"/>
            <rFont val="宋体"/>
            <family val="3"/>
            <charset val="134"/>
          </rPr>
          <t xml:space="preserve">
</t>
        </r>
      </text>
    </comment>
    <comment ref="J108" authorId="0" shapeId="0" xr:uid="{62226E03-8225-4B26-A0DE-25ABBFF3C376}">
      <text>
        <r>
          <rPr>
            <b/>
            <sz val="9"/>
            <color indexed="81"/>
            <rFont val="宋体"/>
            <family val="3"/>
            <charset val="134"/>
          </rPr>
          <t xml:space="preserve">所在楼层
</t>
        </r>
        <r>
          <rPr>
            <sz val="9"/>
            <color indexed="81"/>
            <rFont val="宋体"/>
            <family val="3"/>
            <charset val="134"/>
          </rPr>
          <t xml:space="preserve">
</t>
        </r>
      </text>
    </comment>
    <comment ref="K108" authorId="0" shapeId="0" xr:uid="{8A6EE89C-CC0C-46DD-BB82-76B8FD5DD84D}">
      <text>
        <r>
          <rPr>
            <b/>
            <sz val="9"/>
            <color indexed="81"/>
            <rFont val="宋体"/>
            <family val="3"/>
            <charset val="134"/>
          </rPr>
          <t xml:space="preserve">所在楼层
</t>
        </r>
        <r>
          <rPr>
            <sz val="9"/>
            <color indexed="81"/>
            <rFont val="宋体"/>
            <family val="3"/>
            <charset val="134"/>
          </rPr>
          <t xml:space="preserve">
</t>
        </r>
      </text>
    </comment>
    <comment ref="L108" authorId="0" shapeId="0" xr:uid="{03DF4E08-0DE1-433B-B2E9-C8F34D2BF405}">
      <text>
        <r>
          <rPr>
            <b/>
            <sz val="9"/>
            <color indexed="81"/>
            <rFont val="宋体"/>
            <family val="3"/>
            <charset val="134"/>
          </rPr>
          <t xml:space="preserve">所在楼层
</t>
        </r>
        <r>
          <rPr>
            <sz val="9"/>
            <color indexed="81"/>
            <rFont val="宋体"/>
            <family val="3"/>
            <charset val="134"/>
          </rPr>
          <t xml:space="preserve">
</t>
        </r>
      </text>
    </comment>
    <comment ref="M108" authorId="0" shapeId="0" xr:uid="{76076E54-1328-487E-8633-A98E52AA315C}">
      <text>
        <r>
          <rPr>
            <b/>
            <sz val="9"/>
            <color indexed="81"/>
            <rFont val="宋体"/>
            <family val="3"/>
            <charset val="134"/>
          </rPr>
          <t xml:space="preserve">所在楼层
</t>
        </r>
        <r>
          <rPr>
            <sz val="9"/>
            <color indexed="81"/>
            <rFont val="宋体"/>
            <family val="3"/>
            <charset val="134"/>
          </rPr>
          <t xml:space="preserve">
</t>
        </r>
      </text>
    </comment>
    <comment ref="N108" authorId="0" shapeId="0" xr:uid="{BDFE7F48-C5C7-42B9-9EC9-3BCE0A1426E4}">
      <text>
        <r>
          <rPr>
            <b/>
            <sz val="9"/>
            <color indexed="81"/>
            <rFont val="宋体"/>
            <family val="3"/>
            <charset val="134"/>
          </rPr>
          <t xml:space="preserve">所在楼层
</t>
        </r>
        <r>
          <rPr>
            <sz val="9"/>
            <color indexed="81"/>
            <rFont val="宋体"/>
            <family val="3"/>
            <charset val="134"/>
          </rPr>
          <t xml:space="preserve">
</t>
        </r>
      </text>
    </comment>
    <comment ref="D113" authorId="0" shapeId="0" xr:uid="{C401FFB2-267E-46B9-ACC5-D39331EE7703}">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360B8281-F40D-4024-9FBF-C9ADE5F7E0B2}">
      <text>
        <r>
          <rPr>
            <b/>
            <sz val="9"/>
            <color indexed="81"/>
            <rFont val="宋体"/>
            <family val="3"/>
            <charset val="134"/>
          </rPr>
          <t>权重验证</t>
        </r>
        <r>
          <rPr>
            <sz val="9"/>
            <color indexed="81"/>
            <rFont val="宋体"/>
            <family val="3"/>
            <charset val="134"/>
          </rPr>
          <t xml:space="preserve">
</t>
        </r>
      </text>
    </comment>
    <comment ref="C72" authorId="1" shapeId="0" xr:uid="{897A62D7-4F96-4CE5-99DF-C973ED5DB706}">
      <text>
        <r>
          <rPr>
            <b/>
            <sz val="12"/>
            <color indexed="81"/>
            <rFont val="宋体"/>
            <family val="3"/>
            <charset val="134"/>
          </rPr>
          <t>价值时点所在季度</t>
        </r>
        <r>
          <rPr>
            <sz val="12"/>
            <color indexed="81"/>
            <rFont val="宋体"/>
            <family val="3"/>
            <charset val="134"/>
          </rPr>
          <t xml:space="preserve">
</t>
        </r>
      </text>
    </comment>
    <comment ref="B73" authorId="0" shapeId="0" xr:uid="{DF012A60-203B-4DA5-BA29-8D406EC9ECC6}">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<sst xmlns="http://schemas.openxmlformats.org/spreadsheetml/2006/main" count="8082" uniqueCount="3229">
  <si>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</si>
  <si>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</si>
  <si>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</si>
  <si>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</si>
  <si>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</si>
  <si>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</si>
  <si>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</si>
  <si>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</si>
  <si>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</si>
  <si>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</si>
  <si>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</si>
  <si>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</si>
  <si>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</si>
  <si>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</si>
  <si>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</si>
  <si>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</si>
  <si>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</si>
  <si>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</si>
  <si>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</si>
  <si>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</si>
  <si>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</si>
  <si>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</si>
  <si>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</si>
  <si>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</si>
  <si>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</si>
  <si>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</si>
  <si>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</si>
  <si>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</si>
  <si>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</si>
  <si>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</si>
  <si>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</si>
  <si>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</si>
  <si>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</si>
  <si>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</si>
  <si>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</si>
  <si>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</si>
  <si>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</si>
  <si>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</si>
  <si>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</si>
  <si>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</si>
  <si>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</si>
  <si>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</si>
  <si>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</si>
  <si>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</si>
  <si>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</si>
  <si>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</si>
  <si>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</si>
  <si>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</si>
  <si>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</si>
  <si>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</si>
  <si>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</si>
  <si>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</si>
  <si>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</si>
  <si>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</si>
  <si>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</si>
  <si>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</si>
  <si>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</si>
  <si>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</si>
  <si>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</si>
  <si>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</si>
  <si>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</si>
  <si>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</si>
  <si>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</si>
  <si>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</si>
  <si>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</si>
  <si>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</si>
  <si>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</si>
  <si>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</si>
  <si>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</si>
  <si>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</si>
  <si>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</si>
  <si>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</si>
  <si>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</si>
  <si>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</si>
  <si>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</si>
  <si>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</si>
  <si>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</si>
  <si>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</si>
  <si>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</si>
  <si>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</si>
  <si>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</si>
  <si>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</si>
  <si>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</si>
  <si>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</si>
  <si>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</si>
  <si>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</si>
  <si>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</si>
  <si>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</si>
  <si>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</si>
  <si>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</si>
  <si>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</si>
  <si>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</si>
  <si>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</si>
  <si>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</si>
  <si>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</si>
  <si>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</si>
  <si>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</si>
  <si>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</si>
  <si>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</si>
  <si>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</si>
  <si>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</si>
  <si>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</si>
  <si>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</si>
  <si>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</si>
  <si>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</si>
  <si>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</si>
  <si>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</si>
  <si>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</si>
  <si>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</si>
  <si>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</si>
  <si>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</si>
  <si>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</si>
  <si>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</si>
  <si>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</si>
  <si>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</si>
  <si>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</si>
  <si>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</si>
  <si>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</si>
  <si>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</si>
  <si>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</si>
  <si>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</si>
  <si>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</si>
  <si>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</si>
  <si>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</si>
  <si>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</si>
  <si>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</si>
  <si>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</si>
  <si>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</si>
  <si>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</si>
  <si>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</si>
  <si>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</si>
  <si>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</si>
  <si>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</si>
  <si>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</si>
  <si>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</si>
  <si>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</si>
  <si>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</si>
  <si>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</si>
  <si>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</si>
  <si>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</si>
  <si>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</si>
  <si>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</si>
  <si>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</si>
  <si>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</si>
  <si>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</si>
  <si>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</si>
  <si>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</si>
  <si>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</si>
  <si>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</si>
  <si>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</si>
  <si>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</si>
  <si>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</si>
  <si>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</si>
  <si>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</si>
  <si>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</si>
  <si>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</si>
  <si>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</si>
  <si>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</si>
  <si>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</si>
  <si>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</si>
  <si>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</si>
  <si>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</si>
  <si>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</si>
  <si>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</si>
  <si>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</si>
  <si>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</si>
  <si>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</si>
  <si>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</si>
  <si>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</si>
  <si>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</si>
  <si>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</si>
  <si>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</si>
  <si>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</si>
  <si>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</si>
  <si>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</si>
  <si>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</si>
  <si>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</si>
  <si>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</si>
  <si>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</si>
  <si>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</si>
  <si>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</si>
  <si>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</si>
  <si>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</si>
  <si>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</si>
  <si>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</si>
  <si>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</si>
  <si>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</si>
  <si>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</si>
  <si>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</si>
  <si>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</si>
  <si>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</si>
  <si>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</si>
  <si>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</si>
  <si>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</si>
  <si>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</si>
  <si>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</si>
  <si>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</si>
  <si>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</si>
  <si>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</si>
  <si>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</si>
  <si>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</si>
  <si>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</si>
  <si>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</si>
  <si>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</si>
  <si>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</si>
  <si>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</si>
  <si>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</si>
  <si>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</si>
  <si>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</si>
  <si>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</si>
  <si>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</si>
  <si>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</si>
  <si>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</si>
  <si>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</si>
  <si>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</si>
  <si>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</si>
  <si>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</si>
  <si>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</si>
  <si>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</si>
  <si>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</si>
  <si>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</si>
  <si>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</si>
  <si>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</si>
  <si>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</si>
  <si>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</si>
  <si>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</si>
  <si>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</si>
  <si>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</si>
  <si>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</si>
  <si>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</si>
  <si>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</si>
  <si>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</si>
  <si>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</si>
  <si>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</si>
  <si>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</si>
  <si>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</si>
  <si>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</si>
  <si>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</si>
  <si>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</si>
  <si>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</si>
  <si>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</si>
  <si>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</si>
  <si>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</si>
  <si>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</si>
  <si>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</si>
  <si>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</si>
  <si>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</si>
  <si>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</si>
  <si>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</si>
  <si>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</si>
  <si>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</si>
  <si>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</si>
  <si>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</si>
  <si>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</si>
  <si>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</si>
  <si>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</si>
  <si>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</si>
  <si>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</si>
  <si>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</si>
  <si>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</si>
  <si>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</si>
  <si>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</si>
  <si>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</si>
  <si>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</si>
  <si>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</si>
  <si>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</si>
  <si>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</si>
  <si>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</si>
  <si>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</si>
  <si>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</si>
  <si>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</si>
  <si>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</si>
  <si>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</si>
  <si>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</si>
  <si>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</si>
  <si>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</si>
  <si>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</si>
  <si>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</si>
  <si>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</si>
  <si>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</si>
  <si>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</si>
  <si>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</si>
  <si>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</si>
  <si>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</si>
  <si>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</si>
  <si>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</si>
  <si>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</si>
  <si>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</si>
  <si>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</si>
  <si>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</si>
  <si>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</si>
  <si>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</si>
  <si>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</si>
  <si>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</si>
  <si>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</si>
  <si>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</si>
  <si>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</si>
  <si>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</si>
  <si>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</si>
  <si>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</si>
  <si>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</si>
  <si>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</si>
  <si>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</si>
  <si>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</si>
  <si>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</si>
  <si>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</si>
  <si>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</si>
  <si>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</si>
  <si>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</si>
  <si>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</si>
  <si>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</si>
  <si>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</si>
  <si>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</si>
  <si>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</si>
  <si>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</si>
  <si>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</si>
  <si>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</si>
  <si>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</si>
  <si>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</si>
  <si>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</si>
  <si>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</si>
  <si>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</si>
  <si>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</si>
  <si>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</si>
  <si>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</si>
  <si>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</si>
  <si>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</si>
  <si>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</si>
  <si>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</si>
  <si>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</si>
  <si>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</si>
  <si>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</si>
  <si>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</si>
  <si>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</si>
  <si>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</si>
  <si>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</si>
  <si>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</si>
  <si>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</si>
  <si>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</si>
  <si>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</si>
  <si>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</si>
  <si>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</si>
  <si>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</si>
  <si>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</si>
  <si>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</si>
  <si>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</si>
  <si>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</si>
  <si>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</si>
  <si>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</si>
  <si>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</si>
  <si>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</si>
  <si>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</si>
  <si>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</si>
  <si>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</si>
  <si>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</si>
  <si>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</si>
  <si>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</si>
  <si>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</si>
  <si>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</si>
  <si>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</si>
  <si>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</si>
  <si>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</si>
  <si>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</si>
  <si>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</si>
  <si>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</si>
  <si>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</si>
  <si>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</si>
  <si>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</si>
  <si>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</si>
  <si>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</si>
  <si>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</si>
  <si>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</si>
  <si>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</si>
  <si>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</si>
  <si>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</si>
  <si>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</si>
  <si>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</si>
  <si>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</si>
  <si>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</si>
  <si>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</si>
  <si>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</si>
  <si>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</si>
  <si>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</si>
  <si>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</si>
  <si>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</si>
  <si>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</si>
  <si>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</si>
  <si>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</si>
  <si>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</si>
  <si>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</si>
  <si>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</si>
  <si>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</si>
  <si>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</si>
  <si>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</si>
  <si>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</si>
  <si>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</si>
  <si>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</si>
  <si>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</si>
  <si>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</si>
  <si>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</si>
  <si>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</si>
  <si>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</si>
  <si>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</si>
  <si>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</si>
  <si>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</si>
  <si>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</si>
  <si>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</si>
  <si>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</si>
  <si>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</si>
  <si>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</si>
  <si>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</si>
  <si>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</si>
  <si>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</si>
  <si>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</si>
  <si>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</si>
  <si>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</si>
  <si>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</si>
  <si>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</si>
  <si>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</si>
  <si>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</si>
  <si>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</si>
  <si>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</si>
  <si>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</si>
  <si>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</si>
  <si>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</si>
  <si>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</si>
  <si>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</si>
  <si>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</si>
  <si>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</si>
  <si>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</si>
  <si>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</si>
  <si>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</si>
  <si>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</si>
  <si>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</si>
  <si>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</si>
  <si>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</si>
  <si>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</si>
  <si>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</si>
  <si>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</si>
  <si>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</si>
  <si>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</si>
  <si>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</si>
  <si>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</si>
  <si>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</si>
  <si>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</si>
  <si>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</si>
  <si>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</si>
  <si>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</si>
  <si>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</si>
  <si>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</si>
  <si>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</si>
  <si>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</si>
  <si>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</si>
  <si>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</si>
  <si>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</si>
  <si>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</si>
  <si>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</si>
  <si>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</si>
  <si>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</si>
  <si>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</si>
  <si>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</si>
  <si>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</si>
  <si>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</si>
  <si>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</si>
  <si>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</si>
  <si>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</si>
  <si>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</si>
  <si>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</si>
  <si>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</si>
  <si>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</si>
  <si>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</si>
  <si>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</si>
  <si>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</si>
  <si>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</si>
  <si>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</si>
  <si>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</si>
  <si>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</si>
  <si>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</si>
  <si>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</si>
  <si>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</si>
  <si>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</si>
  <si>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</si>
  <si>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</si>
  <si>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</si>
  <si>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</si>
  <si>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</si>
  <si>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</si>
  <si>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</si>
  <si>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</si>
  <si>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</si>
  <si>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</si>
  <si>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</si>
  <si>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</si>
  <si>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</si>
  <si>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</si>
  <si>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</si>
  <si>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</si>
  <si>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</si>
  <si>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</si>
  <si>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</si>
  <si>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</si>
  <si>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</si>
  <si>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</si>
  <si>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</si>
  <si>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</si>
  <si>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</si>
  <si>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</si>
  <si>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</si>
  <si>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</si>
  <si>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</si>
  <si>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</si>
  <si>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</si>
  <si>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</si>
  <si>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</si>
  <si>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</si>
  <si>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</si>
  <si>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</si>
  <si>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</si>
  <si>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</si>
  <si>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</si>
  <si>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</si>
  <si>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</si>
  <si>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</si>
  <si>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</si>
  <si>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</si>
  <si>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</si>
  <si>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</si>
  <si>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</si>
  <si>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</si>
  <si>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</si>
  <si>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</si>
  <si>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</si>
  <si>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</si>
  <si>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</si>
  <si>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</si>
  <si>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</si>
  <si>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</si>
  <si>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</si>
  <si>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</si>
  <si>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</si>
  <si>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</si>
  <si>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</si>
  <si>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</si>
  <si>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</si>
  <si>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</si>
  <si>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</si>
  <si>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</si>
  <si>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</si>
  <si>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</si>
  <si>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</si>
  <si>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</si>
  <si>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</si>
  <si>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</si>
  <si>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</si>
  <si>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</si>
  <si>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</si>
  <si>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</si>
  <si>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</si>
  <si>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</si>
  <si>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</si>
  <si>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</si>
  <si>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</si>
  <si>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</si>
  <si>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</si>
  <si>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</si>
  <si>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</si>
  <si>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</si>
  <si>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</si>
  <si>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</si>
  <si>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</si>
  <si>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</si>
  <si>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</si>
  <si>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</si>
  <si>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</si>
  <si>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</si>
  <si>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</si>
  <si>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</si>
  <si>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</si>
  <si>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</si>
  <si>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</si>
  <si>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</si>
  <si>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</si>
  <si>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</si>
  <si>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</si>
  <si>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</si>
  <si>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</si>
  <si>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</si>
  <si>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</si>
  <si>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</si>
  <si>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</si>
  <si>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</si>
  <si>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</si>
  <si>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</si>
  <si>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</si>
  <si>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</si>
  <si>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</si>
  <si>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</si>
  <si>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</si>
  <si>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</si>
  <si>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</si>
  <si>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</si>
  <si>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</si>
  <si>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</si>
  <si>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</si>
  <si>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</si>
  <si>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</si>
  <si>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</si>
  <si>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</si>
  <si>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</si>
  <si>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</si>
  <si>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</si>
  <si>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</si>
  <si>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</si>
  <si>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</si>
  <si>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</si>
  <si>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</si>
  <si>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</si>
  <si>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</si>
  <si>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</si>
  <si>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</si>
  <si>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</si>
  <si>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</si>
  <si>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</si>
  <si>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</si>
  <si>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</si>
  <si>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</si>
  <si>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</si>
  <si>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</si>
  <si>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</si>
  <si>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</si>
  <si>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</si>
  <si>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</si>
  <si>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</si>
  <si>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</si>
  <si>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</si>
  <si>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</si>
  <si>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</si>
  <si>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</si>
  <si>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</si>
  <si>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</si>
  <si>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</si>
  <si>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</si>
  <si>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</si>
  <si>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</si>
  <si>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</si>
  <si>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</si>
  <si>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</si>
  <si>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</si>
  <si>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</si>
  <si>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</si>
  <si>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</si>
  <si>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</si>
  <si>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</si>
  <si>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</si>
  <si>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</si>
  <si>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</si>
  <si>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</si>
  <si>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</si>
  <si>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</si>
  <si>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</si>
  <si>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</si>
  <si>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</si>
  <si>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</si>
  <si>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</si>
  <si>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</si>
  <si>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</si>
  <si>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</si>
  <si>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</si>
  <si>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</si>
  <si>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</si>
  <si>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</si>
  <si>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</si>
  <si>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</si>
  <si>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</si>
  <si>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</si>
  <si>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</si>
  <si>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</si>
  <si>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</si>
  <si>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</si>
  <si>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</si>
  <si>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</si>
  <si>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</si>
  <si>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</si>
  <si>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</si>
  <si>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</si>
  <si>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</si>
  <si>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</si>
  <si>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</si>
  <si>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</si>
  <si>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</si>
  <si>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</si>
  <si>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</si>
  <si>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</si>
  <si>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</si>
  <si>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</si>
  <si>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</si>
  <si>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</si>
  <si>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</si>
  <si>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</si>
  <si>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</si>
  <si>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</si>
  <si>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</si>
  <si>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</si>
  <si>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</si>
  <si>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</si>
  <si>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</si>
  <si>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</si>
  <si>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</si>
  <si>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</si>
  <si>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</si>
  <si>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</si>
  <si>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</si>
  <si>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</si>
  <si>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</si>
  <si>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</si>
  <si>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</si>
  <si>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</si>
  <si>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</si>
  <si>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</si>
  <si>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</si>
  <si>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</si>
  <si>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</si>
  <si>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</si>
  <si>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</si>
  <si>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</si>
  <si>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</si>
  <si>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</si>
  <si>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</si>
  <si>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</si>
  <si>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</si>
  <si>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</si>
  <si>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</si>
  <si>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</si>
  <si>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</si>
  <si>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</si>
  <si>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</si>
  <si>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</si>
  <si>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</si>
  <si>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</si>
  <si>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</si>
  <si>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</si>
  <si>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</si>
  <si>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</si>
  <si>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</si>
  <si>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</si>
  <si>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</si>
  <si>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</si>
  <si>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</si>
  <si>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</si>
  <si>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</si>
  <si>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</si>
  <si>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</si>
  <si>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</si>
  <si>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</si>
  <si>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</si>
  <si>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</si>
  <si>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</si>
  <si>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</si>
  <si>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</si>
  <si>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</si>
  <si>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</si>
  <si>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</si>
  <si>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</si>
  <si>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</si>
  <si>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</si>
  <si>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</si>
  <si>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</si>
  <si>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</si>
  <si>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</si>
  <si>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</si>
  <si>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</si>
  <si>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</si>
  <si>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</si>
  <si>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</si>
  <si>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</si>
  <si>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</si>
  <si>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</si>
  <si>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</si>
  <si>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</si>
  <si>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</si>
  <si>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</si>
  <si>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</si>
  <si>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</si>
  <si>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</si>
  <si>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</si>
  <si>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</si>
  <si>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</si>
  <si>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</si>
  <si>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</si>
  <si>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</si>
  <si>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</si>
  <si>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</si>
  <si>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</si>
  <si>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</si>
  <si>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</si>
  <si>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</si>
  <si>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</si>
  <si>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</si>
  <si>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</si>
  <si>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</si>
  <si>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</si>
  <si>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</si>
  <si>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</si>
  <si>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</si>
  <si>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</si>
  <si>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</si>
  <si>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</si>
  <si>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</si>
  <si>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</si>
  <si>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</si>
  <si>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</si>
  <si>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</si>
  <si>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</si>
  <si>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</si>
  <si>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</si>
  <si>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</si>
  <si>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</si>
  <si>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</si>
  <si>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</si>
  <si>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</si>
  <si>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</si>
  <si>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</si>
  <si>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</si>
  <si>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</si>
  <si>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</si>
  <si>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</si>
  <si>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</si>
  <si>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</si>
  <si>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</si>
  <si>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</si>
  <si>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</si>
  <si>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</si>
  <si>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</si>
  <si>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</si>
  <si>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</si>
  <si>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</si>
  <si>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</si>
  <si>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</si>
  <si>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</si>
  <si>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</si>
  <si>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</si>
  <si>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</si>
  <si>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</si>
  <si>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</si>
  <si>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</si>
  <si>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</si>
  <si>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</si>
  <si>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</si>
  <si>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</si>
  <si>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</si>
  <si>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</si>
  <si>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</si>
  <si>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</si>
  <si>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</si>
  <si>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</si>
  <si>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</si>
  <si>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</si>
  <si>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</si>
  <si>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</si>
  <si>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</si>
  <si>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</si>
  <si>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</si>
  <si>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</si>
  <si>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</si>
  <si>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</si>
  <si>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</si>
  <si>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</si>
  <si>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</si>
  <si>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</si>
  <si>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</si>
  <si>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</si>
  <si>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</si>
  <si>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</si>
  <si>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</si>
  <si>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</si>
  <si>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</si>
  <si>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</si>
  <si>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</si>
  <si>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</si>
  <si>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</si>
  <si>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</si>
  <si>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</si>
  <si>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</si>
  <si>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</si>
  <si>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</si>
  <si>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</si>
  <si>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</si>
  <si>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</si>
  <si>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</si>
  <si>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</si>
  <si>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</si>
  <si>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</si>
  <si>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</si>
  <si>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</si>
  <si>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</si>
  <si>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</si>
  <si>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</si>
  <si>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</si>
  <si>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</si>
  <si>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</si>
  <si>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</si>
  <si>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</si>
  <si>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</si>
  <si>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</si>
  <si>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</si>
  <si>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</si>
  <si>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</si>
  <si>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</si>
  <si>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</si>
  <si>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</si>
  <si>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</si>
  <si>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</si>
  <si>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</si>
  <si>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</si>
  <si>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</si>
  <si>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</si>
  <si>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</si>
  <si>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</si>
  <si>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</si>
  <si>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</si>
  <si>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</si>
  <si>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</si>
  <si>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</si>
  <si>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</si>
  <si>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</si>
  <si>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</si>
  <si>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</si>
  <si>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</si>
  <si>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</si>
  <si>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</si>
  <si>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</si>
  <si>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</si>
  <si>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</si>
  <si>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</si>
  <si>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</si>
  <si>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</si>
  <si>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</si>
  <si>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</si>
  <si>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</si>
  <si>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</si>
  <si>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</si>
  <si>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</si>
  <si>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</si>
  <si>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</si>
  <si>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</si>
  <si>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</si>
  <si>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</si>
  <si>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</si>
  <si>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</si>
  <si>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</si>
  <si>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</si>
  <si>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</si>
  <si>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</si>
  <si>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</si>
  <si>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</si>
  <si>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</si>
  <si>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</si>
  <si>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</si>
  <si>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</si>
  <si>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</si>
  <si>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</si>
  <si>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</si>
  <si>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</si>
  <si>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</si>
  <si>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</si>
  <si>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</si>
  <si>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</si>
  <si>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</si>
  <si>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</si>
  <si>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</si>
  <si>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</si>
  <si>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</si>
  <si>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</si>
  <si>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</si>
  <si>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</si>
  <si>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</si>
  <si>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</si>
  <si>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</si>
  <si>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</si>
  <si>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</si>
  <si>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</si>
  <si>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</si>
  <si>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</si>
  <si>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</si>
  <si>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</si>
  <si>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</si>
  <si>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</si>
  <si>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</si>
  <si>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</si>
  <si>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</si>
  <si>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</si>
  <si>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</si>
  <si>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</si>
  <si>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</si>
  <si>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</si>
  <si>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</si>
  <si>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</si>
  <si>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</si>
  <si>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</si>
  <si>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</si>
  <si>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</si>
  <si>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</si>
  <si>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</si>
  <si>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</si>
  <si>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</si>
  <si>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</si>
  <si>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</si>
  <si>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</si>
  <si>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</si>
  <si>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</si>
  <si>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</si>
  <si>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</si>
  <si>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</si>
  <si>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</si>
  <si>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</si>
  <si>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</si>
  <si>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</si>
  <si>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</si>
  <si>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</si>
  <si>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</si>
  <si>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</si>
  <si>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</si>
  <si>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</si>
  <si>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</si>
  <si>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</si>
  <si>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</si>
  <si>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</si>
  <si>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</si>
  <si>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</si>
  <si>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</si>
  <si>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</si>
  <si>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</si>
  <si>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</si>
  <si>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</si>
  <si>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</si>
  <si>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</si>
  <si>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</si>
  <si>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</si>
  <si>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</si>
  <si>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</si>
  <si>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</si>
  <si>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</si>
  <si>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</si>
  <si>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</si>
  <si>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</si>
  <si>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</si>
  <si>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</si>
  <si>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</si>
  <si>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</si>
  <si>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</si>
  <si>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</si>
  <si>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</si>
  <si>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</si>
  <si>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</si>
  <si>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</si>
  <si>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</si>
  <si>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</si>
  <si>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</si>
  <si>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</si>
  <si>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</si>
  <si>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</si>
  <si>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</si>
  <si>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</si>
  <si>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</si>
  <si>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</si>
  <si>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</si>
  <si>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</si>
  <si>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</si>
  <si>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</si>
  <si>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</si>
  <si>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</si>
  <si>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</si>
  <si>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</si>
  <si>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</si>
  <si>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</si>
  <si>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</si>
  <si>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</si>
  <si>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</si>
  <si>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</si>
  <si>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</si>
  <si>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</si>
  <si>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</si>
  <si>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</si>
  <si>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</si>
  <si>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</si>
  <si>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</si>
  <si>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</si>
  <si>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</si>
  <si>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</si>
  <si>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</si>
  <si>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</si>
  <si>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</si>
  <si>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</si>
  <si>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</si>
  <si>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</si>
  <si>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</si>
  <si>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</si>
  <si>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</si>
  <si>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</si>
  <si>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</si>
  <si>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</si>
  <si>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</si>
  <si>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</si>
  <si>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</si>
  <si>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</si>
  <si>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</si>
  <si>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</si>
  <si>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</si>
  <si>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</si>
  <si>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</si>
  <si>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</si>
  <si>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</si>
  <si>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</si>
  <si>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</si>
  <si>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</si>
  <si>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</si>
  <si>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</si>
  <si>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</si>
  <si>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</si>
  <si>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</si>
  <si>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</si>
  <si>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</si>
  <si>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</si>
  <si>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</si>
  <si>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</si>
  <si>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</si>
  <si>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</si>
  <si>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</si>
  <si>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</si>
  <si>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</si>
  <si>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</si>
  <si>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</si>
  <si>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</si>
  <si>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</si>
  <si>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</si>
  <si>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</si>
  <si>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</si>
  <si>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</si>
  <si>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</si>
  <si>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</si>
  <si>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</si>
  <si>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</si>
  <si>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</si>
  <si>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</si>
  <si>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</si>
  <si>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</si>
  <si>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</si>
  <si>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</si>
  <si>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</si>
  <si>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</si>
  <si>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</si>
  <si>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</si>
  <si>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</si>
  <si>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</si>
  <si>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</si>
  <si>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</si>
  <si>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</si>
  <si>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</si>
  <si>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</si>
  <si>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</si>
  <si>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</si>
  <si>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</si>
  <si>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</si>
  <si>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</si>
  <si>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</si>
  <si>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</si>
  <si>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</si>
  <si>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</si>
  <si>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</si>
  <si>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</si>
  <si>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</si>
  <si>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</si>
  <si>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</si>
  <si>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</si>
  <si>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</si>
  <si>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</si>
  <si>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</si>
  <si>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</si>
  <si>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</si>
  <si>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</si>
  <si>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</si>
  <si>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</si>
  <si>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</si>
  <si>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</si>
  <si>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</si>
  <si>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</si>
  <si>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</si>
  <si>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</si>
  <si>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</si>
  <si>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</si>
  <si>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</si>
  <si>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</si>
  <si>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</si>
  <si>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</si>
  <si>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</si>
  <si>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</si>
  <si>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</si>
  <si>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</si>
  <si>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</si>
  <si>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</si>
  <si>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</si>
  <si>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</si>
  <si>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</si>
  <si>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</si>
  <si>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</si>
  <si>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</si>
  <si>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</si>
  <si>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</si>
  <si>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</si>
  <si>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</si>
  <si>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</si>
  <si>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</si>
  <si>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</si>
  <si>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</si>
  <si>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</si>
  <si>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</si>
  <si>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</si>
  <si>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</si>
  <si>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</si>
  <si>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</si>
  <si>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</si>
  <si>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</si>
  <si>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</si>
  <si>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</si>
  <si>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</si>
  <si>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</si>
  <si>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</si>
  <si>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</si>
  <si>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</si>
  <si>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</si>
  <si>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</si>
  <si>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</si>
  <si>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</si>
  <si>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</si>
  <si>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</si>
  <si>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</si>
  <si>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</si>
  <si>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</si>
  <si>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</si>
  <si>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</si>
  <si>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</si>
  <si>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</si>
  <si>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</si>
  <si>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</si>
  <si>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</si>
  <si>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</si>
  <si>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</si>
  <si>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</si>
  <si>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</si>
  <si>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</si>
  <si>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</si>
  <si>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</si>
  <si>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</si>
  <si>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</si>
  <si>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</si>
  <si>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</si>
  <si>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</si>
  <si>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</si>
  <si>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</si>
  <si>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</si>
  <si>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</si>
  <si>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</si>
  <si>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</si>
  <si>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</si>
  <si>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</si>
  <si>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</si>
  <si>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</si>
  <si>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</si>
  <si>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</si>
  <si>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</si>
  <si>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</si>
  <si>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</si>
  <si>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</si>
  <si>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</si>
  <si>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</si>
  <si>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</si>
  <si>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</si>
  <si>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</si>
  <si>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</si>
  <si>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</si>
  <si>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</si>
  <si>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</si>
  <si>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</si>
  <si>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</si>
  <si>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</si>
  <si>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</si>
  <si>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</si>
  <si>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</si>
  <si>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</si>
  <si>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</si>
  <si>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</si>
  <si>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</si>
  <si>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</si>
  <si>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</si>
  <si>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</si>
  <si>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</si>
  <si>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</si>
  <si>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</si>
  <si>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</si>
  <si>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</si>
  <si>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</si>
  <si>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</si>
  <si>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</si>
  <si>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</si>
  <si>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</si>
  <si>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</si>
  <si>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</si>
  <si>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</si>
  <si>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</si>
  <si>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</si>
  <si>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</si>
  <si>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</si>
  <si>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</si>
  <si>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</si>
  <si>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</si>
  <si>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</si>
  <si>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</si>
  <si>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</si>
  <si>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</si>
  <si>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</si>
  <si>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</si>
  <si>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</si>
  <si>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</si>
  <si>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</si>
  <si>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</si>
  <si>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</si>
  <si>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</si>
  <si>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</si>
  <si>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</si>
  <si>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</si>
  <si>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</si>
  <si>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</si>
  <si>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</si>
  <si>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</si>
  <si>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</si>
  <si>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</si>
  <si>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</si>
  <si>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</si>
  <si>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</si>
  <si>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</si>
  <si>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</si>
  <si>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</si>
  <si>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</si>
  <si>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</si>
  <si>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</si>
  <si>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</si>
  <si>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</si>
  <si>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</si>
  <si>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</si>
  <si>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</si>
  <si>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</si>
  <si>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</si>
  <si>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</si>
  <si>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</si>
  <si>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</si>
  <si>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</si>
  <si>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</si>
  <si>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</si>
  <si>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</si>
  <si>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</si>
  <si>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</si>
  <si>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</si>
  <si>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</si>
  <si>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</si>
  <si>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</si>
  <si>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</si>
  <si>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</si>
  <si>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</si>
  <si>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</si>
  <si>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</si>
  <si>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</si>
  <si>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</si>
  <si>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</si>
  <si>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</si>
  <si>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</si>
  <si>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</si>
  <si>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</si>
  <si>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</si>
  <si>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</si>
  <si>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</si>
  <si>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</si>
  <si>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</si>
  <si>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</si>
  <si>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</si>
  <si>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</si>
  <si>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</si>
  <si>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</si>
  <si>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</si>
  <si>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</si>
  <si>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</si>
  <si>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</si>
  <si>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</si>
  <si>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</si>
  <si>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</si>
  <si>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</si>
  <si>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</si>
  <si>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</si>
  <si>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</si>
  <si>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</si>
  <si>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</si>
  <si>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</si>
  <si>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</si>
  <si>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</si>
  <si>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</si>
  <si>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</si>
  <si>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</si>
  <si>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</si>
  <si>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</si>
  <si>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</si>
  <si>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</si>
  <si>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</si>
  <si>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</si>
  <si>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</si>
  <si>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</si>
  <si>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</si>
  <si>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</si>
  <si>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</si>
  <si>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</si>
  <si>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</si>
  <si>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</si>
  <si>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</si>
  <si>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</si>
  <si>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</si>
  <si>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</si>
  <si>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</si>
  <si>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</si>
  <si>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</si>
  <si>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</si>
  <si>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</si>
  <si>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</si>
  <si>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</si>
  <si>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</si>
  <si>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</si>
  <si>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</si>
  <si>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</si>
  <si>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</si>
  <si>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</si>
  <si>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</si>
  <si>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</si>
  <si>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</si>
  <si>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</si>
  <si>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</si>
  <si>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</si>
  <si>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</si>
  <si>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</si>
  <si>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</si>
  <si>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</si>
  <si>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</si>
  <si>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</si>
  <si>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</si>
  <si>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</si>
  <si>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</si>
  <si>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</si>
  <si>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</si>
  <si>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</si>
  <si>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</si>
  <si>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</si>
  <si>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</si>
  <si>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</si>
  <si>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</si>
  <si>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</si>
  <si>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</si>
  <si>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</si>
  <si>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</si>
  <si>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</si>
  <si>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</si>
  <si>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</si>
  <si>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</si>
  <si>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</si>
  <si>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</si>
  <si>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</si>
  <si>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</si>
  <si>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</si>
  <si>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</si>
  <si>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</si>
  <si>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</si>
  <si>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</si>
  <si>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</si>
  <si>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</si>
  <si>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</si>
  <si>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</si>
  <si>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</si>
  <si>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</si>
  <si>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</si>
  <si>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</si>
  <si>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</si>
  <si>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</si>
  <si>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</si>
  <si>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</si>
  <si>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</si>
  <si>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</si>
  <si>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</si>
  <si>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</si>
  <si>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</si>
  <si>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</si>
  <si>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</si>
  <si>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</si>
  <si>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</si>
  <si>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</si>
  <si>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</si>
  <si>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</si>
  <si>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</si>
  <si>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</si>
  <si>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</si>
  <si>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</si>
  <si>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</si>
  <si>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</si>
  <si>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</si>
  <si>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</si>
  <si>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</si>
  <si>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</si>
  <si>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</si>
  <si>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</si>
  <si>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</si>
  <si>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</si>
  <si>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</si>
  <si>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</si>
  <si>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</si>
  <si>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</si>
  <si>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</si>
  <si>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</si>
  <si>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</si>
  <si>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</si>
  <si>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</si>
  <si>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</si>
  <si>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</si>
  <si>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</si>
  <si>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</si>
  <si>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</si>
  <si>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</si>
  <si>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</si>
  <si>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</si>
  <si>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</si>
  <si>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</si>
  <si>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</si>
  <si>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</si>
  <si>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</si>
  <si>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</si>
  <si>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</si>
  <si>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</si>
  <si>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</si>
  <si>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</si>
  <si>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</si>
  <si>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</si>
  <si>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</si>
  <si>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</si>
  <si>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</si>
  <si>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</si>
  <si>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</si>
  <si>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</si>
  <si>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</si>
  <si>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</si>
  <si>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</si>
  <si>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</si>
  <si>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</si>
  <si>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</si>
  <si>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</si>
  <si>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</si>
  <si>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</si>
  <si>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</si>
  <si>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</si>
  <si>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</si>
  <si>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</si>
  <si>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</si>
  <si>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</si>
  <si>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</si>
  <si>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</si>
  <si>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</si>
  <si>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</si>
  <si>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</si>
  <si>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</si>
  <si>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</si>
  <si>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</si>
  <si>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</si>
  <si>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</si>
  <si>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</si>
  <si>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</si>
  <si>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</si>
  <si>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</si>
  <si>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</si>
  <si>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</si>
  <si>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</si>
  <si>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</si>
  <si>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</si>
  <si>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</si>
  <si>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</si>
  <si>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</si>
  <si>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</si>
  <si>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</si>
  <si>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</si>
  <si>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</si>
  <si>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</si>
  <si>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</si>
  <si>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</si>
  <si>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</si>
  <si>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</si>
  <si>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</si>
  <si>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</si>
  <si>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</si>
  <si>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</si>
  <si>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</si>
  <si>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</si>
  <si>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</si>
  <si>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</si>
  <si>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</si>
  <si>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</si>
  <si>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</si>
  <si>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</si>
  <si>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</si>
  <si>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</si>
  <si>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</si>
  <si>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</si>
  <si>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</si>
  <si>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</si>
  <si>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</si>
  <si>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</si>
  <si>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</si>
  <si>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</si>
  <si>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</si>
  <si>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</si>
  <si>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</si>
  <si>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</si>
  <si>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</si>
  <si>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</si>
  <si>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</si>
  <si>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</si>
  <si>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</si>
  <si>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</si>
  <si>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</si>
  <si>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</si>
  <si>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</si>
  <si>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</si>
  <si>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</si>
  <si>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</si>
  <si>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</si>
  <si>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</si>
  <si>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</si>
  <si>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</si>
  <si>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</si>
  <si>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</si>
  <si>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</si>
  <si>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</si>
  <si>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</si>
  <si>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</si>
  <si>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</si>
  <si>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</si>
  <si>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</si>
  <si>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</si>
  <si>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</si>
  <si>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</si>
  <si>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</si>
  <si>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</si>
  <si>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</si>
  <si>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</si>
  <si>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</si>
  <si>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</si>
  <si>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</si>
  <si>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</si>
  <si>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</si>
  <si>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</si>
  <si>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</si>
  <si>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</si>
  <si>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</si>
  <si>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</si>
  <si>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</si>
  <si>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</si>
  <si>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</si>
  <si>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</si>
  <si>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</si>
  <si>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</si>
  <si>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</si>
  <si>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</si>
  <si>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</si>
  <si>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</si>
  <si>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</si>
  <si>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</si>
  <si>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</si>
  <si>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</si>
  <si>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</si>
  <si>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</si>
  <si>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</si>
  <si>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</si>
  <si>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</si>
  <si>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</si>
  <si>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</si>
  <si>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</si>
  <si>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</si>
  <si>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</si>
  <si>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</si>
  <si>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</si>
  <si>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</si>
  <si>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</si>
  <si>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</si>
  <si>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</si>
  <si>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</si>
  <si>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</si>
  <si>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</si>
  <si>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</si>
  <si>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</si>
  <si>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</si>
  <si>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</si>
  <si>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</si>
  <si>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</si>
  <si>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</si>
  <si>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</si>
  <si>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</si>
  <si>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</si>
  <si>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</si>
  <si>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</si>
  <si>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</si>
  <si>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</si>
  <si>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</si>
  <si>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</si>
  <si>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</si>
  <si>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</si>
  <si>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</si>
  <si>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</si>
  <si>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</si>
  <si>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</si>
  <si>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</si>
  <si>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</si>
  <si>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</si>
  <si>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</si>
  <si>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</si>
  <si>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</si>
  <si>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</si>
  <si>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</si>
  <si>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</si>
  <si>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</si>
  <si>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</si>
  <si>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</si>
  <si>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</si>
  <si>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</si>
  <si>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</si>
  <si>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</si>
  <si>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</si>
  <si>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</si>
  <si>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</si>
  <si>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</si>
  <si>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</si>
  <si>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</si>
  <si>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</si>
  <si>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</si>
  <si>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</si>
  <si>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</si>
  <si>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</si>
  <si>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</si>
  <si>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</si>
  <si>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</si>
  <si>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</si>
  <si>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</si>
  <si>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</si>
  <si>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</si>
  <si>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</si>
  <si>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</si>
  <si>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</si>
  <si>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</si>
  <si>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</si>
  <si>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</si>
  <si>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</si>
  <si>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</si>
  <si>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</si>
  <si>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</si>
  <si>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</si>
  <si>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</si>
  <si>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</si>
  <si>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</si>
  <si>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</si>
  <si>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</si>
  <si>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</si>
  <si>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</si>
  <si>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</si>
  <si>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</si>
  <si>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</si>
  <si>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</si>
  <si>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</si>
  <si>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</si>
  <si>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</si>
  <si>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</si>
  <si>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</si>
  <si>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</si>
  <si>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</si>
  <si>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</si>
  <si>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</si>
  <si>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</si>
  <si>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</si>
  <si>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</si>
  <si>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</si>
  <si>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</si>
  <si>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</si>
  <si>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</si>
  <si>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</si>
  <si>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</si>
  <si>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</si>
  <si>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</si>
  <si>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</si>
  <si>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</si>
  <si>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</si>
  <si>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</si>
  <si>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</si>
  <si>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</si>
  <si>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</si>
  <si>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</si>
  <si>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</si>
  <si>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</si>
  <si>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</si>
  <si>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</si>
  <si>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</si>
  <si>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</si>
  <si>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</si>
  <si>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</si>
  <si>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</si>
  <si>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</si>
  <si>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</si>
  <si>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</si>
  <si>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</si>
  <si>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</si>
  <si>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</si>
  <si>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</si>
  <si>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</si>
  <si>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</si>
  <si>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</si>
  <si>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</si>
  <si>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</si>
  <si>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</si>
  <si>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</si>
  <si>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</si>
  <si>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</si>
  <si>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</si>
  <si>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</si>
  <si>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</si>
  <si>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</si>
  <si>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</si>
  <si>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</si>
  <si>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</si>
  <si>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</si>
  <si>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</si>
  <si>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</si>
  <si>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</si>
  <si>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</si>
  <si>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</si>
  <si>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</si>
  <si>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</si>
  <si>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</si>
  <si>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</si>
  <si>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</si>
  <si>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</si>
  <si>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</si>
  <si>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</si>
  <si>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</si>
  <si>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</si>
  <si>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</si>
  <si>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</si>
  <si>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</si>
  <si>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</si>
  <si>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</si>
  <si>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</si>
  <si>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</si>
  <si>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</si>
  <si>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</si>
  <si>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</si>
  <si>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</si>
  <si>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</si>
  <si>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</si>
  <si>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</si>
  <si>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</si>
  <si>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</si>
  <si>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</si>
  <si>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</si>
  <si>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</si>
  <si>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</si>
  <si>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</si>
  <si>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</si>
  <si>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</si>
  <si>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</si>
  <si>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</si>
  <si>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</si>
  <si>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</si>
  <si>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</si>
  <si>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</si>
  <si>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</si>
  <si>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</si>
  <si>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</si>
  <si>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</si>
  <si>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</si>
  <si>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</si>
  <si>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</si>
  <si>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</si>
  <si>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</si>
  <si>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</si>
  <si>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</si>
  <si>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</si>
  <si>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</si>
  <si>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</si>
  <si>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</si>
  <si>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</si>
  <si>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</si>
  <si>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</si>
  <si>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</si>
  <si>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</si>
  <si>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</si>
  <si>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</si>
  <si>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</si>
  <si>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</si>
  <si>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</si>
  <si>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</si>
  <si>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</si>
  <si>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</si>
  <si>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</si>
  <si>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</si>
  <si>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</si>
  <si>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</si>
  <si>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</si>
  <si>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</si>
  <si>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</si>
  <si>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</si>
  <si>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</si>
  <si>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</si>
  <si>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</si>
  <si>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</si>
  <si>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</si>
  <si>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</si>
  <si>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</si>
  <si>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</si>
  <si>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</si>
  <si>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</si>
  <si>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</si>
  <si>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</si>
  <si>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</si>
  <si>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</si>
  <si>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</si>
  <si>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</si>
  <si>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</si>
  <si>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</si>
  <si>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</si>
  <si>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</si>
  <si>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</si>
  <si>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</si>
  <si>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</si>
  <si>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</si>
  <si>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</si>
  <si>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</si>
  <si>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</si>
  <si>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</si>
  <si>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</si>
  <si>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</si>
  <si>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</si>
  <si>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</si>
  <si>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</si>
  <si>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</si>
  <si>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</si>
  <si>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</si>
  <si>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</si>
  <si>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</si>
  <si>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</si>
  <si>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</si>
  <si>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</si>
  <si>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</si>
  <si>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</si>
  <si>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</si>
  <si>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</si>
  <si>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</si>
  <si>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</si>
  <si>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</si>
  <si>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</si>
  <si>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</si>
  <si>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</si>
  <si>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</si>
  <si>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</si>
  <si>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</si>
  <si>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</si>
  <si>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</si>
  <si>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</si>
  <si>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</si>
  <si>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</si>
  <si>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</si>
  <si>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</si>
  <si>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</si>
  <si>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</si>
  <si>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</si>
  <si>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</si>
  <si>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</si>
  <si>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</si>
  <si>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</si>
  <si>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</si>
  <si>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</si>
  <si>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</si>
  <si>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</si>
  <si>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</si>
  <si>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</si>
  <si>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</si>
  <si>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</si>
  <si>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</si>
  <si>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</si>
  <si>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</si>
  <si>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</si>
  <si>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</si>
  <si>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</si>
  <si>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</si>
  <si>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</si>
  <si>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</si>
  <si>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</si>
  <si>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</si>
  <si>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</si>
  <si>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</si>
  <si>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</si>
  <si>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</si>
  <si>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</si>
  <si>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</si>
  <si>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</si>
  <si>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</si>
  <si>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</si>
  <si>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</si>
  <si>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</si>
  <si>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</si>
  <si>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</si>
  <si>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</si>
  <si>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</si>
  <si>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</si>
  <si>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</si>
  <si>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</si>
  <si>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</si>
  <si>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</si>
  <si>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</si>
  <si>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</si>
  <si>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</si>
  <si>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</si>
  <si>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</si>
  <si>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</si>
  <si>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</si>
  <si>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</si>
  <si>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</si>
  <si>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</si>
  <si>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</si>
  <si>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</si>
  <si>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</si>
  <si>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</si>
  <si>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</si>
  <si>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</si>
  <si>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</si>
  <si>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</si>
  <si>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</si>
  <si>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</si>
  <si>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</si>
  <si>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</si>
  <si>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</si>
  <si>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</si>
  <si>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</si>
  <si>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</si>
  <si>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</si>
  <si>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</si>
  <si>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</si>
  <si>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</si>
  <si>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</si>
  <si>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</si>
  <si>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</si>
  <si>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</si>
  <si>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</si>
  <si>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</si>
  <si>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</si>
  <si>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</si>
  <si>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</si>
  <si>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</si>
  <si>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</si>
  <si>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</si>
  <si>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</si>
  <si>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</si>
  <si>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</si>
  <si>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</si>
  <si>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</si>
  <si>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</si>
  <si>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</si>
  <si>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</si>
  <si>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</si>
  <si>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</si>
  <si>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</si>
  <si>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</si>
  <si>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</si>
  <si>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</si>
  <si>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</si>
  <si>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</si>
  <si>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</si>
  <si>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</si>
  <si>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</si>
  <si>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</si>
  <si>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</si>
  <si>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</si>
  <si>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</si>
  <si>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</si>
  <si>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</si>
  <si>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</si>
  <si>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</si>
  <si>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</si>
  <si>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</si>
  <si>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</si>
  <si>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</si>
  <si>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</si>
  <si>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</si>
  <si>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</si>
  <si>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</si>
  <si>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</si>
  <si>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</si>
  <si>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</si>
  <si>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</si>
  <si>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</si>
  <si>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</si>
  <si>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</si>
  <si>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</si>
  <si>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</si>
  <si>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</si>
  <si>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</si>
  <si>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</si>
  <si>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</si>
  <si>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</si>
  <si>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</si>
  <si>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</si>
  <si>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</si>
  <si>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</si>
  <si>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</si>
  <si>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</si>
  <si>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</si>
  <si>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</si>
  <si>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</si>
  <si>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</si>
  <si>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</si>
  <si>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</si>
  <si>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</si>
  <si>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</si>
  <si>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</si>
  <si>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</si>
  <si>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</si>
  <si>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</si>
  <si>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</si>
  <si>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</si>
  <si>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</si>
  <si>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</si>
  <si>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</si>
  <si>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</si>
  <si>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</si>
  <si>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</si>
  <si>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</si>
  <si>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</si>
  <si>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</si>
  <si>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</si>
  <si>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</si>
  <si>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</si>
  <si>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</si>
  <si>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</si>
  <si>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</si>
  <si>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</si>
  <si>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</si>
  <si>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</si>
  <si>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</si>
  <si>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</si>
  <si>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</si>
  <si>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</si>
  <si>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</si>
  <si>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</si>
  <si>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</si>
  <si>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</si>
  <si>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</si>
  <si>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</si>
  <si>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</si>
  <si>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</si>
  <si>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</si>
  <si>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</si>
  <si>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</si>
  <si>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</si>
  <si>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</si>
  <si>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</si>
  <si>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</si>
  <si>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</si>
  <si>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</si>
  <si>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</si>
  <si>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</si>
  <si>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</si>
  <si>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</si>
  <si>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</si>
  <si>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</si>
  <si>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</si>
  <si>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</si>
  <si>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</si>
  <si>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</si>
  <si>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</si>
  <si>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</si>
  <si>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</si>
  <si>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</si>
  <si>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</si>
  <si>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</si>
  <si>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</si>
  <si>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</si>
  <si>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</si>
  <si>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</si>
  <si>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</si>
  <si>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</si>
  <si>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</si>
  <si>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</si>
  <si>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</si>
  <si>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</si>
  <si>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</si>
  <si>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</si>
  <si>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</si>
  <si>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</si>
  <si>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</si>
  <si>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</si>
  <si>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</si>
  <si>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</si>
  <si>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</si>
  <si>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</si>
  <si>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</si>
  <si>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</si>
  <si>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</si>
  <si>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</si>
  <si>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</si>
  <si>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</si>
  <si>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</si>
  <si>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</si>
  <si>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</si>
  <si>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</si>
  <si>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</si>
  <si>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</si>
  <si>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</si>
  <si>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</si>
  <si>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</si>
  <si>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</si>
  <si>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</si>
  <si>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</si>
  <si>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</si>
  <si>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</si>
  <si>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</si>
  <si>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</si>
  <si>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</si>
  <si>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</si>
  <si>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</si>
  <si>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</si>
  <si>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</si>
  <si>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</si>
  <si>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</si>
  <si>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</si>
  <si>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</si>
  <si>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</si>
  <si>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</si>
  <si>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</si>
  <si>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</si>
  <si>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</si>
  <si>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</si>
  <si>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</si>
  <si>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</si>
  <si>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</si>
  <si>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</si>
  <si>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</si>
  <si>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</si>
  <si>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</si>
  <si>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</si>
  <si>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</si>
  <si>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</si>
  <si>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</si>
  <si>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</si>
  <si>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</si>
  <si>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</si>
  <si>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</si>
  <si>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</si>
  <si>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</si>
  <si>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</si>
  <si>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</si>
  <si>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</si>
  <si>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</si>
  <si>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</si>
  <si>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</si>
  <si>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</si>
  <si>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</si>
  <si>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</si>
  <si>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</si>
  <si>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</si>
  <si>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</si>
  <si>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</si>
  <si>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</si>
  <si>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</si>
  <si>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</si>
  <si>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</si>
  <si>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</si>
  <si>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</si>
  <si>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</si>
  <si>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</si>
  <si>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</si>
  <si>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</si>
  <si>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</si>
  <si>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</si>
  <si>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</si>
  <si>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</si>
  <si>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</si>
  <si>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</si>
  <si>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</si>
  <si>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</si>
  <si>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</si>
  <si>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</si>
  <si>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</si>
  <si>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</si>
  <si>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</si>
  <si>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</si>
  <si>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</si>
  <si>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</si>
  <si>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</si>
  <si>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</si>
  <si>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</si>
  <si>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</si>
  <si>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</si>
  <si>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</si>
  <si>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</si>
  <si>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</si>
  <si>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</si>
  <si>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</si>
  <si>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</si>
  <si>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</si>
  <si>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</si>
  <si>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</si>
  <si>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</si>
  <si>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</si>
  <si>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</si>
  <si>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</si>
  <si>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</si>
  <si>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</si>
  <si>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</si>
  <si>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</si>
  <si>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</si>
  <si>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</si>
  <si>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</si>
  <si>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</si>
  <si>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</si>
  <si>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</si>
  <si>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</si>
  <si>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</si>
  <si>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</si>
  <si>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</si>
  <si>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</si>
  <si>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</si>
  <si>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</si>
  <si>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</si>
  <si>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</si>
  <si>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</si>
  <si>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</si>
  <si>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</si>
  <si>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</si>
  <si>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</si>
  <si>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</si>
  <si>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</si>
  <si>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</si>
  <si>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</si>
  <si>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</si>
  <si>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</si>
  <si>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</si>
  <si>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</si>
  <si>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</si>
  <si>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</si>
  <si>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</si>
  <si>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</si>
  <si>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</si>
  <si>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</si>
  <si>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</si>
  <si>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</si>
  <si>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</si>
  <si>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</si>
  <si>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</si>
  <si>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</si>
  <si>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</si>
  <si>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</si>
  <si>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</si>
  <si>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</si>
  <si>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</si>
  <si>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</si>
  <si>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</si>
  <si>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</si>
  <si>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</si>
  <si>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</si>
  <si>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</si>
  <si>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</si>
  <si>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</si>
  <si>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</si>
  <si>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</si>
  <si>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</si>
  <si>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</si>
  <si>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</si>
  <si>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</si>
  <si>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</si>
  <si>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</si>
  <si>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</si>
  <si>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</si>
  <si>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</si>
  <si>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</si>
  <si>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</si>
  <si>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</si>
  <si>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</si>
  <si>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</si>
  <si>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</si>
  <si>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</si>
  <si>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</si>
  <si>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</si>
  <si>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</si>
  <si>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</si>
  <si>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</si>
  <si>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</si>
  <si>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</si>
  <si>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</si>
  <si>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</si>
  <si>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</si>
  <si>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</si>
  <si>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</si>
  <si>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</si>
  <si>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</si>
  <si>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</si>
  <si>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</si>
  <si>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</si>
  <si>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</si>
  <si>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</si>
  <si>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</si>
  <si>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</si>
  <si>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</si>
  <si>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</si>
  <si>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</si>
  <si>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</si>
  <si>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</si>
  <si>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</si>
  <si>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</si>
  <si>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</si>
  <si>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</si>
  <si>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</si>
  <si>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</si>
  <si>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</si>
  <si>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</si>
  <si>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</si>
  <si>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</si>
  <si>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</si>
  <si>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</si>
  <si>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</si>
  <si>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</si>
  <si>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</si>
  <si>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</si>
  <si>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</si>
  <si>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</si>
  <si>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</si>
  <si>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</si>
  <si>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</si>
  <si>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</si>
  <si>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</si>
  <si>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</si>
  <si>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</si>
  <si>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</si>
  <si>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</si>
  <si>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</si>
  <si>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</si>
  <si>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</si>
  <si>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</si>
  <si>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</si>
  <si>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</si>
  <si>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</si>
  <si>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</si>
  <si>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</si>
  <si>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</si>
  <si>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</si>
  <si>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</si>
  <si>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</si>
  <si>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</si>
  <si>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</si>
  <si>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</si>
  <si>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</si>
  <si>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</si>
  <si>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</si>
  <si>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</si>
  <si>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</si>
  <si>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</si>
  <si>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</si>
  <si>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</si>
  <si>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</si>
  <si>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</si>
  <si>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</si>
  <si>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</si>
  <si>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</si>
  <si>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</si>
  <si>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</si>
  <si>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</si>
  <si>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</si>
  <si>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</si>
  <si>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</si>
  <si>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</si>
  <si>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</si>
  <si>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</si>
  <si>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</si>
  <si>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</si>
  <si>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</si>
  <si>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</si>
  <si>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</si>
  <si>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</si>
  <si>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</si>
  <si>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</si>
  <si>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</si>
  <si>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</si>
  <si>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</si>
  <si>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</si>
  <si>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</si>
  <si>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</si>
  <si>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</si>
  <si>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</si>
  <si>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</si>
  <si>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</si>
  <si>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</si>
  <si>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</si>
  <si>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</si>
  <si>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</si>
  <si>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</si>
  <si>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</si>
  <si>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</si>
  <si>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</si>
  <si>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</si>
  <si>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</si>
  <si>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</si>
  <si>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</si>
  <si>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</si>
  <si>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</si>
  <si>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</si>
  <si>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</si>
  <si>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</si>
  <si>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</si>
  <si>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</si>
  <si>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</si>
  <si>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</si>
  <si>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</si>
  <si>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</si>
  <si>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</si>
  <si>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</si>
  <si>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</si>
  <si>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</si>
  <si>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</si>
  <si>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</si>
  <si>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</si>
  <si>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</si>
  <si>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</si>
  <si>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</si>
  <si>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</si>
  <si>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</si>
  <si>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</si>
  <si>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</si>
  <si>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</si>
  <si>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</si>
  <si>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</si>
  <si>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</si>
  <si>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</si>
  <si>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</si>
  <si>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</si>
  <si>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</si>
  <si>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</si>
  <si>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</si>
  <si>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</si>
  <si>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</si>
  <si>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</si>
  <si>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</si>
  <si>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</si>
  <si>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</si>
  <si>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</si>
  <si>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</si>
  <si>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</si>
  <si>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</si>
  <si>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</si>
  <si>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</si>
  <si>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</si>
  <si>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</si>
  <si>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</si>
  <si>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</si>
  <si>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</si>
  <si>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</si>
  <si>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</si>
  <si>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</si>
  <si>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</si>
  <si>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</si>
  <si>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</si>
  <si>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</si>
  <si>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</si>
  <si>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</si>
  <si>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</si>
  <si>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</si>
  <si>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</si>
  <si>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</si>
  <si>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</si>
  <si>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</si>
  <si>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</si>
  <si>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</si>
  <si>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</si>
  <si>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</si>
  <si>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</si>
  <si>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</si>
  <si>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</si>
  <si>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</si>
  <si>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</si>
  <si>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</si>
  <si>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</si>
  <si>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</si>
  <si>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</si>
  <si>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</si>
  <si>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</si>
  <si>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</si>
  <si>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</si>
  <si>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</si>
  <si>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</si>
  <si>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</si>
  <si>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</si>
  <si>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</si>
  <si>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</si>
  <si>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</si>
  <si>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</si>
  <si>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</si>
  <si>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</si>
  <si>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</si>
  <si>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</si>
  <si>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</si>
  <si>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</si>
  <si>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</si>
  <si>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</si>
  <si>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</si>
  <si>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</si>
  <si>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</si>
  <si>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</si>
  <si>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</si>
  <si>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</si>
  <si>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</si>
  <si>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</si>
  <si>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</si>
  <si>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</si>
  <si>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</si>
  <si>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</si>
  <si>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</si>
  <si>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</si>
  <si>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</si>
  <si>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</si>
  <si>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</si>
  <si>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</si>
  <si>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</si>
  <si>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</si>
  <si>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</si>
  <si>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</si>
  <si>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</si>
  <si>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</si>
  <si>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</si>
  <si>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</si>
  <si>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</si>
  <si>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</si>
  <si>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</si>
  <si>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</si>
  <si>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</si>
  <si>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</si>
  <si>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</si>
  <si>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</si>
  <si>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</si>
  <si>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</si>
  <si>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</si>
  <si>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</si>
  <si>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</si>
  <si>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</si>
  <si>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</si>
  <si>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</si>
  <si>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</si>
  <si>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</si>
  <si>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</si>
  <si>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</si>
  <si>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</si>
  <si>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</si>
  <si>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</si>
  <si>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</si>
  <si>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</si>
  <si>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</si>
  <si>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</si>
  <si>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</si>
  <si>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</si>
  <si>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</si>
  <si>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</si>
  <si>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</si>
  <si>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</si>
  <si>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</si>
  <si>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</si>
  <si>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</si>
  <si>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</si>
  <si>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</si>
  <si>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</si>
  <si>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</si>
  <si>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</si>
  <si>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</si>
  <si>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</si>
  <si>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</si>
  <si>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</si>
  <si>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</si>
  <si>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</si>
  <si>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</si>
  <si>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</si>
  <si>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</si>
  <si>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</si>
  <si>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</si>
  <si>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</si>
  <si>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</si>
  <si>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</si>
  <si>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</si>
  <si>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</si>
  <si>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</si>
  <si>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</si>
  <si>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</si>
  <si>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</si>
  <si>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</si>
  <si>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</si>
  <si>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</si>
  <si>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</si>
  <si>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</si>
  <si>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</si>
  <si>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</si>
  <si>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</si>
  <si>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</si>
  <si>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</si>
  <si>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</si>
  <si>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</si>
  <si>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</si>
  <si>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</si>
  <si>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</si>
  <si>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</si>
  <si>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</si>
  <si>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</si>
  <si>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</si>
  <si>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</si>
  <si>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</si>
  <si>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</si>
  <si>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</si>
  <si>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</si>
  <si>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</si>
  <si>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</si>
  <si>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</si>
  <si>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</si>
  <si>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</si>
  <si>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</si>
  <si>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</si>
  <si>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</si>
  <si>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</si>
  <si>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</si>
  <si>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</si>
  <si>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</si>
  <si>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</si>
  <si>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</si>
  <si>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</si>
  <si>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</si>
  <si>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</si>
  <si>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</si>
  <si>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</si>
  <si>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</si>
  <si>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</si>
  <si>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</si>
  <si>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</si>
  <si>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</si>
  <si>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</si>
  <si>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</si>
  <si>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</si>
  <si>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</si>
  <si>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</si>
  <si>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</si>
  <si>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</si>
  <si>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</si>
  <si>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</si>
  <si>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</si>
  <si>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</si>
  <si>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</si>
  <si>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</si>
  <si>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</si>
  <si>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</si>
  <si>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</si>
  <si>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</si>
  <si>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</si>
  <si>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</si>
  <si>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</si>
  <si>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</si>
  <si>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</si>
  <si>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</si>
  <si>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</si>
  <si>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</si>
  <si>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</si>
  <si>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</si>
  <si>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</si>
  <si>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</si>
  <si>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</si>
  <si>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</si>
  <si>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</si>
  <si>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</si>
  <si>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</si>
  <si>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</si>
  <si>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</si>
  <si>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</si>
  <si>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</si>
  <si>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</si>
  <si>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</si>
  <si>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</si>
  <si>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</si>
  <si>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</si>
  <si>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</si>
  <si>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</si>
  <si>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</si>
  <si>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</si>
  <si>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</si>
  <si>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</si>
  <si>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</si>
  <si>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</si>
  <si>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</si>
  <si>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</si>
  <si>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</si>
  <si>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</si>
  <si>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</si>
  <si>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</si>
  <si>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</si>
  <si>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</si>
  <si>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</si>
  <si>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</si>
  <si>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</si>
  <si>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</si>
  <si>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</si>
  <si>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</si>
  <si>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</si>
  <si>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</si>
  <si>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</si>
  <si>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</si>
  <si>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</si>
  <si>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</si>
  <si>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</si>
  <si>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</si>
  <si>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</si>
  <si>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</si>
  <si>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</si>
  <si>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</si>
  <si>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</si>
  <si>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</si>
  <si>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</si>
  <si>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</si>
  <si>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</si>
  <si>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</si>
  <si>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</si>
  <si>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</si>
  <si>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</si>
  <si>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</si>
  <si>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</si>
  <si>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</si>
  <si>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</si>
  <si>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</si>
  <si>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</si>
  <si>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</si>
  <si>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</si>
  <si>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</si>
  <si>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</si>
  <si>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</si>
  <si>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</si>
  <si>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</si>
  <si>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</si>
  <si>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</si>
  <si>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</si>
  <si>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</si>
  <si>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</si>
  <si>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</si>
  <si>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</si>
  <si>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</si>
  <si>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</si>
  <si>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</si>
  <si>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</si>
  <si>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</si>
  <si>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</si>
  <si>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</si>
  <si>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</si>
  <si>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</si>
  <si>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</si>
  <si>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</si>
  <si>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</si>
  <si>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</si>
  <si>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</si>
  <si>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</si>
  <si>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</si>
  <si>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</si>
  <si>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</si>
  <si>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</si>
  <si>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</si>
  <si>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</si>
  <si>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</si>
  <si>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</si>
  <si>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</si>
  <si>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</si>
  <si>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</si>
  <si>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</si>
  <si>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</si>
  <si>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</si>
  <si>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</si>
  <si>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</si>
  <si>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</si>
  <si>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</si>
  <si>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</si>
  <si>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</si>
  <si>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</si>
  <si>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</si>
  <si>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</si>
  <si>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</si>
  <si>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</si>
  <si>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</si>
  <si>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</si>
  <si>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</si>
  <si>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</si>
  <si>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</si>
  <si>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</si>
  <si>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</si>
  <si>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</si>
  <si>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</si>
  <si>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</si>
  <si>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</si>
  <si>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</si>
  <si>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</si>
  <si>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</si>
  <si>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</si>
  <si>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</si>
  <si>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</si>
  <si>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</si>
  <si>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</si>
  <si>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</si>
  <si>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</si>
  <si>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</si>
  <si>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</si>
  <si>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</si>
  <si>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</si>
  <si>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</si>
  <si>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</si>
  <si>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</si>
  <si>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</si>
  <si>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</si>
  <si>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</si>
  <si>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</si>
  <si>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</si>
  <si>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</si>
  <si>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</si>
  <si>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</si>
  <si>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</si>
  <si>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</si>
  <si>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</si>
  <si>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</si>
  <si>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</si>
  <si>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</si>
  <si>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</si>
  <si>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</si>
  <si>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</si>
  <si>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</si>
  <si>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</si>
  <si>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</si>
  <si>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</si>
  <si>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</si>
  <si>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</si>
  <si>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</si>
  <si>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</si>
  <si>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</si>
  <si>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</si>
  <si>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</si>
  <si>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</si>
  <si>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</si>
  <si>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</si>
  <si>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</si>
  <si>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</si>
  <si>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</si>
  <si>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</si>
  <si>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</si>
  <si>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</si>
  <si>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</si>
  <si>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</si>
  <si>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</si>
  <si>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</si>
  <si>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</si>
  <si>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</si>
  <si>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</si>
  <si>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</si>
  <si>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</si>
  <si>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t>2021-4</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</si>
  <si>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</si>
  <si>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</si>
  <si>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</si>
  <si>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</si>
  <si>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</si>
  <si>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</si>
  <si>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</si>
  <si>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</si>
  <si>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</si>
  <si>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</si>
  <si>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</si>
  <si>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</si>
  <si>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</si>
  <si>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</si>
  <si>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</si>
  <si>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</si>
  <si>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</si>
  <si>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</si>
  <si>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</si>
  <si>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</si>
  <si>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</si>
  <si>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</si>
  <si>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</si>
  <si>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</si>
  <si>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</si>
  <si>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</si>
  <si>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</si>
  <si>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</si>
  <si>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</si>
  <si>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</si>
  <si>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</si>
  <si>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</si>
  <si>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</si>
  <si>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</si>
  <si>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</si>
  <si>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</si>
  <si>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</si>
  <si>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</si>
  <si>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</si>
  <si>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</si>
  <si>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</si>
  <si>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</si>
  <si>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</si>
  <si>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</si>
  <si>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</si>
  <si>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</si>
  <si>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</si>
  <si>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</si>
  <si>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</si>
  <si>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</si>
  <si>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</si>
  <si>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</si>
  <si>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</si>
  <si>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</si>
  <si>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</si>
  <si>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</si>
  <si>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</si>
  <si>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</si>
  <si>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</si>
  <si>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</si>
  <si>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</si>
  <si>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</si>
  <si>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</si>
  <si>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</si>
  <si>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</si>
  <si>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</si>
  <si>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</si>
  <si>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</si>
  <si>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</si>
  <si>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</si>
  <si>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</si>
  <si>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</si>
  <si>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</si>
  <si>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</si>
  <si>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</si>
  <si>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</si>
  <si>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</si>
  <si>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</si>
  <si>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</si>
  <si>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</si>
  <si>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</si>
  <si>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</si>
  <si>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</si>
  <si>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</si>
  <si>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</si>
  <si>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</si>
  <si>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</si>
  <si>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</si>
  <si>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</si>
  <si>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</si>
  <si>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</si>
  <si>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</si>
  <si>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</si>
  <si>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</si>
  <si>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</si>
  <si>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</si>
  <si>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</si>
  <si>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</si>
  <si>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</si>
  <si>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</si>
  <si>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</si>
  <si>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</si>
  <si>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</si>
  <si>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</si>
  <si>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</si>
  <si>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</si>
  <si>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</si>
  <si>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</si>
  <si>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</si>
  <si>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</si>
  <si>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</si>
  <si>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</si>
  <si>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</si>
  <si>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</si>
  <si>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</si>
  <si>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</si>
  <si>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</si>
  <si>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</si>
  <si>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</si>
  <si>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</si>
  <si>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</si>
  <si>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</si>
  <si>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</si>
  <si>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</si>
  <si>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</si>
  <si>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</si>
  <si>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</si>
  <si>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</si>
  <si>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</si>
  <si>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</si>
  <si>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</si>
  <si>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</si>
  <si>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</si>
  <si>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</si>
  <si>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</si>
  <si>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</si>
  <si>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</si>
  <si>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</si>
  <si>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</si>
  <si>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</si>
  <si>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</si>
  <si>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</si>
  <si>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</si>
  <si>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</si>
  <si>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</si>
  <si>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</si>
  <si>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</si>
  <si>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</si>
  <si>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</si>
  <si>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</si>
  <si>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</si>
  <si>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</si>
  <si>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市场价格</t>
  </si>
  <si>
    <t>企业</t>
  </si>
  <si>
    <t>商业</t>
  </si>
  <si>
    <t>一致</t>
  </si>
  <si>
    <t>工程进度</t>
  </si>
  <si>
    <t>地上</t>
  </si>
  <si>
    <t>商业</t>
    <phoneticPr fontId="7" type="noConversion"/>
  </si>
  <si>
    <t>不临58条商业街</t>
  </si>
  <si>
    <t>与级别开发程度一致</t>
  </si>
  <si>
    <t>按公示增长率计算</t>
  </si>
  <si>
    <t>容积率修正</t>
  </si>
  <si>
    <t>宗地容积率</t>
  </si>
  <si>
    <t>批发零售用地</t>
  </si>
  <si>
    <t>地上商业</t>
  </si>
  <si>
    <r>
      <rPr>
        <b/>
        <sz val="12"/>
        <rFont val="仿宋_GB2312"/>
        <family val="3"/>
        <charset val="134"/>
      </rPr>
      <t>总价</t>
    </r>
    <phoneticPr fontId="3" type="noConversion"/>
  </si>
  <si>
    <r>
      <rPr>
        <b/>
        <sz val="12"/>
        <rFont val="仿宋_GB2312"/>
        <family val="3"/>
        <charset val="134"/>
      </rPr>
      <t>楼面单价</t>
    </r>
    <phoneticPr fontId="3" type="noConversion"/>
  </si>
  <si>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</si>
  <si>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</si>
  <si>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</si>
  <si>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</si>
  <si>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</si>
  <si>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已部分缴纳</t>
  </si>
  <si>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</si>
  <si>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</si>
  <si>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</si>
  <si>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</si>
  <si>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</si>
  <si>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t>40</t>
    </r>
    <r>
      <rPr>
        <sz val="11"/>
        <color indexed="8"/>
        <rFont val="宋体"/>
        <family val="3"/>
        <charset val="134"/>
      </rPr>
      <t>年</t>
    </r>
    <phoneticPr fontId="3" type="noConversion"/>
  </si>
  <si>
    <r>
      <rPr>
        <b/>
        <sz val="11"/>
        <color indexed="8"/>
        <rFont val="仿宋_GB2312"/>
        <family val="3"/>
        <charset val="134"/>
      </rPr>
      <t>配建</t>
    </r>
    <phoneticPr fontId="3" type="noConversion"/>
  </si>
  <si>
    <t>产业限制</t>
    <phoneticPr fontId="3" type="noConversion"/>
  </si>
  <si>
    <t>自持</t>
    <phoneticPr fontId="3" type="noConversion"/>
  </si>
  <si>
    <t>非自持</t>
    <phoneticPr fontId="3" type="noConversion"/>
  </si>
  <si>
    <t>区域因素</t>
    <phoneticPr fontId="3" type="noConversion"/>
  </si>
  <si>
    <t>位于西三旗商圈，所在区域商业项目有新都生活广场、龙旗购物中心等，人流量较大，商业繁华度较好</t>
    <phoneticPr fontId="3" type="noConversion"/>
  </si>
  <si>
    <t>所在区域在建商业项目较少，人流量一般，商业繁华度一般</t>
    <phoneticPr fontId="3" type="noConversion"/>
  </si>
  <si>
    <t>一般</t>
  </si>
  <si>
    <t>较好</t>
  </si>
  <si>
    <r>
      <t>2</t>
    </r>
    <r>
      <rPr>
        <sz val="11"/>
        <color theme="1"/>
        <rFont val="宋体"/>
        <family val="3"/>
        <charset val="134"/>
      </rPr>
      <t>公里范围有地铁8号线育新站、西小口站，周边有多条公交线路通过，区域道路较密集，距清河火车站约4.5公里，距北京站约18公里，距北京首都国际机场约20.5公里，综合评价交通便捷度较好</t>
    </r>
    <phoneticPr fontId="3" type="noConversion"/>
  </si>
  <si>
    <r>
      <t>2</t>
    </r>
    <r>
      <rPr>
        <sz val="11"/>
        <color theme="1"/>
        <rFont val="宋体"/>
        <family val="3"/>
        <charset val="134"/>
      </rPr>
      <t>公里范围内无地铁，距地铁昌平线（生命科学园站）约2.6公里，周边有多条公交线路通过，区域道路较密集，距清河火车站约7.2公里，距北京站约25.1公里，距北京首都国际机场约28.9公里，综合评价交通便捷度一般</t>
    </r>
    <phoneticPr fontId="3" type="noConversion"/>
  </si>
  <si>
    <t>2公里范围内无地铁，距地铁16号线（永丰站）约3.3公里，周边有多条公交线路通过，区域道路较密集，距清河火车站约10.3公里，距北京站约27.9公里，距北京首都国际机场约32.7公里，综合评价交通便捷度较差</t>
    <phoneticPr fontId="3" type="noConversion"/>
  </si>
  <si>
    <t>较差</t>
  </si>
  <si>
    <t>零星有其他用地，基本不影响本宗地</t>
    <phoneticPr fontId="3" type="noConversion"/>
  </si>
  <si>
    <r>
      <rPr>
        <sz val="11"/>
        <rFont val="宋体"/>
        <family val="3"/>
        <charset val="134"/>
      </rPr>
      <t>周边</t>
    </r>
    <r>
      <rPr>
        <sz val="11"/>
        <rFont val="Arial"/>
        <family val="2"/>
      </rPr>
      <t>2</t>
    </r>
    <r>
      <rPr>
        <sz val="11"/>
        <rFont val="宋体"/>
        <family val="3"/>
        <charset val="134"/>
      </rPr>
      <t>公里范围内有翡丽公园、东小口城市公园、动享华羽运动中心等，综合评价自然及人文环境较好</t>
    </r>
    <phoneticPr fontId="3" type="noConversion"/>
  </si>
  <si>
    <r>
      <rPr>
        <sz val="11"/>
        <rFont val="宋体"/>
        <family val="3"/>
        <charset val="134"/>
      </rPr>
      <t>周边</t>
    </r>
    <r>
      <rPr>
        <sz val="11"/>
        <rFont val="Arial"/>
        <family val="2"/>
      </rPr>
      <t>2</t>
    </r>
    <r>
      <rPr>
        <sz val="11"/>
        <rFont val="宋体"/>
        <family val="3"/>
        <charset val="134"/>
      </rPr>
      <t>公里范围内有中关村生命园智云体育公园、北京城市学院（航天城校区）、中国地质科学院等，综合评价自然及人文环境较好</t>
    </r>
    <phoneticPr fontId="3" type="noConversion"/>
  </si>
  <si>
    <r>
      <rPr>
        <sz val="11"/>
        <rFont val="宋体"/>
        <family val="3"/>
        <charset val="134"/>
      </rPr>
      <t>周边</t>
    </r>
    <r>
      <rPr>
        <sz val="11"/>
        <rFont val="Arial"/>
        <family val="2"/>
      </rPr>
      <t>2</t>
    </r>
    <r>
      <rPr>
        <sz val="11"/>
        <rFont val="宋体"/>
        <family val="3"/>
        <charset val="134"/>
      </rPr>
      <t>公里范围内有东马坊村法治公园、东马坊健身公园、北京北大资源研修学院、南沙河等，综合评价自然及人文环境较好</t>
    </r>
    <phoneticPr fontId="3" type="noConversion"/>
  </si>
  <si>
    <r>
      <rPr>
        <sz val="11"/>
        <rFont val="宋体"/>
        <family val="3"/>
        <charset val="134"/>
      </rPr>
      <t>周边</t>
    </r>
    <r>
      <rPr>
        <sz val="11"/>
        <rFont val="Arial"/>
        <family val="2"/>
      </rPr>
      <t>2</t>
    </r>
    <r>
      <rPr>
        <sz val="11"/>
        <rFont val="宋体"/>
        <family val="3"/>
        <charset val="134"/>
      </rPr>
      <t>公里范围内有购物场所（新都生活广场、龙旗购物中心、物美超市、永辉超市等）、银行（中国邮政储蓄银行、中国光大银行、中国工商银行等）、学校（北大附中西三旗学校、北京二十中学、北京金融学院、首师大附属于新学校、海淀区清河第四小学等）、医院（北医三院第二门诊部、北京市昌平区中西医结合医院、中医门诊等），综合评价区域设施及基础设施水平较好</t>
    </r>
    <phoneticPr fontId="3" type="noConversion"/>
  </si>
  <si>
    <r>
      <rPr>
        <sz val="11"/>
        <rFont val="宋体"/>
        <family val="3"/>
        <charset val="134"/>
      </rPr>
      <t>周边</t>
    </r>
    <r>
      <rPr>
        <sz val="11"/>
        <rFont val="Arial"/>
        <family val="2"/>
      </rPr>
      <t>2</t>
    </r>
    <r>
      <rPr>
        <sz val="11"/>
        <rFont val="宋体"/>
        <family val="3"/>
        <charset val="134"/>
      </rPr>
      <t>公里范围内有购物场所（超市发（北清路店、物美（航天城店））等）、银行（中国建设银行（生命园支行）、中国农业银行（航天城支行）等）、学校（中国科学院第三幼儿园（杏林湾分园）、北京市昌平区定福小学、清华大学附属中学永丰学校等）、医院（北京大学国际医院、北京大学第六医院（昌平院区）、西北旺镇社区卫生服务中心等），综合评价区域设施及基础设施水平较好</t>
    </r>
    <phoneticPr fontId="3" type="noConversion"/>
  </si>
  <si>
    <r>
      <rPr>
        <sz val="11"/>
        <rFont val="宋体"/>
        <family val="3"/>
        <charset val="134"/>
      </rPr>
      <t>周边</t>
    </r>
    <r>
      <rPr>
        <sz val="11"/>
        <rFont val="Arial"/>
        <family val="2"/>
      </rPr>
      <t>2</t>
    </r>
    <r>
      <rPr>
        <sz val="11"/>
        <rFont val="宋体"/>
        <family val="3"/>
        <charset val="134"/>
      </rPr>
      <t>公里范围内有购物场所（世纪家家福超市（上庄镇店）等）、银行（北京市农村商业银行（上庄支行）等）、学校（海淀区艺鸣实验幼儿园、东马坊小学、北京市第五十七中学（上庄分校）等）、医院（北京市海淀区西北旺镇大牛坊社区卫生服务站等），综合评价区域设施及基础设施水平较好</t>
    </r>
    <phoneticPr fontId="3" type="noConversion"/>
  </si>
  <si>
    <t>基础设施水平</t>
    <phoneticPr fontId="3" type="noConversion"/>
  </si>
  <si>
    <t>七通</t>
  </si>
  <si>
    <r>
      <rPr>
        <sz val="11"/>
        <rFont val="宋体"/>
        <family val="3"/>
        <charset val="134"/>
      </rPr>
      <t>城市次干道</t>
    </r>
    <r>
      <rPr>
        <sz val="11"/>
        <rFont val="Arial"/>
        <family val="2"/>
      </rPr>
      <t>-</t>
    </r>
    <r>
      <rPr>
        <sz val="11"/>
        <rFont val="宋体"/>
        <family val="3"/>
        <charset val="134"/>
      </rPr>
      <t>建材城中路</t>
    </r>
    <phoneticPr fontId="3" type="noConversion"/>
  </si>
  <si>
    <r>
      <t>城市高速路</t>
    </r>
    <r>
      <rPr>
        <sz val="9"/>
        <color theme="1"/>
        <rFont val="Arial"/>
        <family val="2"/>
      </rPr>
      <t>-</t>
    </r>
    <r>
      <rPr>
        <sz val="9"/>
        <color theme="1"/>
        <rFont val="仿宋_GB2312"/>
        <family val="3"/>
        <charset val="134"/>
      </rPr>
      <t>京新高速</t>
    </r>
  </si>
  <si>
    <r>
      <t>城市主干道</t>
    </r>
    <r>
      <rPr>
        <sz val="9"/>
        <color theme="1"/>
        <rFont val="Arial"/>
        <family val="2"/>
      </rPr>
      <t>-</t>
    </r>
    <r>
      <rPr>
        <sz val="9"/>
        <color theme="1"/>
        <rFont val="仿宋_GB2312"/>
        <family val="3"/>
        <charset val="134"/>
      </rPr>
      <t>上庄路</t>
    </r>
  </si>
  <si>
    <t>次干道</t>
  </si>
  <si>
    <t>高速路</t>
  </si>
  <si>
    <t>主干道</t>
  </si>
  <si>
    <r>
      <rPr>
        <sz val="11"/>
        <color indexed="8"/>
        <rFont val="仿宋_GB2312"/>
        <family val="3"/>
        <charset val="134"/>
      </rPr>
      <t>土地级别</t>
    </r>
    <phoneticPr fontId="3" type="noConversion"/>
  </si>
  <si>
    <t>个别因素</t>
    <phoneticPr fontId="3" type="noConversion"/>
  </si>
  <si>
    <t>较规则</t>
  </si>
  <si>
    <t>临街宽度和深度比例较适宜，适合开发利</t>
  </si>
  <si>
    <t>五通</t>
  </si>
  <si>
    <t>楼面地价</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</si>
  <si>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</si>
  <si>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</si>
  <si>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</si>
  <si>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</si>
  <si>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</si>
  <si>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</si>
  <si>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</si>
  <si>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</si>
  <si>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</si>
  <si>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</si>
  <si>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</si>
  <si>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</si>
  <si>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</si>
  <si>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</si>
  <si>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</si>
  <si>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</si>
  <si>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</si>
  <si>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</si>
  <si>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</si>
  <si>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</si>
  <si>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</si>
  <si>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</si>
  <si>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</si>
  <si>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高速路</t>
    <phoneticPr fontId="225" type="noConversion"/>
  </si>
  <si>
    <t>主干道</t>
    <phoneticPr fontId="225" type="noConversion"/>
  </si>
  <si>
    <t>次干道</t>
    <phoneticPr fontId="225" type="noConversion"/>
  </si>
  <si>
    <t>规则</t>
    <phoneticPr fontId="3" type="noConversion"/>
  </si>
  <si>
    <t>较规则</t>
    <phoneticPr fontId="3" type="noConversion"/>
  </si>
  <si>
    <t>六通</t>
  </si>
  <si>
    <t>四通</t>
  </si>
  <si>
    <t>三通</t>
  </si>
  <si>
    <t>较好</t>
    <phoneticPr fontId="3" type="noConversion"/>
  </si>
  <si>
    <t>基准地价</t>
  </si>
  <si>
    <t>剩余法-待开发</t>
  </si>
  <si>
    <t>项目全部</t>
  </si>
  <si>
    <r>
      <rPr>
        <sz val="11"/>
        <rFont val="宋体"/>
        <family val="3"/>
        <charset val="134"/>
      </rPr>
      <t>城市次干道</t>
    </r>
    <r>
      <rPr>
        <sz val="11"/>
        <rFont val="Arial"/>
        <family val="2"/>
      </rPr>
      <t>-</t>
    </r>
    <r>
      <rPr>
        <sz val="11"/>
        <rFont val="宋体"/>
        <family val="3"/>
        <charset val="134"/>
      </rPr>
      <t>友谊路</t>
    </r>
    <phoneticPr fontId="3" type="noConversion"/>
  </si>
  <si>
    <t>熟地价</t>
    <phoneticPr fontId="225" type="noConversion"/>
  </si>
  <si>
    <t>六级商业区间</t>
    <phoneticPr fontId="225" type="noConversion"/>
  </si>
  <si>
    <t>本项目出让金</t>
    <phoneticPr fontId="225" type="noConversion"/>
  </si>
  <si>
    <t>本项目一级开发成本</t>
    <phoneticPr fontId="225" type="noConversion"/>
  </si>
  <si>
    <t>小计</t>
    <phoneticPr fontId="225" type="noConversion"/>
  </si>
  <si>
    <t>（熟地价14089）</t>
    <phoneticPr fontId="225" type="noConversion"/>
  </si>
  <si>
    <t>http://ghzrzyw.beijing.gov.cn/zhengwuxinxi/tzgg/sj/201912/t20191223_1417205.html</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</si>
</sst>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
      <sz val="9"/>
      <color theme="1"/>
      <name val="仿宋_GB2312"/>
      <family val="3"/>
      <charset val="134"/>
    </font>
    <font>
      <sz val="11"/>
      <name val="Arial"/>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9"/>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4" fillId="0" borderId="0" applyNumberFormat="0" applyFill="0" applyBorder="0" applyAlignment="0" applyProtection="0">
      <alignment vertical="center"/>
    </xf>
  </cellStyleXfs>
  <cellXfs count="4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49" fontId="98" fillId="5" borderId="19" xfId="1" applyNumberFormat="1" applyFont="1" applyFill="1" applyBorder="1" applyAlignment="1"/>
    <xf numFmtId="0" fontId="109" fillId="5" borderId="0" xfId="1" applyFont="1" applyFill="1" applyAlignment="1">
      <alignment horizontal="center" vertical="center"/>
    </xf>
    <xf numFmtId="49" fontId="98" fillId="2" borderId="35" xfId="1" applyNumberFormat="1" applyFont="1" applyFill="1" applyBorder="1" applyAlignment="1" applyProtection="1">
      <alignment horizontal="left"/>
      <protection locked="0"/>
    </xf>
    <xf numFmtId="0" fontId="95" fillId="6" borderId="0" xfId="1" applyFont="1" applyFill="1" applyProtection="1">
      <alignment vertical="center"/>
      <protection locked="0"/>
    </xf>
    <xf numFmtId="49" fontId="32" fillId="5" borderId="0" xfId="1" applyNumberFormat="1" applyFont="1" applyFill="1" applyAlignment="1">
      <alignment horizontal="center"/>
    </xf>
    <xf numFmtId="0" fontId="103" fillId="5" borderId="0" xfId="1" applyFont="1" applyFill="1" applyAlignment="1">
      <alignment horizontal="center"/>
    </xf>
    <xf numFmtId="178" fontId="98" fillId="5" borderId="19" xfId="1" applyNumberFormat="1" applyFont="1" applyFill="1" applyBorder="1" applyAlignment="1" applyProtection="1">
      <protection locked="0"/>
    </xf>
    <xf numFmtId="0" fontId="95" fillId="5" borderId="0" xfId="1" applyFont="1" applyFill="1" applyProtection="1">
      <alignment vertical="center"/>
      <protection locked="0"/>
    </xf>
    <xf numFmtId="49" fontId="98" fillId="5" borderId="0" xfId="1" applyNumberFormat="1" applyFont="1" applyFill="1" applyAlignment="1" applyProtection="1">
      <alignment horizontal="center"/>
      <protection locked="0"/>
    </xf>
    <xf numFmtId="49" fontId="98" fillId="5" borderId="0" xfId="1" applyNumberFormat="1" applyFont="1" applyFill="1" applyAlignment="1" applyProtection="1">
      <alignment horizontal="left"/>
      <protection locked="0"/>
    </xf>
    <xf numFmtId="0" fontId="95" fillId="8" borderId="0" xfId="1" applyFont="1" applyFill="1" applyProtection="1">
      <alignment vertical="center"/>
      <protection locked="0"/>
    </xf>
    <xf numFmtId="0" fontId="95" fillId="8" borderId="0" xfId="1" applyFont="1" applyFill="1" applyAlignment="1" applyProtection="1">
      <alignment horizontal="center" vertical="center"/>
      <protection locked="0"/>
    </xf>
    <xf numFmtId="0" fontId="95" fillId="0" borderId="0" xfId="1" applyFont="1" applyProtection="1">
      <alignment vertical="center"/>
      <protection locked="0"/>
    </xf>
    <xf numFmtId="0" fontId="94" fillId="5" borderId="2" xfId="2" applyFont="1" applyFill="1" applyBorder="1">
      <alignment vertical="center"/>
    </xf>
    <xf numFmtId="0" fontId="67" fillId="5" borderId="2" xfId="1" applyFont="1" applyFill="1" applyBorder="1" applyAlignment="1">
      <alignment horizontal="center" vertical="center"/>
    </xf>
    <xf numFmtId="49" fontId="94" fillId="13" borderId="0" xfId="1" applyNumberFormat="1" applyFont="1" applyFill="1" applyAlignment="1" applyProtection="1">
      <alignment horizontal="center"/>
      <protection locked="0"/>
    </xf>
    <xf numFmtId="0" fontId="103" fillId="13" borderId="0" xfId="1" applyFont="1" applyFill="1" applyProtection="1">
      <alignment vertical="center"/>
      <protection locked="0"/>
    </xf>
    <xf numFmtId="49" fontId="94" fillId="13" borderId="0" xfId="1" applyNumberFormat="1" applyFont="1" applyFill="1" applyAlignment="1" applyProtection="1">
      <protection locked="0"/>
    </xf>
    <xf numFmtId="178" fontId="94" fillId="5" borderId="0" xfId="1" applyNumberFormat="1" applyFont="1" applyFill="1" applyAlignment="1" applyProtection="1">
      <protection locked="0"/>
    </xf>
    <xf numFmtId="49" fontId="94" fillId="5" borderId="0" xfId="1" applyNumberFormat="1" applyFont="1" applyFill="1" applyAlignment="1" applyProtection="1">
      <alignment horizontal="center"/>
      <protection locked="0"/>
    </xf>
    <xf numFmtId="49" fontId="94" fillId="5" borderId="0" xfId="1" applyNumberFormat="1" applyFont="1" applyFill="1" applyAlignment="1" applyProtection="1">
      <alignment horizontal="left"/>
      <protection locked="0"/>
    </xf>
    <xf numFmtId="0" fontId="103" fillId="8" borderId="0" xfId="1" applyFont="1" applyFill="1" applyProtection="1">
      <alignment vertical="center"/>
      <protection locked="0"/>
    </xf>
    <xf numFmtId="0" fontId="103" fillId="8" borderId="0" xfId="1" applyFont="1" applyFill="1" applyAlignment="1" applyProtection="1">
      <alignment horizontal="center" vertical="center"/>
      <protection locked="0"/>
    </xf>
    <xf numFmtId="0" fontId="103" fillId="0" borderId="0" xfId="1" applyFont="1" applyProtection="1">
      <alignment vertical="center"/>
      <protection locked="0"/>
    </xf>
    <xf numFmtId="0" fontId="94" fillId="5" borderId="44" xfId="2" applyFont="1" applyFill="1" applyBorder="1">
      <alignment vertical="center"/>
    </xf>
    <xf numFmtId="0" fontId="67" fillId="5" borderId="44" xfId="1" applyFont="1" applyFill="1" applyBorder="1" applyAlignment="1">
      <alignment horizontal="center" vertical="center"/>
    </xf>
    <xf numFmtId="49" fontId="98" fillId="5" borderId="0" xfId="1" applyNumberFormat="1" applyFont="1" applyFill="1" applyAlignment="1">
      <alignment horizontal="center"/>
    </xf>
    <xf numFmtId="49" fontId="94" fillId="5" borderId="0" xfId="1" applyNumberFormat="1" applyFont="1" applyFill="1" applyAlignment="1">
      <alignment horizontal="center"/>
    </xf>
    <xf numFmtId="49" fontId="94" fillId="5" borderId="0" xfId="1" applyNumberFormat="1" applyFont="1" applyFill="1" applyAlignment="1">
      <alignment horizontal="left"/>
    </xf>
    <xf numFmtId="49" fontId="73" fillId="5" borderId="1" xfId="1" applyNumberFormat="1" applyFont="1" applyFill="1" applyBorder="1" applyAlignment="1">
      <alignment horizontal="center" vertical="center"/>
    </xf>
    <xf numFmtId="0" fontId="73" fillId="5" borderId="6" xfId="1" applyFont="1" applyFill="1" applyBorder="1" applyAlignment="1">
      <alignment horizontal="center" vertical="center"/>
    </xf>
    <xf numFmtId="0" fontId="73" fillId="5" borderId="29" xfId="1" applyFont="1" applyFill="1" applyBorder="1" applyAlignment="1">
      <alignment horizontal="right" vertical="center"/>
    </xf>
    <xf numFmtId="0" fontId="73" fillId="5" borderId="57" xfId="1" applyFont="1" applyFill="1" applyBorder="1" applyAlignment="1">
      <alignment horizontal="center" vertical="center"/>
    </xf>
    <xf numFmtId="0" fontId="103" fillId="5" borderId="0" xfId="1" applyFont="1" applyFill="1" applyProtection="1">
      <alignment vertical="center"/>
      <protection locked="0"/>
    </xf>
    <xf numFmtId="49" fontId="82" fillId="5" borderId="22" xfId="1" applyNumberFormat="1" applyFont="1" applyFill="1" applyBorder="1">
      <alignment vertical="center"/>
    </xf>
    <xf numFmtId="0" fontId="82" fillId="5" borderId="10" xfId="1" applyFont="1" applyFill="1" applyBorder="1" applyAlignment="1">
      <alignment vertical="center" wrapText="1"/>
    </xf>
    <xf numFmtId="0" fontId="73" fillId="5" borderId="3" xfId="1" applyFont="1" applyFill="1" applyBorder="1" applyAlignment="1">
      <alignment horizontal="center" vertical="center"/>
    </xf>
    <xf numFmtId="0" fontId="123" fillId="5" borderId="10" xfId="1" applyFont="1" applyFill="1" applyBorder="1">
      <alignment vertical="center"/>
    </xf>
    <xf numFmtId="0" fontId="73" fillId="5" borderId="17" xfId="1" applyFont="1" applyFill="1" applyBorder="1" applyAlignment="1">
      <alignment horizontal="right" vertical="center"/>
    </xf>
    <xf numFmtId="0" fontId="73" fillId="5" borderId="63" xfId="1" applyFont="1" applyFill="1" applyBorder="1" applyAlignment="1">
      <alignment horizontal="center" vertical="center"/>
    </xf>
    <xf numFmtId="49" fontId="73" fillId="5" borderId="22" xfId="1" applyNumberFormat="1" applyFont="1" applyFill="1" applyBorder="1" applyAlignment="1">
      <alignment horizontal="left" vertical="center"/>
    </xf>
    <xf numFmtId="0" fontId="82" fillId="5" borderId="10" xfId="1" applyFont="1" applyFill="1" applyBorder="1" applyAlignment="1">
      <alignment horizontal="center" vertical="center"/>
    </xf>
    <xf numFmtId="0" fontId="11" fillId="5" borderId="10" xfId="1" applyFont="1" applyFill="1" applyBorder="1">
      <alignment vertical="center"/>
    </xf>
    <xf numFmtId="0" fontId="73" fillId="5" borderId="2" xfId="1" applyFont="1" applyFill="1" applyBorder="1" applyAlignment="1">
      <alignment horizontal="left" vertical="center"/>
    </xf>
    <xf numFmtId="0" fontId="82" fillId="5" borderId="12" xfId="1" applyFont="1" applyFill="1" applyBorder="1" applyAlignment="1">
      <alignment horizontal="center" vertical="center"/>
    </xf>
    <xf numFmtId="49" fontId="73" fillId="5" borderId="22" xfId="1" applyNumberFormat="1" applyFont="1" applyFill="1" applyBorder="1" applyAlignment="1">
      <alignment horizontal="center" vertical="center"/>
    </xf>
    <xf numFmtId="0" fontId="73" fillId="5" borderId="10" xfId="1" applyFont="1" applyFill="1" applyBorder="1">
      <alignment vertical="center"/>
    </xf>
    <xf numFmtId="49" fontId="73" fillId="5" borderId="3" xfId="1" applyNumberFormat="1" applyFont="1" applyFill="1" applyBorder="1" applyAlignment="1">
      <alignment horizontal="left" vertical="center"/>
    </xf>
    <xf numFmtId="0" fontId="82" fillId="5" borderId="3" xfId="1" applyFont="1" applyFill="1" applyBorder="1" applyAlignment="1">
      <alignment horizontal="center" vertical="center"/>
    </xf>
    <xf numFmtId="0" fontId="73" fillId="5" borderId="3" xfId="1" applyFont="1" applyFill="1" applyBorder="1">
      <alignment vertical="center"/>
    </xf>
    <xf numFmtId="49" fontId="73" fillId="5" borderId="24" xfId="1" applyNumberFormat="1" applyFont="1" applyFill="1" applyBorder="1" applyAlignment="1">
      <alignment horizontal="center" vertical="center"/>
    </xf>
    <xf numFmtId="49" fontId="73" fillId="5" borderId="18" xfId="1" applyNumberFormat="1" applyFont="1" applyFill="1" applyBorder="1" applyAlignment="1">
      <alignment horizontal="left" vertical="center"/>
    </xf>
    <xf numFmtId="49" fontId="82" fillId="5" borderId="24" xfId="1" applyNumberFormat="1" applyFont="1" applyFill="1" applyBorder="1">
      <alignment vertical="center"/>
    </xf>
    <xf numFmtId="182" fontId="82" fillId="5" borderId="12" xfId="1" applyNumberFormat="1" applyFont="1" applyFill="1" applyBorder="1" applyAlignment="1">
      <alignment horizontal="center" vertical="center"/>
    </xf>
    <xf numFmtId="49" fontId="82" fillId="5" borderId="24" xfId="1" applyNumberFormat="1" applyFont="1" applyFill="1" applyBorder="1" applyAlignment="1">
      <alignment horizontal="center" vertical="center"/>
    </xf>
    <xf numFmtId="0" fontId="73" fillId="5" borderId="10" xfId="1" applyFont="1" applyFill="1" applyBorder="1" applyAlignment="1">
      <alignment horizontal="left" vertical="center"/>
    </xf>
    <xf numFmtId="182" fontId="82" fillId="5" borderId="25" xfId="1" applyNumberFormat="1" applyFont="1" applyFill="1" applyBorder="1" applyAlignment="1">
      <alignment horizontal="center" vertical="center"/>
    </xf>
    <xf numFmtId="0" fontId="11" fillId="5" borderId="32" xfId="1" applyFont="1" applyFill="1" applyBorder="1" applyAlignment="1">
      <alignment vertical="center" wrapText="1"/>
    </xf>
    <xf numFmtId="0" fontId="82" fillId="5" borderId="2" xfId="1" applyFont="1" applyFill="1" applyBorder="1" applyAlignment="1">
      <alignment horizontal="center" vertical="center"/>
    </xf>
    <xf numFmtId="0" fontId="11" fillId="5" borderId="32" xfId="1" applyFont="1" applyFill="1" applyBorder="1">
      <alignment vertical="center"/>
    </xf>
    <xf numFmtId="0" fontId="11" fillId="5" borderId="10" xfId="1" applyFont="1" applyFill="1" applyBorder="1" applyAlignment="1">
      <alignment horizontal="left" vertical="center"/>
    </xf>
    <xf numFmtId="182" fontId="82" fillId="6" borderId="25" xfId="1" applyNumberFormat="1" applyFont="1" applyFill="1" applyBorder="1" applyAlignment="1" applyProtection="1">
      <alignment horizontal="center" vertical="center"/>
      <protection locked="0"/>
    </xf>
    <xf numFmtId="49" fontId="73" fillId="5" borderId="81" xfId="1" applyNumberFormat="1" applyFont="1" applyFill="1" applyBorder="1" applyAlignment="1">
      <alignment horizontal="center" vertical="center"/>
    </xf>
    <xf numFmtId="0" fontId="11" fillId="5" borderId="10" xfId="1" applyFont="1" applyFill="1" applyBorder="1" applyAlignment="1">
      <alignment vertical="center" wrapText="1"/>
    </xf>
    <xf numFmtId="49" fontId="82" fillId="5" borderId="50" xfId="1" applyNumberFormat="1" applyFont="1" applyFill="1" applyBorder="1">
      <alignment vertical="center"/>
    </xf>
    <xf numFmtId="0" fontId="223" fillId="5" borderId="2" xfId="1" applyFont="1" applyFill="1" applyBorder="1" applyAlignment="1">
      <alignment horizontal="right" vertical="center" wrapText="1"/>
    </xf>
    <xf numFmtId="0" fontId="82" fillId="5" borderId="2" xfId="1" applyFont="1" applyFill="1" applyBorder="1" applyAlignment="1" applyProtection="1">
      <alignment horizontal="center" vertical="center"/>
      <protection locked="0"/>
    </xf>
    <xf numFmtId="49" fontId="82" fillId="5" borderId="87" xfId="1" applyNumberFormat="1" applyFont="1" applyFill="1" applyBorder="1" applyAlignment="1">
      <alignment horizontal="center" vertical="center"/>
    </xf>
    <xf numFmtId="0" fontId="73" fillId="5" borderId="0" xfId="1" applyFont="1" applyFill="1">
      <alignment vertical="center"/>
    </xf>
    <xf numFmtId="182" fontId="82" fillId="5" borderId="15" xfId="1" applyNumberFormat="1" applyFont="1" applyFill="1" applyBorder="1" applyAlignment="1">
      <alignment horizontal="center" vertical="center"/>
    </xf>
    <xf numFmtId="49" fontId="73" fillId="5" borderId="117" xfId="1" applyNumberFormat="1" applyFont="1" applyFill="1" applyBorder="1">
      <alignment vertical="center"/>
    </xf>
    <xf numFmtId="0" fontId="11" fillId="5" borderId="86" xfId="1" applyFont="1" applyFill="1" applyBorder="1" applyAlignment="1">
      <alignment vertical="center" wrapText="1"/>
    </xf>
    <xf numFmtId="0" fontId="82" fillId="0" borderId="71" xfId="1" applyFont="1" applyBorder="1" applyAlignment="1" applyProtection="1">
      <alignment horizontal="center" vertical="center"/>
      <protection locked="0"/>
    </xf>
    <xf numFmtId="0" fontId="73" fillId="5" borderId="71" xfId="1" applyFont="1" applyFill="1" applyBorder="1">
      <alignment vertical="center"/>
    </xf>
    <xf numFmtId="0" fontId="47" fillId="5" borderId="71" xfId="1" applyFont="1" applyFill="1" applyBorder="1" applyAlignment="1">
      <alignment horizontal="left" vertical="center"/>
    </xf>
    <xf numFmtId="182" fontId="82" fillId="5" borderId="72" xfId="1" applyNumberFormat="1" applyFont="1" applyFill="1" applyBorder="1" applyAlignment="1">
      <alignment horizontal="center" vertical="center"/>
    </xf>
    <xf numFmtId="49" fontId="73" fillId="5" borderId="117" xfId="1" applyNumberFormat="1" applyFont="1" applyFill="1" applyBorder="1" applyAlignment="1">
      <alignment horizontal="center" vertical="center"/>
    </xf>
    <xf numFmtId="0" fontId="11" fillId="5" borderId="118" xfId="1" applyFont="1" applyFill="1" applyBorder="1" applyAlignment="1">
      <alignment vertical="center" wrapText="1"/>
    </xf>
    <xf numFmtId="0" fontId="82" fillId="0" borderId="70" xfId="1" applyFont="1" applyBorder="1" applyAlignment="1" applyProtection="1">
      <alignment horizontal="center" vertical="center"/>
      <protection locked="0"/>
    </xf>
    <xf numFmtId="182" fontId="82" fillId="5" borderId="90" xfId="1" applyNumberFormat="1" applyFont="1" applyFill="1" applyBorder="1" applyAlignment="1">
      <alignment horizontal="center" vertical="center"/>
    </xf>
    <xf numFmtId="49" fontId="82" fillId="5" borderId="50" xfId="1" applyNumberFormat="1" applyFont="1" applyFill="1" applyBorder="1" applyAlignment="1">
      <alignment horizontal="left" vertical="center"/>
    </xf>
    <xf numFmtId="0" fontId="82" fillId="5" borderId="21" xfId="1" applyFont="1" applyFill="1" applyBorder="1" applyAlignment="1">
      <alignment horizontal="left" vertical="center"/>
    </xf>
    <xf numFmtId="0" fontId="82" fillId="5" borderId="21" xfId="1" applyFont="1" applyFill="1" applyBorder="1" applyAlignment="1">
      <alignment horizontal="center" vertical="center"/>
    </xf>
    <xf numFmtId="0" fontId="73" fillId="5" borderId="3" xfId="1" applyFont="1" applyFill="1" applyBorder="1" applyAlignment="1">
      <alignment horizontal="left" vertical="center"/>
    </xf>
    <xf numFmtId="182" fontId="73" fillId="5" borderId="52" xfId="1" applyNumberFormat="1" applyFont="1" applyFill="1" applyBorder="1" applyAlignment="1">
      <alignment horizontal="center" vertical="center"/>
    </xf>
    <xf numFmtId="0" fontId="82" fillId="5" borderId="17" xfId="1" applyFont="1" applyFill="1" applyBorder="1" applyAlignment="1">
      <alignment horizontal="center" vertical="center"/>
    </xf>
    <xf numFmtId="0" fontId="73" fillId="5" borderId="17" xfId="1" applyFont="1" applyFill="1" applyBorder="1" applyAlignment="1">
      <alignment horizontal="left" vertical="center"/>
    </xf>
    <xf numFmtId="0" fontId="89" fillId="5" borderId="19" xfId="1" applyFont="1" applyFill="1" applyBorder="1">
      <alignment vertical="center"/>
    </xf>
    <xf numFmtId="0" fontId="89" fillId="5" borderId="63" xfId="1" applyFont="1" applyFill="1" applyBorder="1">
      <alignment vertical="center"/>
    </xf>
    <xf numFmtId="49" fontId="73" fillId="5" borderId="11" xfId="1" applyNumberFormat="1" applyFont="1" applyFill="1" applyBorder="1" applyAlignment="1">
      <alignment horizontal="right" vertical="center"/>
    </xf>
    <xf numFmtId="0" fontId="149" fillId="5" borderId="5" xfId="1" applyFont="1" applyFill="1" applyBorder="1" applyAlignment="1">
      <alignment horizontal="center" vertical="center"/>
    </xf>
    <xf numFmtId="0" fontId="73" fillId="5" borderId="5" xfId="1" applyFont="1" applyFill="1" applyBorder="1" applyAlignment="1">
      <alignment horizontal="left" vertical="center" wrapText="1"/>
    </xf>
    <xf numFmtId="0" fontId="73" fillId="5" borderId="8" xfId="1" applyFont="1" applyFill="1" applyBorder="1" applyAlignment="1">
      <alignment horizontal="left" vertical="center" wrapText="1"/>
    </xf>
    <xf numFmtId="180" fontId="82" fillId="5" borderId="16" xfId="1" applyNumberFormat="1" applyFont="1" applyFill="1" applyBorder="1" applyAlignment="1">
      <alignment horizontal="center" vertical="center"/>
    </xf>
    <xf numFmtId="49" fontId="73" fillId="5" borderId="11" xfId="1" applyNumberFormat="1" applyFont="1" applyFill="1" applyBorder="1" applyAlignment="1">
      <alignment horizontal="center" vertical="center"/>
    </xf>
    <xf numFmtId="0" fontId="47" fillId="5" borderId="2" xfId="1" applyFont="1" applyFill="1" applyBorder="1" applyAlignment="1">
      <alignment horizontal="left" vertical="center"/>
    </xf>
    <xf numFmtId="0" fontId="73" fillId="5" borderId="2" xfId="1" applyFont="1" applyFill="1" applyBorder="1" applyAlignment="1">
      <alignment horizontal="center" vertical="center"/>
    </xf>
    <xf numFmtId="0" fontId="73" fillId="5" borderId="5" xfId="1" applyFont="1" applyFill="1" applyBorder="1" applyAlignment="1">
      <alignment horizontal="left" vertical="center"/>
    </xf>
    <xf numFmtId="0" fontId="89" fillId="5" borderId="8" xfId="1" applyFont="1" applyFill="1" applyBorder="1">
      <alignment vertical="center"/>
    </xf>
    <xf numFmtId="0" fontId="89" fillId="5" borderId="16" xfId="1" applyFont="1" applyFill="1" applyBorder="1">
      <alignment vertical="center"/>
    </xf>
    <xf numFmtId="0" fontId="73" fillId="5" borderId="21" xfId="1" applyFont="1" applyFill="1" applyBorder="1" applyAlignment="1">
      <alignment horizontal="left" vertical="center"/>
    </xf>
    <xf numFmtId="182" fontId="73" fillId="5" borderId="51" xfId="1" applyNumberFormat="1" applyFont="1" applyFill="1" applyBorder="1" applyAlignment="1">
      <alignment horizontal="center" vertical="center"/>
    </xf>
    <xf numFmtId="0" fontId="113" fillId="5" borderId="0" xfId="1" applyFont="1" applyFill="1" applyProtection="1">
      <alignment vertical="center"/>
      <protection locked="0"/>
    </xf>
    <xf numFmtId="0" fontId="73" fillId="5" borderId="71" xfId="1" applyFont="1" applyFill="1" applyBorder="1" applyAlignment="1">
      <alignment horizontal="left" vertical="center"/>
    </xf>
    <xf numFmtId="182" fontId="82" fillId="5" borderId="71" xfId="1" applyNumberFormat="1" applyFont="1" applyFill="1" applyBorder="1" applyAlignment="1">
      <alignment horizontal="center" vertical="center"/>
    </xf>
    <xf numFmtId="0" fontId="73" fillId="5" borderId="84" xfId="1" applyFont="1" applyFill="1" applyBorder="1" applyAlignment="1">
      <alignment horizontal="left" vertical="center"/>
    </xf>
    <xf numFmtId="0" fontId="89" fillId="5" borderId="85" xfId="1" applyFont="1" applyFill="1" applyBorder="1">
      <alignment vertical="center"/>
    </xf>
    <xf numFmtId="0" fontId="89" fillId="5" borderId="90" xfId="1" applyFont="1" applyFill="1" applyBorder="1">
      <alignment vertical="center"/>
    </xf>
    <xf numFmtId="0" fontId="113" fillId="8" borderId="0" xfId="1" applyFont="1" applyFill="1" applyProtection="1">
      <alignment vertical="center"/>
      <protection locked="0"/>
    </xf>
    <xf numFmtId="0" fontId="113" fillId="8" borderId="0" xfId="1" applyFont="1" applyFill="1" applyAlignment="1" applyProtection="1">
      <alignment horizontal="center" vertical="center"/>
      <protection locked="0"/>
    </xf>
    <xf numFmtId="0" fontId="113" fillId="0" borderId="0" xfId="1" applyFont="1" applyProtection="1">
      <alignment vertical="center"/>
      <protection locked="0"/>
    </xf>
    <xf numFmtId="182" fontId="73" fillId="5" borderId="12" xfId="1" applyNumberFormat="1" applyFont="1" applyFill="1" applyBorder="1" applyAlignment="1">
      <alignment horizontal="center" vertical="center"/>
    </xf>
    <xf numFmtId="0" fontId="73" fillId="5" borderId="19" xfId="1" applyFont="1" applyFill="1" applyBorder="1" applyAlignment="1">
      <alignment horizontal="center" vertical="center"/>
    </xf>
    <xf numFmtId="0" fontId="73" fillId="21" borderId="2" xfId="1" applyFont="1" applyFill="1" applyBorder="1" applyAlignment="1">
      <alignment horizontal="center" vertical="center"/>
    </xf>
    <xf numFmtId="0" fontId="73" fillId="5" borderId="16" xfId="1" applyFont="1" applyFill="1" applyBorder="1" applyAlignment="1">
      <alignment horizontal="center" vertical="center"/>
    </xf>
    <xf numFmtId="0" fontId="73" fillId="17" borderId="2" xfId="1" applyFont="1" applyFill="1" applyBorder="1" applyAlignment="1">
      <alignment horizontal="center" vertical="center"/>
    </xf>
    <xf numFmtId="0" fontId="73" fillId="5" borderId="2" xfId="1" applyFont="1" applyFill="1" applyBorder="1" applyAlignment="1">
      <alignment horizontal="left" vertical="center" wrapText="1"/>
    </xf>
    <xf numFmtId="182" fontId="73" fillId="17" borderId="16" xfId="1" applyNumberFormat="1" applyFont="1" applyFill="1" applyBorder="1" applyAlignment="1">
      <alignment horizontal="center" vertical="center" wrapText="1"/>
    </xf>
    <xf numFmtId="0" fontId="73" fillId="5" borderId="5" xfId="1" applyFont="1" applyFill="1" applyBorder="1">
      <alignment vertical="center"/>
    </xf>
    <xf numFmtId="0" fontId="73" fillId="5" borderId="8" xfId="1" applyFont="1" applyFill="1" applyBorder="1" applyAlignment="1">
      <alignment horizontal="center" vertical="center"/>
    </xf>
    <xf numFmtId="0" fontId="73" fillId="2" borderId="2" xfId="1" applyFont="1" applyFill="1" applyBorder="1" applyAlignment="1" applyProtection="1">
      <alignment horizontal="left" vertical="center" wrapText="1"/>
      <protection locked="0"/>
    </xf>
    <xf numFmtId="0" fontId="73" fillId="5" borderId="2" xfId="1" applyFont="1" applyFill="1" applyBorder="1" applyAlignment="1">
      <alignment vertical="center" wrapText="1"/>
    </xf>
    <xf numFmtId="49" fontId="73" fillId="5" borderId="22" xfId="1" applyNumberFormat="1" applyFont="1" applyFill="1" applyBorder="1" applyAlignment="1">
      <alignment horizontal="right" vertical="center"/>
    </xf>
    <xf numFmtId="0" fontId="73" fillId="5" borderId="10" xfId="1" applyFont="1" applyFill="1" applyBorder="1" applyAlignment="1">
      <alignment horizontal="center" vertical="center"/>
    </xf>
    <xf numFmtId="0" fontId="73" fillId="5" borderId="10" xfId="1" applyFont="1" applyFill="1" applyBorder="1" applyAlignment="1">
      <alignment horizontal="left" vertical="center" wrapText="1"/>
    </xf>
    <xf numFmtId="0" fontId="73" fillId="5" borderId="12" xfId="1" applyFont="1" applyFill="1" applyBorder="1" applyAlignment="1">
      <alignment horizontal="center" vertical="center"/>
    </xf>
    <xf numFmtId="182" fontId="73" fillId="21" borderId="12" xfId="1" applyNumberFormat="1" applyFont="1" applyFill="1" applyBorder="1" applyAlignment="1">
      <alignment horizontal="center" vertical="center"/>
    </xf>
    <xf numFmtId="49" fontId="73" fillId="5" borderId="50" xfId="1" applyNumberFormat="1" applyFont="1" applyFill="1" applyBorder="1" applyAlignment="1">
      <alignment horizontal="right" vertical="center"/>
    </xf>
    <xf numFmtId="0" fontId="73" fillId="5" borderId="21" xfId="1" applyFont="1" applyFill="1" applyBorder="1">
      <alignment vertical="center"/>
    </xf>
    <xf numFmtId="0" fontId="73" fillId="5" borderId="21" xfId="1" applyFont="1" applyFill="1" applyBorder="1" applyAlignment="1">
      <alignment horizontal="center" vertical="center"/>
    </xf>
    <xf numFmtId="0" fontId="73" fillId="5" borderId="21" xfId="1" applyFont="1" applyFill="1" applyBorder="1" applyAlignment="1">
      <alignment horizontal="left" vertical="center" wrapText="1"/>
    </xf>
    <xf numFmtId="0" fontId="47" fillId="5" borderId="5" xfId="1" applyFont="1" applyFill="1" applyBorder="1">
      <alignment vertical="center"/>
    </xf>
    <xf numFmtId="10" fontId="82" fillId="5" borderId="12" xfId="1" applyNumberFormat="1" applyFont="1" applyFill="1" applyBorder="1" applyAlignment="1">
      <alignment horizontal="center" vertical="center"/>
    </xf>
    <xf numFmtId="0" fontId="47" fillId="5" borderId="2" xfId="1" applyFont="1" applyFill="1" applyBorder="1">
      <alignment vertical="center"/>
    </xf>
    <xf numFmtId="183" fontId="82" fillId="5" borderId="12" xfId="1" applyNumberFormat="1" applyFont="1" applyFill="1" applyBorder="1" applyAlignment="1">
      <alignment horizontal="center" vertical="center"/>
    </xf>
    <xf numFmtId="10" fontId="73" fillId="5" borderId="12" xfId="1" applyNumberFormat="1" applyFont="1" applyFill="1" applyBorder="1" applyAlignment="1">
      <alignment horizontal="center" vertical="center"/>
    </xf>
    <xf numFmtId="0" fontId="73" fillId="5" borderId="71" xfId="1" applyFont="1" applyFill="1" applyBorder="1" applyAlignment="1">
      <alignment horizontal="center" vertical="center"/>
    </xf>
    <xf numFmtId="0" fontId="73" fillId="5" borderId="71" xfId="1" applyFont="1" applyFill="1" applyBorder="1" applyAlignment="1">
      <alignment horizontal="left" vertical="center" wrapText="1"/>
    </xf>
    <xf numFmtId="49" fontId="79" fillId="5" borderId="11" xfId="1" applyNumberFormat="1" applyFont="1" applyFill="1" applyBorder="1" applyAlignment="1">
      <alignment horizontal="center" vertical="center"/>
    </xf>
    <xf numFmtId="0" fontId="43" fillId="5" borderId="21" xfId="1" applyFont="1" applyFill="1" applyBorder="1" applyAlignment="1">
      <alignment horizontal="left" vertical="center" wrapText="1"/>
    </xf>
    <xf numFmtId="0" fontId="73" fillId="5" borderId="17" xfId="1" applyFont="1" applyFill="1" applyBorder="1" applyAlignment="1">
      <alignment horizontal="left" vertical="center" wrapText="1"/>
    </xf>
    <xf numFmtId="0" fontId="73" fillId="5" borderId="19" xfId="1" applyFont="1" applyFill="1" applyBorder="1" applyAlignment="1">
      <alignment horizontal="center" vertical="center" wrapText="1"/>
    </xf>
    <xf numFmtId="0" fontId="73" fillId="5" borderId="63" xfId="1" applyFont="1" applyFill="1" applyBorder="1" applyAlignment="1">
      <alignment horizontal="center" vertical="center" wrapText="1"/>
    </xf>
    <xf numFmtId="49" fontId="82" fillId="5" borderId="22" xfId="1" applyNumberFormat="1" applyFont="1" applyFill="1" applyBorder="1" applyAlignment="1">
      <alignment horizontal="left" vertical="center"/>
    </xf>
    <xf numFmtId="0" fontId="43" fillId="5" borderId="10" xfId="1" applyFont="1" applyFill="1" applyBorder="1" applyAlignment="1">
      <alignment vertical="center" wrapText="1"/>
    </xf>
    <xf numFmtId="49" fontId="82" fillId="5" borderId="24" xfId="1" applyNumberFormat="1" applyFont="1" applyFill="1" applyBorder="1" applyAlignment="1">
      <alignment horizontal="left" vertical="center"/>
    </xf>
    <xf numFmtId="0" fontId="82" fillId="5" borderId="3" xfId="1" applyFont="1" applyFill="1" applyBorder="1" applyAlignment="1">
      <alignment vertical="center" wrapText="1"/>
    </xf>
    <xf numFmtId="0" fontId="73" fillId="5" borderId="3" xfId="1" applyFont="1" applyFill="1" applyBorder="1" applyAlignment="1">
      <alignment horizontal="left" vertical="center" wrapText="1"/>
    </xf>
    <xf numFmtId="180" fontId="82" fillId="5" borderId="12" xfId="1" applyNumberFormat="1" applyFont="1" applyFill="1" applyBorder="1" applyAlignment="1">
      <alignment horizontal="center" vertical="center"/>
    </xf>
    <xf numFmtId="0" fontId="82" fillId="5" borderId="21" xfId="1" applyFont="1" applyFill="1" applyBorder="1" applyAlignment="1">
      <alignment vertical="center" wrapText="1"/>
    </xf>
    <xf numFmtId="49" fontId="79" fillId="5" borderId="117" xfId="1" applyNumberFormat="1" applyFont="1" applyFill="1" applyBorder="1" applyAlignment="1">
      <alignment horizontal="center" vertical="center"/>
    </xf>
    <xf numFmtId="182" fontId="73" fillId="5" borderId="72" xfId="1" applyNumberFormat="1" applyFont="1" applyFill="1" applyBorder="1" applyAlignment="1">
      <alignment horizontal="center" vertical="center"/>
    </xf>
    <xf numFmtId="49" fontId="82" fillId="5" borderId="43" xfId="1" applyNumberFormat="1" applyFont="1" applyFill="1" applyBorder="1" applyAlignment="1">
      <alignment horizontal="left" vertical="center"/>
    </xf>
    <xf numFmtId="0" fontId="82" fillId="5" borderId="44" xfId="1" applyFont="1" applyFill="1" applyBorder="1" applyAlignment="1">
      <alignment horizontal="left" vertical="center"/>
    </xf>
    <xf numFmtId="0" fontId="82" fillId="5" borderId="44" xfId="1" applyFont="1" applyFill="1" applyBorder="1" applyAlignment="1">
      <alignment horizontal="center" vertical="center"/>
    </xf>
    <xf numFmtId="0" fontId="73" fillId="5" borderId="44" xfId="1" applyFont="1" applyFill="1" applyBorder="1">
      <alignment vertical="center"/>
    </xf>
    <xf numFmtId="0" fontId="73" fillId="5" borderId="44" xfId="1" applyFont="1" applyFill="1" applyBorder="1" applyAlignment="1">
      <alignment horizontal="left" vertical="center"/>
    </xf>
    <xf numFmtId="180" fontId="82" fillId="5" borderId="46" xfId="1" applyNumberFormat="1" applyFont="1" applyFill="1" applyBorder="1" applyAlignment="1">
      <alignment horizontal="center" vertical="center"/>
    </xf>
    <xf numFmtId="49" fontId="92" fillId="5" borderId="0" xfId="1" applyNumberFormat="1" applyFont="1" applyFill="1" applyAlignment="1" applyProtection="1">
      <alignment horizontal="left" vertical="center"/>
      <protection locked="0"/>
    </xf>
    <xf numFmtId="0" fontId="92" fillId="5" borderId="0" xfId="1" applyFont="1" applyFill="1" applyAlignment="1" applyProtection="1">
      <alignment horizontal="left" vertical="center"/>
      <protection locked="0"/>
    </xf>
    <xf numFmtId="0" fontId="114" fillId="5" borderId="0" xfId="1" applyFont="1" applyFill="1" applyAlignment="1" applyProtection="1">
      <alignment horizontal="center" vertical="center"/>
      <protection locked="0"/>
    </xf>
    <xf numFmtId="0" fontId="73" fillId="5" borderId="0" xfId="1" applyFont="1" applyFill="1" applyProtection="1">
      <alignment vertical="center"/>
      <protection locked="0"/>
    </xf>
    <xf numFmtId="0" fontId="83" fillId="5" borderId="0" xfId="1" applyFont="1" applyFill="1" applyAlignment="1" applyProtection="1">
      <alignment horizontal="left" vertical="center"/>
      <protection locked="0"/>
    </xf>
    <xf numFmtId="180" fontId="114" fillId="5" borderId="0" xfId="1" applyNumberFormat="1" applyFont="1" applyFill="1" applyAlignment="1" applyProtection="1">
      <alignment horizontal="center" vertical="center"/>
      <protection locked="0"/>
    </xf>
    <xf numFmtId="49" fontId="276" fillId="5" borderId="0" xfId="1" applyNumberFormat="1" applyFont="1" applyFill="1" applyAlignment="1" applyProtection="1">
      <alignment horizontal="left" vertical="center"/>
      <protection locked="0"/>
    </xf>
    <xf numFmtId="49" fontId="115" fillId="5" borderId="0" xfId="1" applyNumberFormat="1" applyFont="1" applyFill="1" applyAlignment="1" applyProtection="1">
      <alignment horizontal="left" vertical="center"/>
      <protection locked="0"/>
    </xf>
    <xf numFmtId="0" fontId="115" fillId="5" borderId="0" xfId="1" applyFont="1" applyFill="1" applyAlignment="1" applyProtection="1">
      <alignment horizontal="left" vertical="center"/>
      <protection locked="0"/>
    </xf>
    <xf numFmtId="0" fontId="116" fillId="5" borderId="0" xfId="1" applyFont="1" applyFill="1" applyAlignment="1" applyProtection="1">
      <alignment horizontal="center" vertical="center"/>
      <protection locked="0"/>
    </xf>
    <xf numFmtId="0" fontId="117" fillId="5" borderId="0" xfId="1" applyFont="1" applyFill="1" applyProtection="1">
      <alignment vertical="center"/>
      <protection locked="0"/>
    </xf>
    <xf numFmtId="0" fontId="118" fillId="5" borderId="0" xfId="1" applyFont="1" applyFill="1" applyAlignment="1" applyProtection="1">
      <alignment horizontal="left" vertical="center"/>
      <protection locked="0"/>
    </xf>
    <xf numFmtId="180" fontId="116" fillId="5" borderId="0" xfId="1" applyNumberFormat="1" applyFont="1" applyFill="1" applyAlignment="1" applyProtection="1">
      <alignment horizontal="center" vertical="center"/>
      <protection locked="0"/>
    </xf>
    <xf numFmtId="0" fontId="146" fillId="5" borderId="0" xfId="1" applyFont="1" applyFill="1" applyAlignment="1" applyProtection="1">
      <protection locked="0"/>
    </xf>
    <xf numFmtId="0" fontId="146" fillId="5" borderId="0" xfId="1" applyFont="1" applyFill="1" applyAlignment="1" applyProtection="1">
      <alignment horizontal="left"/>
      <protection locked="0"/>
    </xf>
    <xf numFmtId="0" fontId="68" fillId="5" borderId="2" xfId="1" applyFont="1" applyFill="1" applyBorder="1" applyAlignment="1"/>
    <xf numFmtId="0" fontId="68" fillId="5" borderId="2" xfId="1" applyFont="1" applyFill="1" applyBorder="1" applyAlignment="1">
      <alignment horizontal="center"/>
    </xf>
    <xf numFmtId="0" fontId="72" fillId="5" borderId="0" xfId="1" applyFont="1" applyFill="1" applyAlignment="1" applyProtection="1">
      <alignment horizontal="left"/>
      <protection locked="0"/>
    </xf>
    <xf numFmtId="0" fontId="72" fillId="5" borderId="0" xfId="1" applyFont="1" applyFill="1" applyAlignment="1" applyProtection="1">
      <protection locked="0"/>
    </xf>
    <xf numFmtId="49" fontId="73" fillId="5" borderId="50" xfId="1" applyNumberFormat="1" applyFont="1" applyFill="1" applyBorder="1">
      <alignment vertical="center"/>
    </xf>
    <xf numFmtId="0" fontId="83" fillId="5" borderId="2" xfId="1" applyFont="1" applyFill="1" applyBorder="1" applyAlignment="1">
      <alignment horizontal="left"/>
    </xf>
    <xf numFmtId="185" fontId="83" fillId="5" borderId="2" xfId="1" applyNumberFormat="1" applyFont="1" applyFill="1" applyBorder="1" applyAlignment="1">
      <alignment horizontal="center"/>
    </xf>
    <xf numFmtId="0" fontId="83" fillId="5" borderId="2" xfId="1" applyFont="1" applyFill="1" applyBorder="1" applyAlignment="1">
      <alignment vertical="center" wrapText="1"/>
    </xf>
    <xf numFmtId="182" fontId="82" fillId="5" borderId="2" xfId="1" applyNumberFormat="1" applyFont="1" applyFill="1" applyBorder="1" applyAlignment="1">
      <alignment horizontal="center" vertical="center"/>
    </xf>
    <xf numFmtId="0" fontId="73" fillId="5" borderId="0" xfId="1" applyFont="1" applyFill="1" applyAlignment="1" applyProtection="1">
      <alignment horizontal="left" vertical="center"/>
      <protection locked="0"/>
    </xf>
    <xf numFmtId="0" fontId="154" fillId="5" borderId="2" xfId="1" applyFont="1" applyFill="1" applyBorder="1" applyAlignment="1">
      <alignment horizontal="left"/>
    </xf>
    <xf numFmtId="0" fontId="154" fillId="5" borderId="2" xfId="1" applyFont="1" applyFill="1" applyBorder="1" applyAlignment="1">
      <alignment horizontal="center"/>
    </xf>
    <xf numFmtId="0" fontId="114" fillId="5" borderId="2" xfId="1" applyFont="1" applyFill="1" applyBorder="1" applyAlignment="1">
      <alignment horizontal="left"/>
    </xf>
    <xf numFmtId="0" fontId="114" fillId="5" borderId="2" xfId="1" applyFont="1" applyFill="1" applyBorder="1" applyAlignment="1">
      <alignment horizontal="center"/>
    </xf>
    <xf numFmtId="0" fontId="103" fillId="5" borderId="0" xfId="1" applyFont="1" applyFill="1" applyAlignment="1" applyProtection="1">
      <alignment horizontal="left" vertical="center"/>
      <protection locked="0"/>
    </xf>
    <xf numFmtId="182" fontId="83" fillId="5" borderId="2" xfId="1" applyNumberFormat="1" applyFont="1" applyFill="1" applyBorder="1" applyAlignment="1">
      <alignment horizontal="center"/>
    </xf>
    <xf numFmtId="180" fontId="276" fillId="22" borderId="12" xfId="1" applyNumberFormat="1" applyFont="1" applyFill="1" applyBorder="1" applyAlignment="1">
      <alignment horizontal="center" vertical="center"/>
    </xf>
    <xf numFmtId="0" fontId="103" fillId="5" borderId="2" xfId="1" applyFont="1" applyFill="1" applyBorder="1" applyAlignment="1">
      <alignment horizontal="center" vertical="center"/>
    </xf>
    <xf numFmtId="182" fontId="82" fillId="23" borderId="12" xfId="1" applyNumberFormat="1" applyFont="1" applyFill="1" applyBorder="1" applyAlignment="1">
      <alignment horizontal="center" vertical="center"/>
    </xf>
    <xf numFmtId="0" fontId="73" fillId="5" borderId="2" xfId="1" applyFont="1" applyFill="1" applyBorder="1" applyAlignment="1"/>
    <xf numFmtId="182" fontId="73" fillId="5" borderId="2" xfId="1" applyNumberFormat="1" applyFont="1" applyFill="1" applyBorder="1" applyAlignment="1">
      <alignment horizontal="center"/>
    </xf>
    <xf numFmtId="0" fontId="68" fillId="8" borderId="0" xfId="1" applyFont="1" applyFill="1" applyAlignment="1" applyProtection="1">
      <protection locked="0"/>
    </xf>
    <xf numFmtId="0" fontId="68" fillId="8" borderId="0" xfId="1" applyFont="1" applyFill="1" applyAlignment="1" applyProtection="1">
      <alignment horizontal="center"/>
      <protection locked="0"/>
    </xf>
    <xf numFmtId="0" fontId="103" fillId="8" borderId="0" xfId="1" applyFont="1" applyFill="1" applyAlignment="1" applyProtection="1">
      <alignment horizontal="left" vertical="center"/>
      <protection locked="0"/>
    </xf>
    <xf numFmtId="0" fontId="204" fillId="8" borderId="0" xfId="1" applyFont="1" applyFill="1" applyAlignment="1" applyProtection="1">
      <protection locked="0"/>
    </xf>
    <xf numFmtId="0" fontId="68" fillId="5" borderId="0" xfId="1" applyFont="1" applyFill="1" applyAlignment="1">
      <alignment horizontal="center"/>
    </xf>
    <xf numFmtId="0" fontId="68" fillId="13" borderId="0" xfId="1" applyFont="1" applyFill="1" applyAlignment="1" applyProtection="1">
      <protection locked="0"/>
    </xf>
    <xf numFmtId="0" fontId="210" fillId="8" borderId="36" xfId="1" applyFont="1" applyFill="1" applyBorder="1" applyProtection="1">
      <alignment vertical="center"/>
      <protection locked="0"/>
    </xf>
    <xf numFmtId="0" fontId="103" fillId="8" borderId="37" xfId="1" applyFont="1" applyFill="1" applyBorder="1" applyProtection="1">
      <alignment vertical="center"/>
      <protection locked="0"/>
    </xf>
    <xf numFmtId="0" fontId="103" fillId="8" borderId="38" xfId="1" applyFont="1" applyFill="1" applyBorder="1" applyAlignment="1" applyProtection="1">
      <alignment horizontal="left" vertical="center"/>
      <protection locked="0"/>
    </xf>
    <xf numFmtId="0" fontId="151" fillId="5" borderId="82" xfId="1" applyFont="1" applyFill="1" applyBorder="1" applyAlignment="1">
      <alignment horizontal="center" vertical="center"/>
    </xf>
    <xf numFmtId="0" fontId="212" fillId="5" borderId="0" xfId="1" applyFont="1" applyFill="1">
      <alignment vertical="center"/>
    </xf>
    <xf numFmtId="0" fontId="103" fillId="5" borderId="0" xfId="1" applyFont="1" applyFill="1">
      <alignment vertical="center"/>
    </xf>
    <xf numFmtId="0" fontId="103" fillId="5" borderId="0" xfId="1" applyFont="1" applyFill="1" applyAlignment="1">
      <alignment horizontal="center" vertical="center"/>
    </xf>
    <xf numFmtId="49" fontId="82" fillId="5" borderId="53" xfId="1" applyNumberFormat="1" applyFont="1" applyFill="1" applyBorder="1">
      <alignment vertical="center"/>
    </xf>
    <xf numFmtId="0" fontId="82" fillId="5" borderId="27" xfId="1" applyFont="1" applyFill="1" applyBorder="1" applyAlignment="1">
      <alignment vertical="center" wrapText="1"/>
    </xf>
    <xf numFmtId="0" fontId="129" fillId="5" borderId="1" xfId="1" applyFont="1" applyFill="1" applyBorder="1">
      <alignment vertical="center"/>
    </xf>
    <xf numFmtId="0" fontId="129" fillId="6" borderId="7" xfId="1" applyFont="1" applyFill="1" applyBorder="1" applyAlignment="1" applyProtection="1">
      <alignment horizontal="center" vertical="center"/>
      <protection locked="0"/>
    </xf>
    <xf numFmtId="0" fontId="129" fillId="5" borderId="1" xfId="1" applyFont="1" applyFill="1" applyBorder="1" applyAlignment="1">
      <alignment horizontal="left" vertical="center"/>
    </xf>
    <xf numFmtId="0" fontId="103" fillId="5" borderId="7" xfId="1" applyFont="1" applyFill="1" applyBorder="1" applyAlignment="1">
      <alignment horizontal="center" vertical="center"/>
    </xf>
    <xf numFmtId="0" fontId="145" fillId="5" borderId="82" xfId="1" applyFont="1" applyFill="1" applyBorder="1" applyAlignment="1">
      <alignment vertical="center" wrapText="1"/>
    </xf>
    <xf numFmtId="0" fontId="145" fillId="5" borderId="38" xfId="1" applyFont="1" applyFill="1" applyBorder="1">
      <alignment vertical="center"/>
    </xf>
    <xf numFmtId="0" fontId="145" fillId="5" borderId="38" xfId="1" applyFont="1" applyFill="1" applyBorder="1" applyAlignment="1">
      <alignment horizontal="center" vertical="center" wrapText="1"/>
    </xf>
    <xf numFmtId="49" fontId="131" fillId="5" borderId="53" xfId="1" applyNumberFormat="1" applyFont="1" applyFill="1" applyBorder="1">
      <alignment vertical="center"/>
    </xf>
    <xf numFmtId="0" fontId="55" fillId="5" borderId="28" xfId="1" applyFont="1" applyFill="1" applyBorder="1" applyProtection="1">
      <alignment vertical="center"/>
      <protection locked="0"/>
    </xf>
    <xf numFmtId="0" fontId="82" fillId="5" borderId="27" xfId="1" applyFont="1" applyFill="1" applyBorder="1" applyAlignment="1">
      <alignment horizontal="center" vertical="center"/>
    </xf>
    <xf numFmtId="0" fontId="73" fillId="5" borderId="27" xfId="1" applyFont="1" applyFill="1" applyBorder="1">
      <alignment vertical="center"/>
    </xf>
    <xf numFmtId="0" fontId="47" fillId="5" borderId="6" xfId="1" applyFont="1" applyFill="1" applyBorder="1" applyAlignment="1">
      <alignment horizontal="left" vertical="center"/>
    </xf>
    <xf numFmtId="0" fontId="82" fillId="0" borderId="7" xfId="1" applyFont="1" applyBorder="1" applyAlignment="1" applyProtection="1">
      <alignment horizontal="center" vertical="center"/>
      <protection locked="0"/>
    </xf>
    <xf numFmtId="180" fontId="83" fillId="8" borderId="0" xfId="1" applyNumberFormat="1" applyFont="1" applyFill="1" applyAlignment="1" applyProtection="1">
      <alignment horizontal="center" vertical="center"/>
      <protection locked="0"/>
    </xf>
    <xf numFmtId="0" fontId="129" fillId="5" borderId="11" xfId="1" applyFont="1" applyFill="1" applyBorder="1">
      <alignment vertical="center"/>
    </xf>
    <xf numFmtId="0" fontId="145" fillId="6" borderId="12" xfId="1" applyFont="1" applyFill="1" applyBorder="1" applyAlignment="1" applyProtection="1">
      <alignment horizontal="center"/>
      <protection locked="0"/>
    </xf>
    <xf numFmtId="0" fontId="145" fillId="5" borderId="11" xfId="1" applyFont="1" applyFill="1" applyBorder="1" applyAlignment="1">
      <alignment horizontal="left"/>
    </xf>
    <xf numFmtId="0" fontId="103" fillId="5" borderId="12" xfId="1" applyFont="1" applyFill="1" applyBorder="1" applyAlignment="1">
      <alignment horizontal="center" vertical="center"/>
    </xf>
    <xf numFmtId="0" fontId="173" fillId="5" borderId="80" xfId="1" applyFont="1" applyFill="1" applyBorder="1" applyAlignment="1">
      <alignment vertical="center" wrapText="1"/>
    </xf>
    <xf numFmtId="0" fontId="145" fillId="5" borderId="66" xfId="1" applyFont="1" applyFill="1" applyBorder="1">
      <alignment vertical="center"/>
    </xf>
    <xf numFmtId="0" fontId="173" fillId="5" borderId="66" xfId="1" applyFont="1" applyFill="1" applyBorder="1" applyAlignment="1">
      <alignment horizontal="center" vertical="center" wrapText="1"/>
    </xf>
    <xf numFmtId="49" fontId="92" fillId="8" borderId="0" xfId="1" applyNumberFormat="1" applyFont="1" applyFill="1" applyAlignment="1" applyProtection="1">
      <alignment horizontal="left" vertical="center"/>
      <protection locked="0"/>
    </xf>
    <xf numFmtId="0" fontId="103" fillId="8" borderId="12" xfId="1" applyFont="1" applyFill="1" applyBorder="1" applyAlignment="1" applyProtection="1">
      <alignment horizontal="center" vertical="center"/>
      <protection locked="0"/>
    </xf>
    <xf numFmtId="0" fontId="156" fillId="5" borderId="11" xfId="1" applyFont="1" applyFill="1" applyBorder="1" applyAlignment="1">
      <alignment horizontal="left"/>
    </xf>
    <xf numFmtId="0" fontId="103" fillId="0" borderId="12" xfId="1" applyFont="1" applyBorder="1" applyAlignment="1" applyProtection="1">
      <alignment horizontal="center" vertical="center"/>
      <protection locked="0"/>
    </xf>
    <xf numFmtId="0" fontId="173" fillId="5" borderId="12" xfId="1" applyFont="1" applyFill="1" applyBorder="1" applyAlignment="1">
      <alignment horizontal="center"/>
    </xf>
    <xf numFmtId="0" fontId="173" fillId="5" borderId="80" xfId="1" applyFont="1" applyFill="1" applyBorder="1" applyAlignment="1">
      <alignment horizontal="right" vertical="center" wrapText="1"/>
    </xf>
    <xf numFmtId="182" fontId="82" fillId="0" borderId="12" xfId="1" applyNumberFormat="1" applyFont="1" applyBorder="1" applyAlignment="1" applyProtection="1">
      <alignment horizontal="center" vertical="center"/>
      <protection locked="0"/>
    </xf>
    <xf numFmtId="49" fontId="129" fillId="5" borderId="11" xfId="1" applyNumberFormat="1" applyFont="1" applyFill="1" applyBorder="1" applyAlignment="1">
      <alignment horizontal="left" vertical="center"/>
    </xf>
    <xf numFmtId="193" fontId="103" fillId="5" borderId="12" xfId="1" applyNumberFormat="1" applyFont="1" applyFill="1" applyBorder="1" applyAlignment="1">
      <alignment horizontal="center" vertical="center"/>
    </xf>
    <xf numFmtId="10" fontId="173" fillId="5" borderId="66" xfId="1" applyNumberFormat="1" applyFont="1" applyFill="1" applyBorder="1" applyAlignment="1">
      <alignment horizontal="center" vertical="center" wrapText="1"/>
    </xf>
    <xf numFmtId="0" fontId="173" fillId="5" borderId="66" xfId="1" applyFont="1" applyFill="1" applyBorder="1">
      <alignment vertical="center"/>
    </xf>
    <xf numFmtId="0" fontId="129" fillId="5" borderId="43" xfId="1" applyFont="1" applyFill="1" applyBorder="1">
      <alignment vertical="center"/>
    </xf>
    <xf numFmtId="10" fontId="103" fillId="0" borderId="46" xfId="1" applyNumberFormat="1" applyFont="1" applyBorder="1" applyAlignment="1" applyProtection="1">
      <alignment horizontal="center" vertical="center"/>
      <protection locked="0"/>
    </xf>
    <xf numFmtId="182" fontId="73" fillId="5" borderId="25" xfId="1" applyNumberFormat="1" applyFont="1" applyFill="1" applyBorder="1" applyAlignment="1">
      <alignment horizontal="center" vertical="center"/>
    </xf>
    <xf numFmtId="0" fontId="129" fillId="5" borderId="33" xfId="1" applyFont="1" applyFill="1" applyBorder="1" applyAlignment="1">
      <alignment vertical="center" wrapText="1"/>
    </xf>
    <xf numFmtId="0" fontId="103" fillId="17" borderId="83" xfId="1" applyFont="1" applyFill="1" applyBorder="1" applyAlignment="1">
      <alignment horizontal="center" vertical="center"/>
    </xf>
    <xf numFmtId="49" fontId="82" fillId="5" borderId="11" xfId="1" applyNumberFormat="1" applyFont="1" applyFill="1" applyBorder="1" applyAlignment="1">
      <alignment horizontal="left" vertical="center"/>
    </xf>
    <xf numFmtId="0" fontId="82" fillId="5" borderId="2" xfId="1" applyFont="1" applyFill="1" applyBorder="1" applyAlignment="1">
      <alignment horizontal="left" vertical="center"/>
    </xf>
    <xf numFmtId="0" fontId="211" fillId="5" borderId="59" xfId="1" applyFont="1" applyFill="1" applyBorder="1" applyAlignment="1">
      <alignment horizontal="left" vertical="center" wrapText="1"/>
    </xf>
    <xf numFmtId="182" fontId="103" fillId="5" borderId="6" xfId="1" applyNumberFormat="1" applyFont="1" applyFill="1" applyBorder="1" applyAlignment="1">
      <alignment horizontal="center" vertical="center"/>
    </xf>
    <xf numFmtId="0" fontId="211" fillId="5" borderId="26" xfId="1" applyFont="1" applyFill="1" applyBorder="1" applyAlignment="1">
      <alignment horizontal="center" vertical="center"/>
    </xf>
    <xf numFmtId="0" fontId="103" fillId="6" borderId="57" xfId="1" applyFont="1" applyFill="1" applyBorder="1" applyAlignment="1" applyProtection="1">
      <alignment horizontal="center" vertical="center"/>
      <protection locked="0"/>
    </xf>
    <xf numFmtId="0" fontId="169" fillId="5" borderId="0" xfId="1" applyFont="1" applyFill="1">
      <alignment vertical="center"/>
    </xf>
    <xf numFmtId="0" fontId="129" fillId="5" borderId="50" xfId="1" applyFont="1" applyFill="1" applyBorder="1" applyAlignment="1">
      <alignment vertical="center" wrapText="1"/>
    </xf>
    <xf numFmtId="0" fontId="103" fillId="6" borderId="0" xfId="1" applyFont="1" applyFill="1" applyAlignment="1" applyProtection="1">
      <alignment horizontal="center" vertical="center"/>
      <protection locked="0"/>
    </xf>
    <xf numFmtId="0" fontId="129" fillId="5" borderId="11" xfId="1" applyFont="1" applyFill="1" applyBorder="1" applyAlignment="1">
      <alignment vertical="center" wrapText="1"/>
    </xf>
    <xf numFmtId="0" fontId="103" fillId="5" borderId="5" xfId="1" applyFont="1" applyFill="1" applyBorder="1" applyAlignment="1">
      <alignment horizontal="center" vertical="center"/>
    </xf>
    <xf numFmtId="182" fontId="103" fillId="5" borderId="5" xfId="1" applyNumberFormat="1" applyFont="1" applyFill="1" applyBorder="1" applyAlignment="1">
      <alignment horizontal="center" vertical="center"/>
    </xf>
    <xf numFmtId="49" fontId="211" fillId="5" borderId="43" xfId="1" applyNumberFormat="1" applyFont="1" applyFill="1" applyBorder="1" applyAlignment="1">
      <alignment horizontal="left" vertical="center"/>
    </xf>
    <xf numFmtId="0" fontId="103" fillId="5" borderId="46" xfId="1" applyFont="1" applyFill="1" applyBorder="1" applyAlignment="1">
      <alignment horizontal="center" vertical="center"/>
    </xf>
    <xf numFmtId="0" fontId="211" fillId="5" borderId="43" xfId="1" applyFont="1" applyFill="1" applyBorder="1" applyAlignment="1">
      <alignment horizontal="center" vertical="center"/>
    </xf>
    <xf numFmtId="0" fontId="129" fillId="5" borderId="2" xfId="1" applyFont="1" applyFill="1" applyBorder="1" applyAlignment="1"/>
    <xf numFmtId="0" fontId="129" fillId="5" borderId="2" xfId="1" applyFont="1" applyFill="1" applyBorder="1" applyAlignment="1">
      <alignment horizontal="center"/>
    </xf>
    <xf numFmtId="0" fontId="129" fillId="5" borderId="2" xfId="1" applyFont="1" applyFill="1" applyBorder="1" applyAlignment="1">
      <alignment horizontal="center" vertical="center"/>
    </xf>
    <xf numFmtId="9" fontId="103" fillId="5" borderId="2" xfId="1" applyNumberFormat="1" applyFont="1" applyFill="1" applyBorder="1" applyAlignment="1">
      <alignment horizontal="center" vertical="center"/>
    </xf>
    <xf numFmtId="0" fontId="43" fillId="5" borderId="2" xfId="1" applyFont="1" applyFill="1" applyBorder="1" applyAlignment="1">
      <alignment horizontal="left" vertical="center" wrapText="1"/>
    </xf>
    <xf numFmtId="0" fontId="73" fillId="5" borderId="8" xfId="1" applyFont="1" applyFill="1" applyBorder="1" applyAlignment="1">
      <alignment horizontal="center" vertical="center" wrapText="1"/>
    </xf>
    <xf numFmtId="0" fontId="73" fillId="5" borderId="16" xfId="1" applyFont="1" applyFill="1" applyBorder="1" applyAlignment="1">
      <alignment horizontal="center" vertical="center" wrapText="1"/>
    </xf>
    <xf numFmtId="0" fontId="103" fillId="0" borderId="0" xfId="1" applyFont="1" applyAlignment="1" applyProtection="1">
      <alignment horizontal="left" vertical="center"/>
      <protection locked="0"/>
    </xf>
    <xf numFmtId="193" fontId="173" fillId="5" borderId="66" xfId="1" applyNumberFormat="1" applyFont="1" applyFill="1" applyBorder="1" applyAlignment="1">
      <alignment horizontal="center" vertical="center" wrapText="1"/>
    </xf>
    <xf numFmtId="0" fontId="168" fillId="5" borderId="66" xfId="1" applyFont="1" applyFill="1" applyBorder="1">
      <alignment vertical="center"/>
    </xf>
    <xf numFmtId="0" fontId="217" fillId="5" borderId="66" xfId="1" applyFont="1" applyFill="1" applyBorder="1">
      <alignment vertical="center"/>
    </xf>
    <xf numFmtId="0" fontId="103" fillId="0" borderId="0" xfId="1" applyFont="1" applyAlignment="1" applyProtection="1">
      <alignment horizontal="center" vertical="center"/>
      <protection locked="0"/>
    </xf>
    <xf numFmtId="0" fontId="281" fillId="0" borderId="2" xfId="0" applyFont="1" applyBorder="1" applyAlignment="1" applyProtection="1">
      <alignment horizontal="center" vertical="center"/>
      <protection locked="0"/>
    </xf>
    <xf numFmtId="0" fontId="148" fillId="5" borderId="4" xfId="1" applyFont="1" applyFill="1" applyBorder="1">
      <alignment vertical="center"/>
    </xf>
    <xf numFmtId="0" fontId="98" fillId="5" borderId="14" xfId="1" applyFont="1" applyFill="1" applyBorder="1" applyAlignment="1">
      <alignment horizontal="right" vertical="center"/>
    </xf>
    <xf numFmtId="0" fontId="98" fillId="5" borderId="0" xfId="1" applyFont="1" applyFill="1" applyAlignment="1">
      <alignment horizontal="center" vertical="center"/>
    </xf>
    <xf numFmtId="0" fontId="65" fillId="5" borderId="14" xfId="1" applyFont="1" applyFill="1" applyBorder="1">
      <alignment vertical="center"/>
    </xf>
    <xf numFmtId="0" fontId="98" fillId="5" borderId="14" xfId="1" applyFont="1" applyFill="1" applyBorder="1">
      <alignment vertical="center"/>
    </xf>
    <xf numFmtId="0" fontId="95" fillId="5" borderId="0" xfId="1" applyFont="1" applyFill="1" applyAlignment="1">
      <alignment horizontal="center" vertical="center"/>
    </xf>
    <xf numFmtId="188" fontId="9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5" fillId="5" borderId="0" xfId="1" applyFont="1" applyFill="1" applyAlignment="1" applyProtection="1">
      <alignment horizontal="center" vertical="center"/>
      <protection locked="0"/>
    </xf>
    <xf numFmtId="0" fontId="95" fillId="0" borderId="0" xfId="1" applyFont="1" applyAlignment="1">
      <alignment horizontal="center" vertical="center"/>
    </xf>
    <xf numFmtId="178" fontId="94" fillId="5" borderId="2" xfId="1" applyNumberFormat="1" applyFont="1" applyFill="1" applyBorder="1" applyAlignment="1">
      <alignment horizontal="right" vertical="center"/>
    </xf>
    <xf numFmtId="0" fontId="94" fillId="13" borderId="0" xfId="1" applyFont="1" applyFill="1" applyProtection="1">
      <alignment vertical="center"/>
      <protection locked="0"/>
    </xf>
    <xf numFmtId="0" fontId="98" fillId="13" borderId="0" xfId="1" applyFont="1" applyFill="1" applyProtection="1">
      <alignment vertical="center"/>
      <protection locked="0"/>
    </xf>
    <xf numFmtId="0" fontId="99" fillId="13" borderId="0" xfId="1" applyFont="1" applyFill="1" applyProtection="1">
      <alignment vertical="center"/>
      <protection locked="0"/>
    </xf>
    <xf numFmtId="188" fontId="98" fillId="13" borderId="0" xfId="1" applyNumberFormat="1" applyFont="1" applyFill="1" applyAlignment="1" applyProtection="1">
      <alignment horizontal="center" vertical="center"/>
      <protection locked="0"/>
    </xf>
    <xf numFmtId="182" fontId="98" fillId="5" borderId="0" xfId="1" applyNumberFormat="1" applyFont="1" applyFill="1" applyProtection="1">
      <alignment vertical="center"/>
      <protection locked="0"/>
    </xf>
    <xf numFmtId="0" fontId="54" fillId="5" borderId="10" xfId="2" applyFont="1" applyFill="1" applyBorder="1">
      <alignment vertical="center"/>
    </xf>
    <xf numFmtId="185" fontId="94" fillId="5" borderId="10" xfId="1" applyNumberFormat="1" applyFont="1" applyFill="1" applyBorder="1" applyAlignment="1">
      <alignment horizontal="right" vertical="center"/>
    </xf>
    <xf numFmtId="0" fontId="95" fillId="13" borderId="0" xfId="1" applyFont="1" applyFill="1" applyAlignment="1" applyProtection="1">
      <alignment horizontal="center" vertical="center"/>
      <protection locked="0"/>
    </xf>
    <xf numFmtId="0" fontId="55" fillId="13" borderId="0" xfId="1" applyFont="1" applyFill="1" applyAlignment="1" applyProtection="1">
      <alignment horizontal="center" vertical="center"/>
      <protection locked="0"/>
    </xf>
    <xf numFmtId="0" fontId="98" fillId="5" borderId="19" xfId="1" applyFont="1" applyFill="1" applyBorder="1" applyAlignment="1" applyProtection="1">
      <alignment horizontal="center" vertical="center"/>
      <protection locked="0"/>
    </xf>
    <xf numFmtId="0" fontId="94" fillId="5" borderId="10" xfId="1" applyFont="1" applyFill="1" applyBorder="1">
      <alignment vertical="center"/>
    </xf>
    <xf numFmtId="0" fontId="94" fillId="5" borderId="2" xfId="1" applyFont="1" applyFill="1" applyBorder="1">
      <alignment vertical="center"/>
    </xf>
    <xf numFmtId="0" fontId="94" fillId="5" borderId="0" xfId="2" applyFont="1" applyFill="1">
      <alignment vertical="center"/>
    </xf>
    <xf numFmtId="0" fontId="94" fillId="5" borderId="4" xfId="1" applyFont="1" applyFill="1" applyBorder="1">
      <alignment vertical="center"/>
    </xf>
    <xf numFmtId="0" fontId="151" fillId="5" borderId="32" xfId="1" applyFont="1" applyFill="1" applyBorder="1" applyAlignment="1">
      <alignment horizontal="left" vertical="center"/>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9"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62"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184" fontId="68" fillId="0" borderId="33" xfId="1" applyNumberFormat="1" applyFont="1" applyBorder="1" applyAlignment="1" applyProtection="1">
      <alignment horizontal="center" vertical="center" wrapText="1"/>
      <protection locked="0"/>
    </xf>
    <xf numFmtId="0" fontId="68" fillId="5" borderId="9"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62"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68" fillId="2" borderId="30" xfId="1" applyFont="1" applyFill="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0" fontId="68" fillId="0" borderId="20" xfId="1" applyFont="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0" fontId="89" fillId="5" borderId="9"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5" borderId="64" xfId="1" applyFont="1" applyFill="1" applyBorder="1" applyAlignment="1">
      <alignment vertical="center" wrapText="1"/>
    </xf>
    <xf numFmtId="0" fontId="68" fillId="0" borderId="9" xfId="1" applyFont="1" applyBorder="1" applyAlignment="1" applyProtection="1">
      <alignment horizontal="center" vertical="center" wrapText="1"/>
      <protection locked="0"/>
    </xf>
    <xf numFmtId="0" fontId="68" fillId="0" borderId="11" xfId="1" applyFont="1" applyBorder="1" applyAlignment="1" applyProtection="1">
      <alignment horizontal="center" vertical="center" wrapText="1"/>
      <protection locked="0"/>
    </xf>
    <xf numFmtId="0" fontId="89" fillId="0" borderId="9" xfId="1" applyFont="1" applyBorder="1" applyAlignment="1" applyProtection="1">
      <alignment horizontal="center" vertical="center" wrapText="1"/>
      <protection locked="0"/>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72" fillId="5" borderId="16" xfId="1" applyFont="1" applyFill="1" applyBorder="1" applyAlignment="1" applyProtection="1">
      <alignment horizontal="left" vertical="center" wrapText="1"/>
      <protection locked="0"/>
    </xf>
    <xf numFmtId="0" fontId="49" fillId="0" borderId="20" xfId="1" applyFont="1" applyBorder="1" applyAlignment="1" applyProtection="1">
      <alignment horizontal="center" vertical="center" wrapText="1"/>
      <protection locked="0"/>
    </xf>
    <xf numFmtId="0" fontId="68" fillId="5" borderId="63" xfId="1" applyFont="1" applyFill="1" applyBorder="1" applyAlignment="1">
      <alignment horizontal="center" vertical="center" wrapText="1"/>
    </xf>
    <xf numFmtId="49" fontId="49" fillId="0" borderId="50" xfId="1" applyNumberFormat="1" applyFont="1" applyBorder="1" applyAlignment="1" applyProtection="1">
      <alignment horizontal="center" vertical="center" wrapText="1"/>
      <protection locked="0"/>
    </xf>
    <xf numFmtId="49" fontId="68" fillId="0" borderId="20" xfId="1" applyNumberFormat="1" applyFont="1" applyBorder="1" applyAlignment="1" applyProtection="1">
      <alignment horizontal="center" vertical="center" wrapText="1"/>
      <protection locked="0"/>
    </xf>
    <xf numFmtId="49" fontId="68" fillId="0" borderId="50" xfId="1" applyNumberFormat="1" applyFont="1" applyBorder="1" applyAlignment="1" applyProtection="1">
      <alignment horizontal="center" vertical="center" wrapText="1"/>
      <protection locked="0"/>
    </xf>
    <xf numFmtId="0" fontId="80" fillId="8" borderId="87" xfId="1" applyFont="1" applyFill="1" applyBorder="1" applyAlignment="1">
      <alignment vertical="center" wrapText="1"/>
    </xf>
    <xf numFmtId="0" fontId="130" fillId="8" borderId="63" xfId="1" applyFont="1" applyFill="1" applyBorder="1" applyAlignment="1" applyProtection="1">
      <alignment horizontal="left" vertical="center" wrapText="1"/>
      <protection locked="0"/>
    </xf>
    <xf numFmtId="0" fontId="141" fillId="0" borderId="8"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0" fontId="141" fillId="0" borderId="2" xfId="1" applyFont="1" applyBorder="1" applyAlignment="1" applyProtection="1">
      <alignment horizontal="center" vertical="center" wrapText="1"/>
      <protection locked="0"/>
    </xf>
    <xf numFmtId="182" fontId="102" fillId="5" borderId="0" xfId="1" applyNumberFormat="1" applyFont="1" applyFill="1" applyAlignment="1" applyProtection="1">
      <alignment horizontal="center" vertical="center" wrapText="1"/>
      <protection locked="0"/>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56"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81" fillId="0" borderId="11" xfId="1" applyFont="1" applyBorder="1" applyAlignment="1" applyProtection="1">
      <alignment horizontal="center" vertical="center" wrapText="1"/>
      <protection locked="0"/>
    </xf>
    <xf numFmtId="0" fontId="244" fillId="5" borderId="24" xfId="1" applyFont="1" applyFill="1" applyBorder="1" applyAlignment="1">
      <alignment vertical="center" wrapText="1"/>
    </xf>
    <xf numFmtId="0" fontId="68" fillId="5" borderId="52" xfId="1" applyFont="1" applyFill="1" applyBorder="1" applyAlignment="1">
      <alignment horizontal="center" vertical="center" wrapText="1"/>
    </xf>
    <xf numFmtId="49" fontId="81" fillId="5" borderId="58" xfId="1" applyNumberFormat="1" applyFont="1" applyFill="1" applyBorder="1" applyAlignment="1">
      <alignment horizontal="center" vertical="center" wrapText="1"/>
    </xf>
    <xf numFmtId="0" fontId="81" fillId="5" borderId="40" xfId="1" applyFont="1" applyFill="1" applyBorder="1" applyAlignment="1">
      <alignment horizontal="center" vertical="center" wrapText="1"/>
    </xf>
    <xf numFmtId="49" fontId="81" fillId="0" borderId="53" xfId="1" applyNumberFormat="1" applyFont="1" applyBorder="1" applyAlignment="1" applyProtection="1">
      <alignment horizontal="center" vertical="center" wrapText="1"/>
      <protection locked="0"/>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65" xfId="1" applyFont="1" applyFill="1" applyBorder="1" applyAlignment="1">
      <alignment horizontal="center" vertical="center"/>
    </xf>
    <xf numFmtId="0" fontId="81" fillId="2" borderId="20" xfId="1" applyFont="1" applyFill="1" applyBorder="1" applyAlignment="1" applyProtection="1">
      <alignment horizontal="center" vertical="center" wrapText="1"/>
      <protection locked="0"/>
    </xf>
    <xf numFmtId="0" fontId="81" fillId="5" borderId="17" xfId="1" applyFont="1" applyFill="1" applyBorder="1" applyAlignment="1">
      <alignment horizontal="center" vertical="center" wrapText="1"/>
    </xf>
    <xf numFmtId="49" fontId="81" fillId="2" borderId="50" xfId="1" applyNumberFormat="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49" fontId="81" fillId="2" borderId="20" xfId="1" applyNumberFormat="1" applyFont="1" applyFill="1" applyBorder="1" applyAlignment="1" applyProtection="1">
      <alignment horizontal="center" vertical="center" wrapText="1"/>
      <protection locked="0"/>
    </xf>
    <xf numFmtId="0" fontId="81" fillId="5" borderId="52" xfId="1" applyFont="1" applyFill="1" applyBorder="1" applyAlignment="1">
      <alignment horizontal="center" vertical="center" wrapText="1"/>
    </xf>
    <xf numFmtId="0" fontId="68" fillId="5" borderId="25" xfId="1" applyFont="1" applyFill="1" applyBorder="1" applyAlignment="1">
      <alignment horizontal="center" vertical="center" wrapText="1"/>
    </xf>
    <xf numFmtId="49" fontId="81" fillId="5" borderId="32" xfId="1" applyNumberFormat="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282" fillId="0" borderId="66" xfId="1" applyFont="1" applyBorder="1" applyAlignment="1" applyProtection="1">
      <alignment horizontal="center" vertical="center" wrapText="1"/>
      <protection locked="0"/>
    </xf>
    <xf numFmtId="0" fontId="282" fillId="0" borderId="66" xfId="1" applyFont="1" applyBorder="1" applyAlignment="1">
      <alignment horizontal="center" vertical="center" wrapText="1"/>
    </xf>
    <xf numFmtId="0" fontId="81" fillId="5" borderId="25" xfId="1" applyFont="1" applyFill="1" applyBorder="1" applyAlignment="1">
      <alignment horizontal="center" vertical="center" wrapText="1"/>
    </xf>
    <xf numFmtId="49" fontId="141" fillId="0" borderId="24" xfId="1" applyNumberFormat="1" applyFont="1" applyBorder="1" applyAlignment="1" applyProtection="1">
      <alignment horizontal="center" vertical="center" wrapText="1"/>
      <protection locked="0"/>
    </xf>
    <xf numFmtId="0" fontId="68" fillId="5" borderId="51" xfId="1" applyFont="1" applyFill="1" applyBorder="1" applyAlignment="1">
      <alignment horizontal="center" vertical="center" wrapText="1"/>
    </xf>
    <xf numFmtId="0" fontId="81" fillId="2" borderId="18" xfId="1" applyFont="1" applyFill="1" applyBorder="1" applyAlignment="1" applyProtection="1">
      <alignment horizontal="center" vertical="center" wrapText="1"/>
      <protection locked="0"/>
    </xf>
    <xf numFmtId="49" fontId="81" fillId="2" borderId="24" xfId="1" applyNumberFormat="1" applyFont="1" applyFill="1" applyBorder="1" applyAlignment="1" applyProtection="1">
      <alignment horizontal="center" vertical="center" wrapText="1"/>
      <protection locked="0"/>
    </xf>
    <xf numFmtId="49" fontId="81" fillId="2" borderId="18" xfId="1" applyNumberFormat="1" applyFont="1" applyFill="1" applyBorder="1" applyAlignment="1" applyProtection="1">
      <alignment horizontal="center" vertical="center" wrapText="1"/>
      <protection locked="0"/>
    </xf>
    <xf numFmtId="0" fontId="81" fillId="5" borderId="4" xfId="1" applyFont="1" applyFill="1" applyBorder="1" applyAlignment="1">
      <alignment horizontal="center" vertical="center" wrapText="1"/>
    </xf>
    <xf numFmtId="49" fontId="81" fillId="0" borderId="22" xfId="1" applyNumberFormat="1" applyFont="1" applyBorder="1" applyAlignment="1" applyProtection="1">
      <alignment horizontal="center" vertical="center" wrapText="1"/>
      <protection locked="0"/>
    </xf>
    <xf numFmtId="49" fontId="81" fillId="0" borderId="32" xfId="1" applyNumberFormat="1" applyFont="1" applyBorder="1" applyAlignment="1" applyProtection="1">
      <alignment horizontal="center" vertical="center" wrapText="1"/>
      <protection locked="0"/>
    </xf>
    <xf numFmtId="0" fontId="81" fillId="5" borderId="32" xfId="1" applyFont="1" applyFill="1" applyBorder="1" applyAlignment="1">
      <alignment horizontal="center" vertical="center" wrapText="1"/>
    </xf>
    <xf numFmtId="0" fontId="68" fillId="5" borderId="10" xfId="1" applyFont="1" applyFill="1" applyBorder="1" applyAlignment="1">
      <alignment horizontal="center" vertical="center" wrapText="1"/>
    </xf>
    <xf numFmtId="49" fontId="141" fillId="0" borderId="18" xfId="1" applyNumberFormat="1" applyFont="1" applyBorder="1" applyAlignment="1" applyProtection="1">
      <alignment horizontal="center" vertical="center" wrapText="1"/>
      <protection locked="0"/>
    </xf>
    <xf numFmtId="0" fontId="68" fillId="5" borderId="21" xfId="1" applyFont="1" applyFill="1" applyBorder="1" applyAlignment="1">
      <alignment horizontal="center" vertical="center" wrapText="1"/>
    </xf>
    <xf numFmtId="49" fontId="283" fillId="0" borderId="18" xfId="1" applyNumberFormat="1" applyFont="1" applyBorder="1" applyAlignment="1" applyProtection="1">
      <alignment horizontal="center" vertical="center" wrapText="1"/>
      <protection locked="0"/>
    </xf>
    <xf numFmtId="49" fontId="283" fillId="0" borderId="24" xfId="1" applyNumberFormat="1" applyFont="1" applyBorder="1" applyAlignment="1" applyProtection="1">
      <alignment horizontal="center" vertical="center" wrapText="1"/>
      <protection locked="0"/>
    </xf>
    <xf numFmtId="0" fontId="81" fillId="2" borderId="50" xfId="1" applyFont="1" applyFill="1" applyBorder="1" applyAlignment="1" applyProtection="1">
      <alignment horizontal="center" vertical="center" wrapText="1"/>
      <protection locked="0"/>
    </xf>
    <xf numFmtId="0" fontId="72" fillId="5" borderId="31" xfId="1" applyFont="1" applyFill="1" applyBorder="1" applyAlignment="1">
      <alignment vertical="center" wrapText="1"/>
    </xf>
    <xf numFmtId="0" fontId="49" fillId="5" borderId="52" xfId="1" applyFont="1" applyFill="1" applyBorder="1" applyAlignment="1">
      <alignment horizontal="center" vertical="center" wrapText="1"/>
    </xf>
    <xf numFmtId="0" fontId="68" fillId="2" borderId="19" xfId="1" applyFont="1" applyFill="1" applyBorder="1" applyAlignment="1" applyProtection="1">
      <alignment horizontal="center" vertical="center" wrapText="1"/>
      <protection locked="0"/>
    </xf>
    <xf numFmtId="49" fontId="81" fillId="0" borderId="24" xfId="1" applyNumberFormat="1" applyFont="1" applyBorder="1" applyAlignment="1" applyProtection="1">
      <alignment horizontal="center" vertical="center" wrapText="1"/>
      <protection locked="0"/>
    </xf>
    <xf numFmtId="49" fontId="81" fillId="0" borderId="18" xfId="1" applyNumberFormat="1" applyFont="1" applyBorder="1" applyAlignment="1" applyProtection="1">
      <alignment horizontal="center" vertical="center" wrapText="1"/>
      <protection locked="0"/>
    </xf>
    <xf numFmtId="0" fontId="68" fillId="2" borderId="87" xfId="1" applyFont="1" applyFill="1" applyBorder="1" applyAlignment="1" applyProtection="1">
      <alignment horizontal="center" vertical="center" wrapText="1"/>
      <protection locked="0"/>
    </xf>
    <xf numFmtId="0" fontId="81" fillId="2" borderId="8" xfId="1" applyFont="1" applyFill="1" applyBorder="1" applyAlignment="1" applyProtection="1">
      <alignment horizontal="center" vertical="center" wrapText="1"/>
      <protection locked="0"/>
    </xf>
    <xf numFmtId="0" fontId="81" fillId="5" borderId="5" xfId="1" applyFont="1" applyFill="1" applyBorder="1" applyAlignment="1">
      <alignment horizontal="center" vertical="center" wrapText="1"/>
    </xf>
    <xf numFmtId="0" fontId="81" fillId="2" borderId="64" xfId="1" applyFont="1" applyFill="1" applyBorder="1" applyAlignment="1" applyProtection="1">
      <alignment horizontal="center" vertical="center" wrapText="1"/>
      <protection locked="0"/>
    </xf>
    <xf numFmtId="0" fontId="282" fillId="0" borderId="0" xfId="1" applyFont="1">
      <alignment vertical="center"/>
    </xf>
    <xf numFmtId="0" fontId="103" fillId="5" borderId="9" xfId="1" applyFont="1" applyFill="1" applyBorder="1" applyAlignment="1">
      <alignment horizontal="center" vertical="center" wrapText="1"/>
    </xf>
    <xf numFmtId="0" fontId="103" fillId="0" borderId="9" xfId="1" applyFont="1" applyBorder="1" applyAlignment="1" applyProtection="1">
      <alignment horizontal="center" vertical="center" wrapText="1"/>
      <protection locked="0"/>
    </xf>
    <xf numFmtId="0" fontId="68" fillId="0" borderId="12" xfId="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0" fontId="81" fillId="5" borderId="31" xfId="1" applyFont="1" applyFill="1" applyBorder="1" applyAlignment="1">
      <alignment horizontal="center" vertical="center"/>
    </xf>
    <xf numFmtId="0" fontId="81" fillId="0" borderId="12" xfId="1" applyFont="1" applyBorder="1" applyAlignment="1" applyProtection="1">
      <alignment horizontal="center" vertical="center"/>
      <protection locked="0"/>
    </xf>
    <xf numFmtId="0" fontId="97" fillId="5" borderId="54" xfId="1" applyFont="1" applyFill="1" applyBorder="1" applyAlignment="1">
      <alignment vertical="center" textRotation="255" wrapText="1"/>
    </xf>
    <xf numFmtId="0" fontId="77" fillId="0" borderId="46" xfId="1" applyFont="1" applyBorder="1" applyAlignment="1" applyProtection="1">
      <alignment horizontal="center" vertical="center"/>
      <protection locked="0"/>
    </xf>
    <xf numFmtId="0" fontId="81" fillId="0" borderId="32" xfId="1" applyFont="1" applyBorder="1" applyAlignment="1" applyProtection="1">
      <alignment horizontal="center" vertical="center" wrapText="1"/>
      <protection locked="0"/>
    </xf>
    <xf numFmtId="0" fontId="68" fillId="5" borderId="4" xfId="1" applyFont="1" applyFill="1" applyBorder="1" applyAlignment="1">
      <alignment horizontal="center" vertical="center" wrapText="1"/>
    </xf>
    <xf numFmtId="0" fontId="81" fillId="0" borderId="43" xfId="1" applyFont="1" applyBorder="1" applyAlignment="1" applyProtection="1">
      <alignment horizontal="center" vertical="center" wrapText="1"/>
      <protection locked="0"/>
    </xf>
    <xf numFmtId="0" fontId="81" fillId="0" borderId="47" xfId="1" applyFont="1" applyBorder="1" applyAlignment="1" applyProtection="1">
      <alignment horizontal="center" vertical="center" wrapText="1"/>
      <protection locked="0"/>
    </xf>
    <xf numFmtId="0" fontId="77" fillId="5" borderId="18" xfId="1" applyFont="1" applyFill="1" applyBorder="1" applyAlignment="1" applyProtection="1">
      <alignment horizontal="center" vertical="center"/>
      <protection locked="0"/>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244" fillId="5" borderId="53" xfId="1" applyFont="1" applyFill="1" applyBorder="1" applyAlignment="1">
      <alignment vertical="center" wrapText="1"/>
    </xf>
    <xf numFmtId="0" fontId="68" fillId="5" borderId="17" xfId="1" applyFont="1" applyFill="1" applyBorder="1" applyAlignment="1">
      <alignment horizontal="center" vertical="center" wrapText="1"/>
    </xf>
    <xf numFmtId="0" fontId="81" fillId="0" borderId="1" xfId="1" applyFont="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80" fillId="5" borderId="24" xfId="1" applyFont="1" applyFill="1" applyBorder="1" applyAlignment="1">
      <alignment vertical="center" textRotation="255" wrapText="1"/>
    </xf>
    <xf numFmtId="0" fontId="68" fillId="5" borderId="5" xfId="1" applyFont="1" applyFill="1" applyBorder="1" applyAlignment="1">
      <alignment horizontal="center" vertical="center" wrapText="1"/>
    </xf>
    <xf numFmtId="49" fontId="81" fillId="2" borderId="11" xfId="1" applyNumberFormat="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0" fontId="49" fillId="5" borderId="5" xfId="1" applyFont="1" applyFill="1" applyBorder="1" applyAlignment="1">
      <alignment horizontal="center" vertical="center" wrapText="1"/>
    </xf>
    <xf numFmtId="9" fontId="68" fillId="2" borderId="64" xfId="1" applyNumberFormat="1" applyFont="1" applyFill="1" applyBorder="1" applyAlignment="1" applyProtection="1">
      <alignment horizontal="center" vertical="center" wrapText="1"/>
      <protection locked="0"/>
    </xf>
    <xf numFmtId="9" fontId="68" fillId="21" borderId="64" xfId="1" applyNumberFormat="1" applyFont="1" applyFill="1" applyBorder="1" applyAlignment="1" applyProtection="1">
      <alignment horizontal="center" vertical="center" wrapText="1"/>
      <protection locked="0"/>
    </xf>
    <xf numFmtId="0" fontId="81" fillId="0" borderId="5" xfId="1" applyFont="1" applyBorder="1" applyAlignment="1" applyProtection="1">
      <alignment horizontal="center" vertical="center"/>
      <protection locked="0"/>
    </xf>
    <xf numFmtId="0" fontId="97" fillId="5" borderId="24" xfId="1" applyFont="1" applyFill="1" applyBorder="1" applyAlignment="1">
      <alignment vertical="center" textRotation="255" wrapText="1"/>
    </xf>
    <xf numFmtId="0" fontId="77" fillId="0" borderId="60" xfId="1" applyFont="1" applyBorder="1" applyAlignment="1" applyProtection="1">
      <alignment horizontal="center" vertical="center" wrapText="1"/>
      <protection locked="0"/>
    </xf>
    <xf numFmtId="0" fontId="77" fillId="5" borderId="46" xfId="1" applyFont="1" applyFill="1" applyBorder="1" applyAlignment="1">
      <alignment horizontal="center" vertical="center" wrapText="1"/>
    </xf>
    <xf numFmtId="0" fontId="104" fillId="5" borderId="9" xfId="1" applyFont="1" applyFill="1" applyBorder="1" applyAlignment="1">
      <alignment horizontal="center" vertical="center" wrapText="1"/>
    </xf>
    <xf numFmtId="49" fontId="80" fillId="5" borderId="59" xfId="1" applyNumberFormat="1" applyFont="1" applyFill="1" applyBorder="1">
      <alignment vertical="center"/>
    </xf>
    <xf numFmtId="49" fontId="80" fillId="2" borderId="7" xfId="1" applyNumberFormat="1" applyFont="1" applyFill="1" applyBorder="1" applyProtection="1">
      <alignment vertical="center"/>
      <protection locked="0"/>
    </xf>
    <xf numFmtId="0" fontId="80" fillId="5" borderId="30"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3" borderId="9"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0" xfId="1" applyFont="1" applyFill="1" applyAlignment="1">
      <alignment horizontal="center" vertical="center"/>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48" xfId="1" applyNumberFormat="1" applyFont="1" applyFill="1" applyBorder="1">
      <alignment vertical="center"/>
    </xf>
    <xf numFmtId="185" fontId="80" fillId="5" borderId="56" xfId="1" applyNumberFormat="1" applyFont="1" applyFill="1" applyBorder="1" applyAlignment="1">
      <alignment vertical="center" wrapText="1"/>
    </xf>
    <xf numFmtId="0" fontId="92" fillId="17" borderId="48" xfId="1" applyFont="1" applyFill="1" applyBorder="1" applyAlignment="1" applyProtection="1">
      <alignment horizontal="left" vertical="center" wrapText="1"/>
      <protection locked="0"/>
    </xf>
    <xf numFmtId="182" fontId="80" fillId="17" borderId="48" xfId="1" applyNumberFormat="1" applyFont="1" applyFill="1" applyBorder="1" applyAlignment="1" applyProtection="1">
      <alignment horizontal="left" vertical="center" wrapText="1"/>
      <protection locked="0"/>
    </xf>
    <xf numFmtId="185" fontId="80" fillId="5" borderId="60" xfId="1" applyNumberFormat="1" applyFont="1" applyFill="1" applyBorder="1" applyAlignment="1">
      <alignment vertical="center" wrapText="1"/>
    </xf>
    <xf numFmtId="185" fontId="244" fillId="5" borderId="56" xfId="1" applyNumberFormat="1" applyFont="1" applyFill="1" applyBorder="1" applyAlignment="1">
      <alignment vertical="center" wrapText="1"/>
    </xf>
    <xf numFmtId="177" fontId="81" fillId="5"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5" fontId="80" fillId="5" borderId="61" xfId="1" applyNumberFormat="1" applyFont="1" applyFill="1" applyBorder="1" applyAlignment="1">
      <alignment vertical="center" wrapText="1"/>
    </xf>
    <xf numFmtId="188" fontId="81" fillId="3" borderId="2" xfId="1" applyNumberFormat="1" applyFont="1" applyFill="1" applyBorder="1" applyAlignment="1">
      <alignment horizontal="center" vertical="center" wrapText="1"/>
    </xf>
    <xf numFmtId="0" fontId="81" fillId="13" borderId="0" xfId="1" applyFont="1" applyFill="1" applyAlignment="1" applyProtection="1">
      <alignment horizontal="center" vertical="center"/>
      <protection locked="0"/>
    </xf>
    <xf numFmtId="9" fontId="81" fillId="13" borderId="0" xfId="1" applyNumberFormat="1" applyFont="1" applyFill="1" applyAlignment="1" applyProtection="1">
      <alignment horizontal="center" vertical="center"/>
      <protection locked="0"/>
    </xf>
    <xf numFmtId="188" fontId="81" fillId="13"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3" borderId="0" xfId="1" applyFont="1" applyFill="1" applyAlignment="1" applyProtection="1">
      <alignment horizontal="center" vertical="center"/>
      <protection locked="0"/>
    </xf>
    <xf numFmtId="188" fontId="102" fillId="13"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5"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4" fontId="81" fillId="5" borderId="1" xfId="1" applyNumberFormat="1" applyFont="1" applyFill="1" applyBorder="1" applyAlignment="1">
      <alignment horizontal="left" vertical="center"/>
    </xf>
    <xf numFmtId="177" fontId="81"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1" fillId="5" borderId="28" xfId="1" applyFont="1" applyFill="1" applyBorder="1" applyAlignment="1" applyProtection="1">
      <alignment horizontal="center" vertical="center" wrapText="1"/>
      <protection locked="0"/>
    </xf>
    <xf numFmtId="0" fontId="81" fillId="5" borderId="6" xfId="1" applyFont="1" applyFill="1" applyBorder="1" applyAlignment="1">
      <alignment horizontal="center" vertical="center"/>
    </xf>
    <xf numFmtId="0" fontId="81" fillId="5" borderId="7" xfId="1" applyFont="1" applyFill="1" applyBorder="1" applyAlignment="1">
      <alignment horizontal="center" vertical="center"/>
    </xf>
    <xf numFmtId="0" fontId="156" fillId="5" borderId="2" xfId="1" applyFont="1" applyFill="1" applyBorder="1" applyAlignment="1">
      <alignment horizontal="center" vertical="center"/>
    </xf>
    <xf numFmtId="0" fontId="199" fillId="5" borderId="0" xfId="1" applyFont="1" applyFill="1" applyAlignment="1" applyProtection="1">
      <alignment horizontal="left" vertical="center"/>
      <protection locked="0"/>
    </xf>
    <xf numFmtId="0" fontId="83" fillId="5" borderId="11" xfId="1" applyFont="1" applyFill="1" applyBorder="1" applyAlignment="1"/>
    <xf numFmtId="185" fontId="83" fillId="5" borderId="2" xfId="2" applyNumberFormat="1" applyFont="1" applyFill="1" applyBorder="1" applyAlignment="1">
      <alignment horizontal="center"/>
    </xf>
    <xf numFmtId="0" fontId="83" fillId="5" borderId="2" xfId="1" applyFont="1" applyFill="1" applyBorder="1" applyAlignment="1">
      <alignment horizontal="center"/>
    </xf>
    <xf numFmtId="0" fontId="106" fillId="5" borderId="2" xfId="1" applyFont="1" applyFill="1" applyBorder="1" applyAlignment="1" applyProtection="1">
      <alignment horizontal="center" vertical="center"/>
      <protection locked="0"/>
    </xf>
    <xf numFmtId="178" fontId="83" fillId="5" borderId="12" xfId="2" applyNumberFormat="1" applyFont="1" applyFill="1" applyBorder="1" applyAlignment="1">
      <alignment horizontal="center"/>
    </xf>
    <xf numFmtId="0" fontId="149" fillId="5" borderId="2" xfId="1" applyFont="1" applyFill="1" applyBorder="1" applyAlignment="1">
      <alignment horizontal="center" vertical="center"/>
    </xf>
    <xf numFmtId="0" fontId="106" fillId="13"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protection locked="0"/>
    </xf>
    <xf numFmtId="0" fontId="106" fillId="0" borderId="0" xfId="1" applyFont="1" applyAlignment="1">
      <alignment horizontal="center" vertical="center"/>
    </xf>
    <xf numFmtId="0" fontId="83" fillId="5" borderId="11" xfId="2" applyFont="1" applyFill="1" applyBorder="1" applyAlignment="1"/>
    <xf numFmtId="0" fontId="83" fillId="5" borderId="2" xfId="2" applyFont="1" applyFill="1" applyBorder="1" applyAlignment="1">
      <alignment horizontal="center"/>
    </xf>
    <xf numFmtId="0" fontId="83" fillId="5" borderId="2" xfId="1" applyFont="1" applyFill="1" applyBorder="1" applyAlignment="1">
      <alignment horizontal="center" vertical="center" wrapText="1"/>
    </xf>
    <xf numFmtId="9" fontId="106" fillId="6" borderId="2" xfId="1" applyNumberFormat="1" applyFont="1" applyFill="1" applyBorder="1" applyAlignment="1" applyProtection="1">
      <alignment horizontal="center" vertical="center"/>
      <protection locked="0"/>
    </xf>
    <xf numFmtId="180" fontId="83" fillId="0" borderId="2" xfId="2" applyNumberFormat="1" applyFont="1" applyBorder="1" applyAlignment="1" applyProtection="1">
      <alignment horizontal="center"/>
      <protection locked="0"/>
    </xf>
    <xf numFmtId="49" fontId="106" fillId="5" borderId="2" xfId="1" applyNumberFormat="1" applyFont="1" applyFill="1" applyBorder="1" applyAlignment="1">
      <alignment horizontal="center" vertical="center"/>
    </xf>
    <xf numFmtId="0" fontId="149" fillId="0" borderId="2" xfId="1" applyFont="1" applyBorder="1" applyAlignment="1" applyProtection="1">
      <alignment horizontal="center" vertical="center"/>
      <protection locked="0"/>
    </xf>
    <xf numFmtId="0" fontId="40" fillId="5" borderId="11" xfId="2" applyFont="1" applyFill="1" applyBorder="1" applyAlignment="1"/>
    <xf numFmtId="180" fontId="83" fillId="5" borderId="2" xfId="2" applyNumberFormat="1" applyFont="1" applyFill="1" applyBorder="1" applyAlignment="1">
      <alignment horizontal="center"/>
    </xf>
    <xf numFmtId="0" fontId="197" fillId="5" borderId="11" xfId="1" applyFont="1" applyFill="1" applyBorder="1" applyAlignment="1">
      <alignment horizontal="center" vertical="center"/>
    </xf>
    <xf numFmtId="0" fontId="106" fillId="6" borderId="11" xfId="1" applyFont="1" applyFill="1" applyBorder="1" applyAlignment="1" applyProtection="1">
      <alignment horizontal="center" vertical="center"/>
      <protection locked="0"/>
    </xf>
    <xf numFmtId="0" fontId="106" fillId="5" borderId="2" xfId="1" applyFont="1" applyFill="1" applyBorder="1" applyAlignment="1">
      <alignment horizontal="center" vertical="center"/>
    </xf>
    <xf numFmtId="0" fontId="197" fillId="5" borderId="43" xfId="1" applyFont="1" applyFill="1" applyBorder="1" applyAlignment="1">
      <alignment horizontal="center" vertical="center"/>
    </xf>
    <xf numFmtId="49" fontId="106" fillId="5" borderId="44" xfId="1" applyNumberFormat="1" applyFont="1" applyFill="1" applyBorder="1" applyAlignment="1">
      <alignment horizontal="center" vertical="center"/>
    </xf>
    <xf numFmtId="0" fontId="92" fillId="5" borderId="43" xfId="2" applyFont="1" applyFill="1" applyBorder="1" applyAlignment="1"/>
    <xf numFmtId="0" fontId="83" fillId="5" borderId="44" xfId="1" applyFont="1" applyFill="1" applyBorder="1" applyAlignment="1">
      <alignment horizontal="center"/>
    </xf>
    <xf numFmtId="178" fontId="92" fillId="5" borderId="46" xfId="1" applyNumberFormat="1" applyFont="1" applyFill="1" applyBorder="1" applyAlignment="1">
      <alignment horizontal="center"/>
    </xf>
    <xf numFmtId="0" fontId="83" fillId="5" borderId="0" xfId="1" applyFont="1" applyFill="1" applyAlignment="1" applyProtection="1">
      <protection locked="0"/>
    </xf>
    <xf numFmtId="188" fontId="81" fillId="5" borderId="0" xfId="1" applyNumberFormat="1" applyFont="1" applyFill="1" applyAlignment="1" applyProtection="1">
      <alignment horizontal="center" vertical="center"/>
      <protection locked="0"/>
    </xf>
    <xf numFmtId="14" fontId="81" fillId="5" borderId="0" xfId="1" applyNumberFormat="1" applyFont="1" applyFill="1" applyAlignment="1">
      <alignment horizontal="center" vertical="center"/>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46" fillId="5" borderId="26" xfId="1" applyFont="1" applyFill="1" applyBorder="1">
      <alignment vertical="center"/>
    </xf>
    <xf numFmtId="0" fontId="72" fillId="5" borderId="58" xfId="1" applyFont="1" applyFill="1" applyBorder="1">
      <alignment vertical="center"/>
    </xf>
    <xf numFmtId="0" fontId="68" fillId="5" borderId="42" xfId="1" applyFont="1" applyFill="1" applyBorder="1" applyAlignment="1">
      <alignment horizontal="center" vertical="center" wrapText="1"/>
    </xf>
    <xf numFmtId="0" fontId="68" fillId="5" borderId="42" xfId="1" applyFont="1" applyFill="1" applyBorder="1" applyAlignment="1" applyProtection="1">
      <alignment horizontal="center" vertical="center" wrapText="1"/>
      <protection locked="0"/>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72" fillId="6" borderId="2" xfId="1" applyFont="1" applyFill="1" applyBorder="1" applyAlignment="1" applyProtection="1">
      <alignment horizontal="center" vertical="center" wrapText="1"/>
      <protection locked="0"/>
    </xf>
    <xf numFmtId="10" fontId="72" fillId="5" borderId="2" xfId="1" applyNumberFormat="1" applyFont="1" applyFill="1" applyBorder="1" applyAlignment="1">
      <alignment horizontal="center" vertical="center" wrapText="1"/>
    </xf>
    <xf numFmtId="0" fontId="68" fillId="0" borderId="2" xfId="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72" fillId="5" borderId="23" xfId="1" applyFont="1" applyFill="1" applyBorder="1">
      <alignment vertical="center"/>
    </xf>
    <xf numFmtId="0" fontId="137" fillId="5" borderId="21" xfId="3" applyFont="1" applyFill="1" applyBorder="1" applyAlignment="1" applyProtection="1">
      <alignment horizontal="center" vertical="center" wrapText="1"/>
      <protection locked="0"/>
    </xf>
    <xf numFmtId="178" fontId="68" fillId="0" borderId="67" xfId="1" applyNumberFormat="1" applyFont="1" applyBorder="1" applyAlignment="1" applyProtection="1">
      <alignment horizontal="center" vertical="center" wrapText="1"/>
      <protection locked="0"/>
    </xf>
    <xf numFmtId="179" fontId="68" fillId="0" borderId="55" xfId="1" applyNumberFormat="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72" fillId="5" borderId="18"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146" fillId="5" borderId="0" xfId="1" applyFont="1" applyFill="1" applyProtection="1">
      <alignment vertical="center"/>
      <protection locked="0"/>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141"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49" fillId="0" borderId="74" xfId="1" applyFont="1" applyBorder="1" applyAlignment="1" applyProtection="1">
      <alignment horizontal="center" vertical="center" wrapText="1"/>
      <protection locked="0"/>
    </xf>
    <xf numFmtId="0" fontId="7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68" fillId="0" borderId="71" xfId="1" applyFont="1" applyBorder="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68" fillId="5" borderId="74" xfId="1" applyFont="1" applyFill="1" applyBorder="1" applyAlignment="1">
      <alignment horizontal="center" vertical="center" wrapText="1"/>
    </xf>
    <xf numFmtId="0" fontId="72" fillId="5" borderId="24" xfId="1" applyFont="1" applyFill="1" applyBorder="1" applyAlignment="1">
      <alignment vertical="center" wrapText="1"/>
    </xf>
    <xf numFmtId="0" fontId="68" fillId="5" borderId="74" xfId="1" applyFont="1" applyFill="1" applyBorder="1" applyAlignment="1">
      <alignment horizontal="left" vertical="center" wrapText="1"/>
    </xf>
    <xf numFmtId="0" fontId="68" fillId="5" borderId="75" xfId="1" applyFont="1" applyFill="1" applyBorder="1" applyAlignment="1">
      <alignment horizontal="center" vertical="center" wrapText="1"/>
    </xf>
    <xf numFmtId="0" fontId="68" fillId="5" borderId="71" xfId="1" applyFont="1" applyFill="1" applyBorder="1" applyAlignment="1">
      <alignment horizontal="center" vertical="center" wrapText="1"/>
    </xf>
    <xf numFmtId="0" fontId="49" fillId="5" borderId="73" xfId="1" applyFont="1" applyFill="1" applyBorder="1" applyAlignment="1">
      <alignment horizontal="center" vertical="center" wrapText="1"/>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49" fillId="5" borderId="3" xfId="1" applyFont="1" applyFill="1" applyBorder="1" applyAlignment="1">
      <alignment horizontal="center" vertical="center" wrapText="1"/>
    </xf>
    <xf numFmtId="0" fontId="55" fillId="5" borderId="3" xfId="1" applyFont="1" applyFill="1" applyBorder="1" applyAlignment="1">
      <alignment horizontal="center" vertical="center" wrapText="1"/>
    </xf>
    <xf numFmtId="0" fontId="77" fillId="5" borderId="52"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141" fillId="0" borderId="74" xfId="1" applyFont="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81" fillId="0" borderId="10" xfId="1" applyFont="1" applyBorder="1" applyAlignment="1" applyProtection="1">
      <alignment horizontal="center" vertical="center" wrapText="1"/>
      <protection locked="0"/>
    </xf>
    <xf numFmtId="0" fontId="81" fillId="0" borderId="25" xfId="1" applyFont="1" applyBorder="1" applyAlignment="1" applyProtection="1">
      <alignment horizontal="center" vertical="center" wrapText="1"/>
      <protection locked="0"/>
    </xf>
    <xf numFmtId="0" fontId="146" fillId="5" borderId="6" xfId="1" applyFont="1" applyFill="1" applyBorder="1" applyAlignment="1">
      <alignment horizontal="center" vertical="center" wrapText="1"/>
    </xf>
    <xf numFmtId="0" fontId="146" fillId="5" borderId="6" xfId="1" applyFont="1" applyFill="1" applyBorder="1" applyAlignment="1">
      <alignment horizontal="left" vertical="center" wrapText="1"/>
    </xf>
    <xf numFmtId="0" fontId="146" fillId="5" borderId="7" xfId="1" applyFont="1" applyFill="1" applyBorder="1" applyAlignment="1">
      <alignment horizontal="center" vertical="center" wrapText="1"/>
    </xf>
    <xf numFmtId="0" fontId="146"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left" vertical="center" wrapText="1"/>
      <protection locked="0"/>
    </xf>
    <xf numFmtId="0" fontId="146" fillId="0" borderId="12" xfId="1" applyFont="1" applyBorder="1" applyAlignment="1" applyProtection="1">
      <alignment horizontal="center" vertical="center" wrapText="1"/>
      <protection locked="0"/>
    </xf>
    <xf numFmtId="0" fontId="77" fillId="5" borderId="55" xfId="1" applyFont="1" applyFill="1" applyBorder="1" applyAlignment="1">
      <alignment horizontal="center" vertical="center" wrapText="1"/>
    </xf>
    <xf numFmtId="0" fontId="81" fillId="8" borderId="0" xfId="1" applyFont="1" applyFill="1" applyAlignment="1" applyProtection="1">
      <alignment horizontal="center" vertical="center"/>
      <protection locked="0"/>
    </xf>
    <xf numFmtId="188" fontId="81" fillId="8" borderId="0" xfId="1" applyNumberFormat="1" applyFont="1" applyFill="1" applyAlignment="1" applyProtection="1">
      <alignment horizontal="center" vertical="center"/>
      <protection locked="0"/>
    </xf>
    <xf numFmtId="182" fontId="81" fillId="8" borderId="0" xfId="1" applyNumberFormat="1" applyFont="1" applyFill="1" applyAlignment="1" applyProtection="1">
      <alignment horizontal="center" vertical="center"/>
      <protection locked="0"/>
    </xf>
    <xf numFmtId="0" fontId="81" fillId="8" borderId="0" xfId="1" applyFont="1" applyFill="1" applyAlignment="1">
      <alignment horizontal="center" vertical="center"/>
    </xf>
    <xf numFmtId="188" fontId="81" fillId="8" borderId="0" xfId="1" applyNumberFormat="1" applyFont="1" applyFill="1" applyAlignment="1">
      <alignment horizontal="center" vertical="center"/>
    </xf>
    <xf numFmtId="182" fontId="81" fillId="8" borderId="0" xfId="1" applyNumberFormat="1" applyFont="1" applyFill="1" applyAlignment="1">
      <alignment horizontal="center" vertical="center"/>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0" fillId="6" borderId="0" xfId="0" applyFill="1">
      <alignment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222" fillId="5" borderId="10" xfId="1" applyFont="1" applyFill="1" applyBorder="1" applyAlignment="1">
      <alignment vertical="top" wrapText="1"/>
    </xf>
    <xf numFmtId="0" fontId="222" fillId="5" borderId="18" xfId="1" applyFont="1" applyFill="1" applyBorder="1" applyAlignment="1">
      <alignment vertical="top" wrapText="1"/>
    </xf>
    <xf numFmtId="0" fontId="222" fillId="5" borderId="3" xfId="1" applyFont="1" applyFill="1" applyBorder="1" applyAlignment="1">
      <alignment vertical="top" wrapText="1"/>
    </xf>
    <xf numFmtId="0" fontId="222" fillId="5" borderId="21" xfId="1" applyFont="1" applyFill="1" applyBorder="1" applyAlignment="1">
      <alignment vertical="top" wrapText="1"/>
    </xf>
    <xf numFmtId="0" fontId="155" fillId="5" borderId="49" xfId="1" applyFont="1" applyFill="1" applyBorder="1" applyAlignment="1">
      <alignment horizontal="left" vertical="center" wrapText="1"/>
    </xf>
    <xf numFmtId="0" fontId="155" fillId="5" borderId="38" xfId="1" applyFont="1" applyFill="1" applyBorder="1" applyAlignment="1">
      <alignment horizontal="lef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141" fillId="5" borderId="1" xfId="1" applyFont="1" applyFill="1" applyBorder="1" applyAlignment="1">
      <alignment horizontal="center" vertical="center" wrapText="1"/>
    </xf>
    <xf numFmtId="0" fontId="141" fillId="5" borderId="6" xfId="1" applyFont="1" applyFill="1" applyBorder="1" applyAlignment="1">
      <alignment horizontal="center" vertical="center" wrapText="1"/>
    </xf>
    <xf numFmtId="0" fontId="141" fillId="5" borderId="11" xfId="1" applyFont="1" applyFill="1" applyBorder="1" applyAlignment="1">
      <alignment horizontal="center" vertical="center" wrapText="1"/>
    </xf>
    <xf numFmtId="0" fontId="141" fillId="5" borderId="2" xfId="1" applyFont="1" applyFill="1" applyBorder="1" applyAlignment="1">
      <alignment horizontal="center" vertical="center" wrapText="1"/>
    </xf>
    <xf numFmtId="0" fontId="197" fillId="5" borderId="11" xfId="1" applyFont="1" applyFill="1" applyBorder="1" applyAlignment="1">
      <alignment horizontal="center" vertical="center"/>
    </xf>
    <xf numFmtId="0" fontId="81" fillId="5" borderId="2" xfId="1" applyFont="1" applyFill="1" applyBorder="1" applyAlignment="1">
      <alignment horizontal="center" vertical="center" wrapText="1"/>
    </xf>
    <xf numFmtId="185" fontId="81"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185" fontId="80" fillId="17" borderId="2" xfId="1" applyNumberFormat="1" applyFont="1" applyFill="1" applyBorder="1" applyAlignment="1">
      <alignment horizontal="center" vertical="center"/>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81" fillId="5" borderId="2" xfId="1" applyFont="1" applyFill="1" applyBorder="1" applyAlignment="1">
      <alignment horizontal="center" vertical="center"/>
    </xf>
    <xf numFmtId="0" fontId="68" fillId="5" borderId="5" xfId="1" applyFont="1" applyFill="1" applyBorder="1" applyAlignment="1">
      <alignment horizontal="center" vertical="center"/>
    </xf>
    <xf numFmtId="0" fontId="68" fillId="5" borderId="8" xfId="1" applyFont="1" applyFill="1" applyBorder="1" applyAlignment="1">
      <alignment horizontal="center" vertical="center"/>
    </xf>
    <xf numFmtId="0" fontId="68" fillId="5" borderId="9" xfId="1" applyFont="1" applyFill="1" applyBorder="1" applyAlignment="1">
      <alignment horizontal="center" vertical="center"/>
    </xf>
    <xf numFmtId="0" fontId="68" fillId="5" borderId="2"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259" fillId="0" borderId="11" xfId="1" applyFont="1" applyBorder="1" applyAlignment="1" applyProtection="1">
      <alignment horizontal="center" vertical="center" wrapText="1"/>
      <protection locked="0"/>
    </xf>
    <xf numFmtId="0" fontId="259" fillId="0" borderId="12" xfId="1" applyFont="1" applyBorder="1" applyAlignment="1" applyProtection="1">
      <alignment horizontal="center" vertical="center" wrapText="1"/>
      <protection locked="0"/>
    </xf>
    <xf numFmtId="0" fontId="258" fillId="0" borderId="11" xfId="1" applyFont="1" applyBorder="1" applyAlignment="1" applyProtection="1">
      <alignment horizontal="center" vertical="center" wrapText="1"/>
      <protection locked="0"/>
    </xf>
    <xf numFmtId="0" fontId="259" fillId="0" borderId="43" xfId="1" applyFont="1" applyBorder="1" applyAlignment="1" applyProtection="1">
      <alignment horizontal="center" vertical="center" wrapText="1"/>
      <protection locked="0"/>
    </xf>
    <xf numFmtId="0" fontId="259" fillId="0" borderId="46" xfId="1" applyFont="1" applyBorder="1" applyAlignment="1" applyProtection="1">
      <alignment horizontal="center" vertical="center" wrapText="1"/>
      <protection locked="0"/>
    </xf>
    <xf numFmtId="0" fontId="259" fillId="0" borderId="22" xfId="1" applyFont="1" applyBorder="1" applyAlignment="1" applyProtection="1">
      <alignment horizontal="center" vertical="center" wrapText="1"/>
      <protection locked="0"/>
    </xf>
    <xf numFmtId="0" fontId="259" fillId="0" borderId="25" xfId="1" applyFont="1" applyBorder="1" applyAlignment="1" applyProtection="1">
      <alignment horizontal="center" vertical="center" wrapText="1"/>
      <protection locked="0"/>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4" fillId="0" borderId="0" xfId="16">
      <alignment vertical="center"/>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5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1338;&#23567;&#25991;/&#27979;&#31639;-&#28023;&#28096;X2--&#20108;&#23457;&#25913;-&#40644;&#33521;20211109-1452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1338;&#23567;&#25991;/&#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B10" t="str">
            <v>北京市</v>
          </cell>
        </row>
        <row r="11">
          <cell r="B11" t="str">
            <v>企业</v>
          </cell>
        </row>
        <row r="41">
          <cell r="F41">
            <v>0</v>
          </cell>
        </row>
        <row r="43">
          <cell r="B43" t="str">
            <v>七级</v>
          </cell>
          <cell r="C43" t="str">
            <v>七级</v>
          </cell>
        </row>
      </sheetData>
      <sheetData sheetId="10"/>
      <sheetData sheetId="11"/>
      <sheetData sheetId="12">
        <row r="3">
          <cell r="D3">
            <v>174891.64</v>
          </cell>
          <cell r="E3">
            <v>474616.52</v>
          </cell>
        </row>
        <row r="8">
          <cell r="E8">
            <v>291606.86</v>
          </cell>
        </row>
        <row r="9">
          <cell r="E9">
            <v>0</v>
          </cell>
        </row>
        <row r="11">
          <cell r="E11">
            <v>86938.16</v>
          </cell>
        </row>
        <row r="12">
          <cell r="E12">
            <v>0</v>
          </cell>
        </row>
        <row r="13">
          <cell r="E13">
            <v>0</v>
          </cell>
        </row>
        <row r="14">
          <cell r="E14">
            <v>0</v>
          </cell>
        </row>
        <row r="15">
          <cell r="E15">
            <v>0</v>
          </cell>
        </row>
        <row r="17">
          <cell r="C17" t="str">
            <v>项目类型</v>
          </cell>
        </row>
        <row r="19">
          <cell r="C19" t="str">
            <v>地上商业</v>
          </cell>
        </row>
        <row r="20">
          <cell r="C20" t="str">
            <v>地上办公</v>
          </cell>
        </row>
        <row r="21">
          <cell r="C21" t="str">
            <v>地下商业</v>
          </cell>
        </row>
        <row r="22">
          <cell r="C22" t="str">
            <v>地下办公</v>
          </cell>
        </row>
        <row r="23">
          <cell r="C23" t="str">
            <v>地下车库</v>
          </cell>
        </row>
        <row r="24">
          <cell r="C24" t="str">
            <v>地下仓储</v>
          </cell>
        </row>
      </sheetData>
      <sheetData sheetId="13">
        <row r="2">
          <cell r="B2">
            <v>44503</v>
          </cell>
        </row>
        <row r="6">
          <cell r="A6" t="str">
            <v>地上商业</v>
          </cell>
        </row>
        <row r="7">
          <cell r="A7" t="str">
            <v>地上办公</v>
          </cell>
        </row>
        <row r="8">
          <cell r="A8" t="str">
            <v>地下商业</v>
          </cell>
        </row>
        <row r="9">
          <cell r="A9" t="str">
            <v>地下办公</v>
          </cell>
        </row>
        <row r="10">
          <cell r="A10" t="str">
            <v>地下车库</v>
          </cell>
          <cell r="B10" t="str">
            <v>经营性</v>
          </cell>
        </row>
        <row r="11">
          <cell r="A11" t="str">
            <v>地下仓储</v>
          </cell>
        </row>
        <row r="12">
          <cell r="A12">
            <v>0</v>
          </cell>
        </row>
        <row r="13">
          <cell r="A13">
            <v>0</v>
          </cell>
        </row>
        <row r="14">
          <cell r="A14" t="str">
            <v>设备及其他</v>
          </cell>
        </row>
        <row r="15">
          <cell r="A15" t="str">
            <v>公共配套及物业（住宅）</v>
          </cell>
        </row>
        <row r="16">
          <cell r="A16" t="str">
            <v>合计</v>
          </cell>
        </row>
        <row r="20">
          <cell r="B20">
            <v>2</v>
          </cell>
        </row>
        <row r="22">
          <cell r="B22">
            <v>2</v>
          </cell>
        </row>
        <row r="33">
          <cell r="B33">
            <v>0.03</v>
          </cell>
        </row>
        <row r="35">
          <cell r="B35">
            <v>200</v>
          </cell>
        </row>
        <row r="36">
          <cell r="B36">
            <v>1.4999999999999999E-2</v>
          </cell>
        </row>
        <row r="37">
          <cell r="B37">
            <v>0.02</v>
          </cell>
        </row>
        <row r="38">
          <cell r="B38">
            <v>0.02</v>
          </cell>
        </row>
        <row r="39">
          <cell r="B39">
            <v>1.4999999999999999E-2</v>
          </cell>
        </row>
        <row r="40">
          <cell r="B40">
            <v>4.7500000000000001E-2</v>
          </cell>
        </row>
        <row r="41">
          <cell r="B41">
            <v>5.6000000000000001E-2</v>
          </cell>
        </row>
        <row r="42">
          <cell r="C42">
            <v>0.05</v>
          </cell>
        </row>
        <row r="50">
          <cell r="B50">
            <v>1.2E-2</v>
          </cell>
        </row>
        <row r="51">
          <cell r="B51">
            <v>0.12</v>
          </cell>
        </row>
        <row r="52">
          <cell r="B52">
            <v>1.5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估价对象位于永丰商圈，周边有海淀悦界主题街区，商业氛围一般，人流量一般，商业繁华度一般</v>
          </cell>
        </row>
        <row r="17">
          <cell r="C17" t="str">
            <v>估价对象位于永丰商圈，周边有永丰产业园区、海淀绿地中央广场等办公楼项目，入驻率高，办公集聚程度较好</v>
          </cell>
        </row>
        <row r="18">
          <cell r="C18" t="str">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ell>
        </row>
        <row r="19">
          <cell r="C19" t="str">
            <v>零星有其他用地，基本不影响本宗地</v>
          </cell>
        </row>
        <row r="20">
          <cell r="C20" t="str">
            <v>估价对象周边绿化条件较好，周边2公里内有悦康公园、南沙河等绿化景观；无人文设施，综合考虑自然环境与人文环境一般。</v>
          </cell>
        </row>
        <row r="21">
          <cell r="C21" t="str">
            <v>估价对象所在区域有购物场所（海淀悦界主题街区、华联生活超市），学校（西玉河小学、北京市第五十七中学上庄分校），医院（永丰屯中医门诊部），银行（中国工商银行、北京农商银行），综合分析，公共配套设施齐备程度一般。</v>
          </cell>
        </row>
        <row r="22">
          <cell r="C22" t="str">
            <v>估价对象所在区域基础设施水平-七通</v>
          </cell>
        </row>
      </sheetData>
      <sheetData sheetId="15"/>
      <sheetData sheetId="16"/>
      <sheetData sheetId="17">
        <row r="2">
          <cell r="F2">
            <v>158612.07</v>
          </cell>
        </row>
        <row r="12">
          <cell r="F12">
            <v>56770.06</v>
          </cell>
        </row>
        <row r="15">
          <cell r="F15">
            <v>474616.52</v>
          </cell>
        </row>
        <row r="18">
          <cell r="E18">
            <v>174891.64</v>
          </cell>
        </row>
      </sheetData>
      <sheetData sheetId="18"/>
      <sheetData sheetId="19">
        <row r="4">
          <cell r="B4" t="str">
            <v>中关村西三旗科技园（1813-L09）公租房经营性配套部分</v>
          </cell>
          <cell r="Y4">
            <v>43451</v>
          </cell>
          <cell r="Z4">
            <v>15424</v>
          </cell>
        </row>
        <row r="16">
          <cell r="B16" t="str">
            <v>海淀区西北旺镇永丰产业基地（新）C4、C5地块公租房项目</v>
          </cell>
          <cell r="AB16">
            <v>13640</v>
          </cell>
        </row>
        <row r="22">
          <cell r="B22" t="str">
            <v>上庄家园N28、N34地块三定三限项目</v>
          </cell>
          <cell r="V22">
            <v>43952</v>
          </cell>
          <cell r="AB22">
            <v>13155</v>
          </cell>
        </row>
      </sheetData>
      <sheetData sheetId="20"/>
      <sheetData sheetId="21"/>
      <sheetData sheetId="22">
        <row r="75">
          <cell r="A75" t="str">
            <v>交易情况</v>
          </cell>
          <cell r="C75" t="str">
            <v>正常</v>
          </cell>
        </row>
        <row r="77">
          <cell r="B77" t="str">
            <v>用途</v>
          </cell>
          <cell r="C77" t="str">
            <v>商业</v>
          </cell>
        </row>
        <row r="108">
          <cell r="B108" t="str">
            <v>毗邻道路的类型与等级</v>
          </cell>
          <cell r="C108" t="str">
            <v>高速路</v>
          </cell>
          <cell r="D108" t="str">
            <v>主干道</v>
          </cell>
          <cell r="E108" t="str">
            <v>次干道</v>
          </cell>
        </row>
        <row r="110">
          <cell r="B110" t="str">
            <v>土地级别</v>
          </cell>
          <cell r="C110" t="str">
            <v>六级</v>
          </cell>
          <cell r="D110" t="str">
            <v>七级</v>
          </cell>
          <cell r="E110" t="str">
            <v>八级</v>
          </cell>
        </row>
        <row r="121">
          <cell r="B121" t="str">
            <v>宗地形状</v>
          </cell>
          <cell r="C121" t="str">
            <v>规则</v>
          </cell>
          <cell r="D121" t="str">
            <v>较规则</v>
          </cell>
        </row>
        <row r="123">
          <cell r="B123" t="str">
            <v>临街宽度及深度</v>
          </cell>
          <cell r="C123" t="str">
            <v>临街宽度和深度比例较适宜，适合开发利</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较好</v>
          </cell>
        </row>
      </sheetData>
      <sheetData sheetId="23"/>
      <sheetData sheetId="24">
        <row r="21">
          <cell r="N21" t="str">
            <v>商业</v>
          </cell>
          <cell r="P21">
            <v>1.0500000000000001E-2</v>
          </cell>
        </row>
        <row r="22">
          <cell r="N22" t="str">
            <v>办公</v>
          </cell>
          <cell r="P22">
            <v>1.0500000000000001E-2</v>
          </cell>
        </row>
        <row r="23">
          <cell r="N23" t="str">
            <v>住宅</v>
          </cell>
          <cell r="P23">
            <v>1.83E-2</v>
          </cell>
        </row>
        <row r="24">
          <cell r="N24" t="str">
            <v>工业</v>
          </cell>
          <cell r="P24">
            <v>1.2200000000000001E-2</v>
          </cell>
        </row>
        <row r="25">
          <cell r="N25" t="str">
            <v>综合</v>
          </cell>
          <cell r="P25">
            <v>1.66E-2</v>
          </cell>
        </row>
      </sheetData>
      <sheetData sheetId="25"/>
      <sheetData sheetId="26">
        <row r="16">
          <cell r="C16">
            <v>3172</v>
          </cell>
        </row>
      </sheetData>
      <sheetData sheetId="27"/>
      <sheetData sheetId="28">
        <row r="61">
          <cell r="A61" t="str">
            <v>交易情况</v>
          </cell>
          <cell r="C61" t="str">
            <v>正常</v>
          </cell>
        </row>
        <row r="63">
          <cell r="B63" t="str">
            <v>用途</v>
          </cell>
          <cell r="C63">
            <v>0</v>
          </cell>
        </row>
        <row r="86">
          <cell r="B86" t="str">
            <v>临街状况</v>
          </cell>
        </row>
        <row r="90">
          <cell r="B90" t="str">
            <v>人流量</v>
          </cell>
          <cell r="C90" t="str">
            <v>较大</v>
          </cell>
          <cell r="D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9"/>
      <sheetData sheetId="30"/>
      <sheetData sheetId="3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4"/>
      <sheetData sheetId="35"/>
      <sheetData sheetId="36"/>
      <sheetData sheetId="37"/>
      <sheetData sheetId="38"/>
      <sheetData sheetId="39"/>
      <sheetData sheetId="40"/>
      <sheetData sheetId="4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sheetData sheetId="44">
        <row r="62">
          <cell r="A62" t="str">
            <v>交易情况</v>
          </cell>
          <cell r="C62" t="str">
            <v>正常</v>
          </cell>
        </row>
        <row r="64">
          <cell r="B64" t="str">
            <v>用途</v>
          </cell>
          <cell r="C64">
            <v>0</v>
          </cell>
        </row>
        <row r="87">
          <cell r="B87" t="str">
            <v>毗邻道路的类型与等级</v>
          </cell>
          <cell r="C87" t="str">
            <v>高速路</v>
          </cell>
          <cell r="D87" t="str">
            <v>主干道</v>
          </cell>
          <cell r="E87" t="str">
            <v>次干道</v>
          </cell>
        </row>
        <row r="89">
          <cell r="B89" t="str">
            <v>楼层</v>
          </cell>
        </row>
        <row r="91">
          <cell r="B91" t="str">
            <v>朝向</v>
          </cell>
        </row>
        <row r="101">
          <cell r="B101" t="str">
            <v>建筑类型</v>
          </cell>
          <cell r="C101" t="str">
            <v>办公楼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45"/>
      <sheetData sheetId="4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hyperlink" Target="http://ghzrzyw.beijing.gov.cn/zhengwuxinxi/tzgg/sj/201912/t20191223_1417205.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25" style="2572" customWidth="1"/>
    <col min="3" max="18" width="9" style="2566"/>
    <col min="19" max="19" width="17.875" style="2566" customWidth="1"/>
    <col min="20" max="51" width="9" style="2566"/>
    <col min="52" max="52" width="13.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2609</v>
      </c>
      <c r="B1" s="2576" t="s">
        <v>2706</v>
      </c>
    </row>
    <row r="2" spans="1:55" s="2580" customFormat="1" ht="15" thickTop="1">
      <c r="A2" s="2578" t="s">
        <v>2613</v>
      </c>
      <c r="B2" s="2579" t="str">
        <f>'预评函-封皮'!B37</f>
        <v>北京市出让国有建设用地使用权市场价格预评估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 thickBot="1">
      <c r="A5" s="2584" t="s">
        <v>2616</v>
      </c>
      <c r="B5" s="2585" t="str">
        <f>'预评函-封皮'!B49</f>
        <v>康正预评字号</v>
      </c>
    </row>
    <row r="6" spans="1:55" s="2586" customFormat="1" ht="15" thickTop="1">
      <c r="A6" s="2578" t="s">
        <v>2658</v>
      </c>
      <c r="B6" s="2579" t="str">
        <f>'预评函-1'!A4</f>
        <v>受贵公司委托，我公司对北京市出让国有建设用地使用权市场价格进行了预评估。</v>
      </c>
      <c r="AM6" s="2587"/>
    </row>
    <row r="7" spans="1:55" s="2561" customFormat="1">
      <c r="A7" s="2562" t="s">
        <v>2610</v>
      </c>
      <c r="B7" s="2563" t="str">
        <f>'预评函-1'!A6</f>
        <v>估价对象为使用的、位于北京市出让国有建设用地使用权。根据《国有土地使用证》[]，估价对象（分摊）出让国有建设用地使用权面积为3580.29平方米。根据《建设工程规划许可证》[]、《出让合同》[]，估价对象规划建筑面积为8950.725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2021年12月20日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根据《国有土地使用证》[]，估价对象（分摊）出让国有建设用地使用权面积为3580.29平方米。根据《建设工程规划许可证》[]、《出让合同》[]，估价对象规划建筑面积为8950.725平方米。</v>
      </c>
    </row>
    <row r="16" spans="1:55" s="2561" customFormat="1">
      <c r="A16" s="2562" t="s">
        <v>2622</v>
      </c>
      <c r="B16" s="2563" t="str">
        <f>'预评函-1'!A22</f>
        <v>本次估价对象为出让国有建设用地使用权，《国有土地使用证》[]证载土地终止日期为住宅2091年12月19日、商业2061年12月19日。截至估价期日，出让国有建设用地使用权剩余土地使用年限为。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 thickBot="1">
      <c r="A21" s="2584" t="s">
        <v>2627</v>
      </c>
      <c r="B21" s="2585" t="str">
        <f>'预评函-1'!A28</f>
        <v>——</v>
      </c>
    </row>
    <row r="22" spans="1:48" ht="15" thickTop="1">
      <c r="A22" s="2573" t="s">
        <v>2628</v>
      </c>
      <c r="B22" s="257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估价期日：2021年12月20日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3580.29</v>
      </c>
    </row>
    <row r="44" spans="1:2">
      <c r="A44" s="2562" t="s">
        <v>2693</v>
      </c>
      <c r="B44" s="2563" t="str">
        <f>'预评函-2'!O3</f>
        <v>规划建筑面积/㎡</v>
      </c>
    </row>
    <row r="45" spans="1:2">
      <c r="A45" s="2562" t="s">
        <v>2675</v>
      </c>
      <c r="B45" s="2563">
        <f>'预评函-2'!O5</f>
        <v>8950.7250000000022</v>
      </c>
    </row>
    <row r="46" spans="1:2">
      <c r="A46" s="2562" t="s">
        <v>2676</v>
      </c>
      <c r="B46" s="2563">
        <f ca="1">'预评函-2'!P5</f>
        <v>26766</v>
      </c>
    </row>
    <row r="47" spans="1:2">
      <c r="A47" s="2562" t="s">
        <v>2677</v>
      </c>
      <c r="B47" s="2563">
        <f ca="1">'预评函-2'!Q5</f>
        <v>10706</v>
      </c>
    </row>
    <row r="48" spans="1:2">
      <c r="A48" s="2562" t="s">
        <v>2678</v>
      </c>
      <c r="B48" s="2563">
        <f ca="1">'预评函-2'!R5</f>
        <v>9583</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t="str">
        <f>'预评函-2'!A8</f>
        <v>——</v>
      </c>
    </row>
    <row r="54" spans="1:2" s="2577" customFormat="1" ht="15" thickBot="1">
      <c r="A54" s="2584" t="s">
        <v>2681</v>
      </c>
      <c r="B54" s="2585" t="str">
        <f>'预评函-2'!R8</f>
        <v>——</v>
      </c>
    </row>
    <row r="55" spans="1:2" ht="1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2.基础设施条件：估价对象实际开发程度为红线外七通、宗地红线内；本次评估设定开发程度为红线外七通、宗地红线内场地。</v>
      </c>
    </row>
    <row r="57" spans="1:2">
      <c r="A57" s="2562" t="s">
        <v>2633</v>
      </c>
      <c r="B57" s="2563" t="str">
        <f>'预评函-3'!A4</f>
        <v>3.估价规划限制条件：详见《建设工程规划许可证》[]、《出让合同》[]。</v>
      </c>
    </row>
    <row r="58" spans="1:2" s="2577" customFormat="1" ht="15" thickBot="1">
      <c r="A58" s="2584" t="s">
        <v>2682</v>
      </c>
      <c r="B58" s="2585" t="str">
        <f>'预评函-3'!A5</f>
        <v>4.影响价格的其他限定条件：无。</v>
      </c>
    </row>
    <row r="59" spans="1:2" ht="1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2645</v>
      </c>
      <c r="B68" s="2588">
        <f>'预评函-3'!D30</f>
        <v>42558</v>
      </c>
    </row>
    <row r="69" spans="1:2" ht="1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 thickBot="1">
      <c r="A72" s="2584" t="s">
        <v>2644</v>
      </c>
      <c r="B72" s="2590">
        <f>'预评函-3'!B21</f>
        <v>0</v>
      </c>
    </row>
    <row r="73" spans="1:2" ht="1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25" zoomScaleNormal="100" zoomScaleSheetLayoutView="100" workbookViewId="0">
      <selection activeCell="B43" sqref="B43"/>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1904</v>
      </c>
      <c r="B1" s="4141" t="str">
        <f>IF(B10="北京市","北京市",C10)&amp;F10&amp;B16&amp;"国有建设用地使用权"&amp;B9&amp;"预评估"</f>
        <v>北京市出让国有建设用地使用权市场价格预评估</v>
      </c>
      <c r="C1" s="4142"/>
      <c r="D1" s="4142"/>
      <c r="E1" s="4142"/>
      <c r="F1" s="4142"/>
      <c r="G1" s="4142"/>
      <c r="H1" s="4142"/>
      <c r="I1" s="4143"/>
      <c r="J1" s="3039"/>
      <c r="K1" s="2280" t="str">
        <f>IF(B10="北京市","北京市",C10)&amp;F10&amp;B16&amp;"国有建设用地使用权"&amp;B9</f>
        <v>北京市出让国有建设用地使用权市场价格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北京市出让国有建设用地使用权</v>
      </c>
      <c r="L2" s="3018"/>
      <c r="M2" s="3018"/>
      <c r="N2" s="3019"/>
      <c r="O2" s="3020"/>
      <c r="P2" s="3019"/>
      <c r="Q2" s="3019"/>
      <c r="R2" s="3019"/>
      <c r="S2" s="3019"/>
      <c r="T2" s="3019"/>
      <c r="U2" s="3019"/>
    </row>
    <row r="3" spans="1:21">
      <c r="A3" s="1561" t="s">
        <v>1906</v>
      </c>
      <c r="B3" s="1562"/>
      <c r="C3" s="2962" t="s">
        <v>1962</v>
      </c>
      <c r="D3" s="1562">
        <v>44550</v>
      </c>
      <c r="E3" s="3039"/>
      <c r="F3" s="3039"/>
      <c r="G3" s="3039"/>
      <c r="H3" s="3040"/>
      <c r="I3" s="3041"/>
      <c r="J3" s="3039"/>
      <c r="K3" s="3022"/>
      <c r="L3" s="3018"/>
      <c r="M3" s="3018"/>
      <c r="N3" s="3019"/>
      <c r="O3" s="3020"/>
      <c r="P3" s="3019"/>
      <c r="Q3" s="3019"/>
      <c r="R3" s="3019"/>
      <c r="S3" s="3019"/>
      <c r="T3" s="3019"/>
      <c r="U3" s="3019"/>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3001</v>
      </c>
      <c r="C8" s="1571"/>
      <c r="D8" s="4147" t="s">
        <v>1911</v>
      </c>
      <c r="E8" s="1729"/>
      <c r="F8" s="1572"/>
      <c r="G8" s="3040"/>
      <c r="H8" s="3040"/>
      <c r="I8" s="3043"/>
      <c r="J8" s="3039"/>
      <c r="K8" s="3022"/>
      <c r="L8" s="3018"/>
      <c r="M8" s="3018"/>
      <c r="N8" s="3019"/>
      <c r="O8" s="3020"/>
      <c r="P8" s="3019"/>
      <c r="Q8" s="3019"/>
      <c r="R8" s="3019"/>
      <c r="S8" s="3019"/>
      <c r="T8" s="3019"/>
      <c r="U8" s="3019"/>
    </row>
    <row r="9" spans="1:21" ht="15" thickBot="1">
      <c r="A9" s="2964" t="s">
        <v>1910</v>
      </c>
      <c r="B9" s="1573" t="s">
        <v>3124</v>
      </c>
      <c r="C9" s="1574"/>
      <c r="D9" s="4148"/>
      <c r="E9" s="1573"/>
      <c r="F9" s="1636"/>
      <c r="G9" s="3044"/>
      <c r="H9" s="3044"/>
      <c r="I9" s="3045"/>
      <c r="J9" s="3039"/>
      <c r="K9" s="3022"/>
      <c r="L9" s="3018"/>
      <c r="M9" s="3018"/>
      <c r="N9" s="3019"/>
      <c r="O9" s="3020"/>
      <c r="P9" s="3019"/>
      <c r="Q9" s="3019"/>
      <c r="R9" s="3019"/>
      <c r="S9" s="3019"/>
      <c r="T9" s="3019"/>
      <c r="U9" s="3019"/>
    </row>
    <row r="10" spans="1:21" ht="1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3125</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4144"/>
      <c r="C12" s="4145"/>
      <c r="D12" s="4146"/>
      <c r="E12" s="1593" t="s">
        <v>2028</v>
      </c>
      <c r="F12" s="4162" t="s">
        <v>2838</v>
      </c>
      <c r="G12" s="4163"/>
      <c r="H12" s="4163"/>
      <c r="I12" s="4164"/>
      <c r="J12" s="3039"/>
      <c r="K12" s="3022"/>
      <c r="L12" s="3018"/>
      <c r="M12" s="3018"/>
      <c r="N12" s="3019"/>
      <c r="O12" s="3020"/>
      <c r="P12" s="3019"/>
      <c r="Q12" s="3019"/>
      <c r="R12" s="3019"/>
      <c r="S12" s="3019"/>
      <c r="T12" s="3019"/>
      <c r="U12" s="3019"/>
    </row>
    <row r="13" spans="1:21">
      <c r="A13" s="1584" t="s">
        <v>2026</v>
      </c>
      <c r="B13" s="4144"/>
      <c r="C13" s="4145"/>
      <c r="D13" s="4146"/>
      <c r="E13" s="1593" t="s">
        <v>2028</v>
      </c>
      <c r="F13" s="4162" t="s">
        <v>2839</v>
      </c>
      <c r="G13" s="4163"/>
      <c r="H13" s="4163"/>
      <c r="I13" s="4164"/>
      <c r="J13" s="3039"/>
      <c r="K13" s="3022"/>
      <c r="L13" s="3018"/>
      <c r="M13" s="3018"/>
      <c r="N13" s="3019"/>
      <c r="O13" s="3020"/>
      <c r="P13" s="3019"/>
      <c r="Q13" s="3019"/>
      <c r="R13" s="3019"/>
      <c r="S13" s="3019"/>
      <c r="T13" s="3019"/>
      <c r="U13" s="3019"/>
    </row>
    <row r="14" spans="1:21">
      <c r="A14" s="1561" t="s">
        <v>2029</v>
      </c>
      <c r="B14" s="1593"/>
      <c r="C14" s="1730" t="s">
        <v>3127</v>
      </c>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42.75">
      <c r="A16" s="2967" t="s">
        <v>1914</v>
      </c>
      <c r="B16" s="1579" t="s">
        <v>3001</v>
      </c>
      <c r="C16" s="1593" t="s">
        <v>1915</v>
      </c>
      <c r="D16" s="2455" t="s">
        <v>1916</v>
      </c>
      <c r="E16" s="1615" t="s">
        <v>3126</v>
      </c>
      <c r="F16" s="1615"/>
      <c r="G16" s="1615"/>
      <c r="H16" s="1615"/>
      <c r="I16" s="1583" t="s">
        <v>1921</v>
      </c>
      <c r="J16" s="3039"/>
      <c r="K16" s="2281" t="str">
        <f>IF(D17="","",D16&amp;TEXT(D17,"yyyy年m月d日;;"))</f>
        <v>住宅2091年12月19日</v>
      </c>
      <c r="L16" s="1593" t="str">
        <f>IF(OR(K16="",M16=""),"","、")</f>
        <v>、</v>
      </c>
      <c r="M16" s="2281" t="str">
        <f>IF(E17="","",E16&amp;TEXT(E17,"yyyy年m月d日;;"))</f>
        <v>商业2061年12月19日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v>70116</v>
      </c>
      <c r="E17" s="3242">
        <v>59159</v>
      </c>
      <c r="F17" s="3242"/>
      <c r="G17" s="3242"/>
      <c r="H17" s="3242"/>
      <c r="I17" s="3242"/>
      <c r="J17" s="3039"/>
      <c r="K17" s="3017" t="str">
        <f>CONCATENATE(K16,L16,M16,N16,O16,P16,Q16,R16,S16,T16,,U16)</f>
        <v>住宅2091年12月19日、商业2061年12月19日</v>
      </c>
      <c r="L17" s="3018"/>
      <c r="M17" s="3018"/>
      <c r="N17" s="3019"/>
      <c r="O17" s="3020"/>
      <c r="P17" s="3019"/>
      <c r="Q17" s="3019"/>
      <c r="R17" s="3019"/>
      <c r="S17" s="3019"/>
      <c r="T17" s="3019"/>
      <c r="U17" s="3019"/>
    </row>
    <row r="18" spans="1:21">
      <c r="A18" s="1652"/>
      <c r="B18" s="1580"/>
      <c r="C18" s="2968" t="s">
        <v>1923</v>
      </c>
      <c r="D18" s="1581">
        <v>70</v>
      </c>
      <c r="E18" s="1581">
        <v>40</v>
      </c>
      <c r="F18" s="1581"/>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4159"/>
      <c r="E20" s="4160"/>
      <c r="F20" s="4160"/>
      <c r="G20" s="4160"/>
      <c r="H20" s="4160"/>
      <c r="I20" s="4161"/>
      <c r="J20" s="3039"/>
      <c r="K20" s="3022"/>
      <c r="L20" s="3018"/>
      <c r="M20" s="3018"/>
      <c r="N20" s="3019"/>
      <c r="O20" s="3020"/>
      <c r="P20" s="3019"/>
      <c r="Q20" s="3019"/>
      <c r="R20" s="3019"/>
      <c r="S20" s="3019"/>
      <c r="T20" s="3019"/>
      <c r="U20" s="3019"/>
    </row>
    <row r="21" spans="1:21">
      <c r="A21" s="1652" t="s">
        <v>1925</v>
      </c>
      <c r="B21" s="1653" t="s">
        <v>1926</v>
      </c>
      <c r="C21" s="1648">
        <f>'数据-汇总表'!E3</f>
        <v>8950.7250000000022</v>
      </c>
      <c r="D21" s="1649" t="s">
        <v>1927</v>
      </c>
      <c r="E21" s="4149" t="s">
        <v>1965</v>
      </c>
      <c r="F21" s="4150"/>
      <c r="G21" s="4150"/>
      <c r="H21" s="4150"/>
      <c r="I21" s="4151"/>
      <c r="J21" s="3039"/>
      <c r="K21" s="3022"/>
      <c r="L21" s="3018"/>
      <c r="M21" s="3018"/>
      <c r="N21" s="3019"/>
      <c r="O21" s="3020"/>
      <c r="P21" s="3019"/>
      <c r="Q21" s="3019"/>
      <c r="R21" s="3019"/>
      <c r="S21" s="3019"/>
      <c r="T21" s="3019"/>
      <c r="U21" s="3019"/>
    </row>
    <row r="22" spans="1:21">
      <c r="A22" s="2767" t="s">
        <v>927</v>
      </c>
      <c r="B22" s="1561" t="s">
        <v>1928</v>
      </c>
      <c r="C22" s="1583">
        <f>'数据-汇总表'!D3</f>
        <v>3580.29</v>
      </c>
      <c r="D22" s="1584" t="s">
        <v>1927</v>
      </c>
      <c r="E22" s="4149" t="s">
        <v>2840</v>
      </c>
      <c r="F22" s="4150"/>
      <c r="G22" s="4150"/>
      <c r="H22" s="4150"/>
      <c r="I22" s="4151"/>
      <c r="J22" s="3039"/>
      <c r="K22" s="3022"/>
      <c r="L22" s="3018"/>
      <c r="M22" s="3018"/>
      <c r="N22" s="3019"/>
      <c r="O22" s="3020"/>
      <c r="P22" s="3019"/>
      <c r="Q22" s="3019"/>
      <c r="R22" s="3019"/>
      <c r="S22" s="3019"/>
      <c r="T22" s="3019"/>
      <c r="U22" s="3019"/>
    </row>
    <row r="23" spans="1:21" ht="43.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4152" t="s">
        <v>1933</v>
      </c>
      <c r="C24" s="4153"/>
      <c r="D24" s="4154" t="s">
        <v>1934</v>
      </c>
      <c r="E24" s="4155"/>
      <c r="F24" s="1601" t="s">
        <v>1935</v>
      </c>
      <c r="G24" s="3039"/>
      <c r="H24" s="3039"/>
      <c r="I24" s="3043"/>
      <c r="J24" s="3039"/>
      <c r="K24" s="4140"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2290</v>
      </c>
      <c r="C25" s="1602" t="s">
        <v>1937</v>
      </c>
      <c r="D25" s="1603"/>
      <c r="E25" s="1604" t="s">
        <v>927</v>
      </c>
      <c r="F25" s="1605"/>
      <c r="G25" s="3039"/>
      <c r="H25" s="3039"/>
      <c r="I25" s="3043"/>
      <c r="J25" s="3039"/>
      <c r="K25" s="4140"/>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1938</v>
      </c>
      <c r="C26" s="1602" t="s">
        <v>2291</v>
      </c>
      <c r="D26" s="3040"/>
      <c r="E26" s="3040"/>
      <c r="F26" s="3046"/>
      <c r="G26" s="3039"/>
      <c r="H26" s="3039"/>
      <c r="I26" s="3043"/>
      <c r="J26" s="3039"/>
      <c r="K26" s="4140"/>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 thickTop="1">
      <c r="A31" s="4167" t="s">
        <v>1968</v>
      </c>
      <c r="B31" s="1653" t="s">
        <v>1969</v>
      </c>
      <c r="C31" s="4165"/>
      <c r="D31" s="4166"/>
      <c r="E31" s="3039"/>
      <c r="F31" s="3039"/>
      <c r="G31" s="3039"/>
      <c r="H31" s="3039"/>
      <c r="I31" s="3043"/>
      <c r="J31" s="3039"/>
      <c r="K31" s="3025"/>
      <c r="L31" s="3019"/>
      <c r="M31" s="3019"/>
      <c r="N31" s="3019"/>
      <c r="O31" s="3019"/>
      <c r="P31" s="3019"/>
      <c r="Q31" s="3019"/>
      <c r="R31" s="3019"/>
      <c r="S31" s="3019"/>
      <c r="T31" s="3019"/>
      <c r="U31" s="3019"/>
    </row>
    <row r="32" spans="1:21">
      <c r="A32" s="4167"/>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4167"/>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4168"/>
      <c r="B34" s="1561" t="s">
        <v>1972</v>
      </c>
      <c r="C34" s="4169"/>
      <c r="D34" s="4170"/>
      <c r="E34" s="3039"/>
      <c r="F34" s="3039"/>
      <c r="G34" s="3039"/>
      <c r="H34" s="3039"/>
      <c r="I34" s="3043"/>
      <c r="J34" s="3039"/>
      <c r="K34" s="3025"/>
      <c r="L34" s="3019"/>
      <c r="M34" s="3019"/>
      <c r="N34" s="3019"/>
      <c r="O34" s="3019"/>
      <c r="P34" s="3019"/>
      <c r="Q34" s="3019"/>
      <c r="R34" s="3019"/>
      <c r="S34" s="3019"/>
      <c r="T34" s="3019"/>
      <c r="U34" s="3019"/>
    </row>
    <row r="35" spans="1:28">
      <c r="A35" s="4171" t="s">
        <v>823</v>
      </c>
      <c r="B35" s="1615"/>
      <c r="C35" s="1662" t="str">
        <f>IF(B35="场地平整","——","具体情况：")</f>
        <v>具体情况：</v>
      </c>
      <c r="D35" s="4173"/>
      <c r="E35" s="4174"/>
      <c r="F35" s="4174"/>
      <c r="G35" s="4174"/>
      <c r="H35" s="4174"/>
      <c r="I35" s="4175"/>
      <c r="J35" s="3039"/>
      <c r="K35" s="3026"/>
      <c r="L35" s="3018"/>
      <c r="M35" s="3018"/>
      <c r="N35" s="3019"/>
      <c r="O35" s="3020"/>
      <c r="P35" s="3019"/>
      <c r="Q35" s="3019"/>
      <c r="R35" s="3019"/>
      <c r="S35" s="3019"/>
      <c r="T35" s="3019"/>
      <c r="U35" s="3019"/>
    </row>
    <row r="36" spans="1:28">
      <c r="A36" s="4167"/>
      <c r="B36" s="4176" t="s">
        <v>2021</v>
      </c>
      <c r="C36" s="4177"/>
      <c r="D36" s="1678"/>
      <c r="E36" s="4178"/>
      <c r="F36" s="4178"/>
      <c r="G36" s="1584" t="str">
        <f>IF(B35="场地未平整","估价结果处理","")</f>
        <v/>
      </c>
      <c r="H36" s="4179"/>
      <c r="I36" s="4179"/>
      <c r="J36" s="3039"/>
      <c r="K36" s="3026"/>
      <c r="L36" s="3018"/>
      <c r="M36" s="3018"/>
      <c r="N36" s="3019"/>
      <c r="O36" s="3020"/>
      <c r="P36" s="3019"/>
      <c r="Q36" s="3019"/>
      <c r="R36" s="3019"/>
      <c r="S36" s="3019"/>
      <c r="T36" s="3019"/>
      <c r="U36" s="3019"/>
    </row>
    <row r="37" spans="1:28" ht="28.5">
      <c r="A37" s="4167"/>
      <c r="B37" s="4156"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4167"/>
      <c r="B38" s="4157"/>
      <c r="C38" s="1569" t="s">
        <v>826</v>
      </c>
      <c r="D38" s="1677">
        <f>ROUNDDOWN(MIN(('数据-取费表'!$B$2-D37)/365,D34),1)</f>
        <v>122</v>
      </c>
      <c r="E38" s="1620" t="s">
        <v>827</v>
      </c>
      <c r="F38" s="3039"/>
      <c r="G38" s="3039"/>
      <c r="H38" s="3039"/>
      <c r="I38" s="3043"/>
      <c r="J38" s="3039"/>
      <c r="K38" s="3026"/>
      <c r="L38" s="3019"/>
      <c r="M38" s="3019"/>
      <c r="N38" s="3019"/>
      <c r="O38" s="3019"/>
      <c r="P38" s="3019"/>
      <c r="Q38" s="3019"/>
      <c r="R38" s="3019"/>
      <c r="S38" s="3019"/>
      <c r="T38" s="3019"/>
      <c r="U38" s="3019"/>
    </row>
    <row r="39" spans="1:28">
      <c r="A39" s="4168"/>
      <c r="B39" s="4158"/>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4139" t="s">
        <v>1952</v>
      </c>
      <c r="T40" s="1624" t="str">
        <f>NUMBERSTRING(7-K40,1)&amp;"通"</f>
        <v>七通</v>
      </c>
      <c r="U40" s="3019"/>
    </row>
    <row r="41" spans="1:28">
      <c r="A41" s="1563"/>
      <c r="B41" s="4172" t="s">
        <v>1696</v>
      </c>
      <c r="C41" s="4172"/>
      <c r="D41" s="4172"/>
      <c r="E41" s="4172"/>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4139"/>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1384</v>
      </c>
      <c r="C43" s="1630"/>
      <c r="D43" s="1630"/>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t="s">
        <v>1050</v>
      </c>
      <c r="C44" s="1630"/>
      <c r="D44" s="1630"/>
      <c r="E44" s="1678"/>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43803.29-40223</f>
        <v>3580.2900000000009</v>
      </c>
      <c r="B3" s="22">
        <f>IF(C3="否",G5-AT5,G5)</f>
        <v>8950.7250000000022</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8950.7250000000022</v>
      </c>
      <c r="H5" s="27">
        <f t="shared" ref="H5:AT5" si="0">SUM(H13:H641)</f>
        <v>8950.7250000000022</v>
      </c>
      <c r="I5" s="27">
        <f t="shared" si="0"/>
        <v>8950.7250000000022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8950.7250000000022</v>
      </c>
      <c r="BA5" s="29">
        <f t="shared" si="1"/>
        <v>8950.7250000000022</v>
      </c>
      <c r="BB5" s="29">
        <f t="shared" si="1"/>
        <v>8950.7250000000022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3580.29</v>
      </c>
      <c r="F6" s="27" t="s">
        <v>1</v>
      </c>
      <c r="G6" s="27" t="s">
        <v>2</v>
      </c>
      <c r="H6" s="33">
        <f>SUMIF(I$12:AB$12,"总值",I6:AB6)</f>
        <v>3580.29</v>
      </c>
      <c r="I6" s="27">
        <f t="shared" ref="I6:AB6" si="2">ROUND($A$3*I5/$B$3,2)</f>
        <v>3580.29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3580.29</v>
      </c>
      <c r="AZ6" s="27" t="s">
        <v>3</v>
      </c>
      <c r="BA6" s="27">
        <f>ROUND($AY$6*BA5/$AZ$5,2)</f>
        <v>3580.29</v>
      </c>
      <c r="BB6" s="27">
        <f>ROUND($AY$6*BB5/$AZ$5,2)</f>
        <v>3580.29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t="s">
        <v>3129</v>
      </c>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t="s">
        <v>3126</v>
      </c>
      <c r="J10" s="51"/>
      <c r="K10" s="2701"/>
      <c r="L10" s="51"/>
      <c r="M10" s="2701"/>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4"/>
      <c r="B13" s="2694"/>
      <c r="C13" s="2694"/>
      <c r="D13" s="2695" t="s">
        <v>1653</v>
      </c>
      <c r="E13" s="27">
        <f t="shared" ref="E13:E20" si="6">IF($C$3="是",ROUND($A$3*G13/$B$3,2),ROUND($A$3*(G13-AT13)/$B$3,2))</f>
        <v>3580.29</v>
      </c>
      <c r="F13" s="81"/>
      <c r="G13" s="82">
        <f t="shared" ref="G13:G20" si="7">H13+AC13+AT13</f>
        <v>8950.7250000000022</v>
      </c>
      <c r="H13" s="33">
        <f t="shared" ref="H13:H20" si="8">SUMIF(I$12:AB$12,"总值",I13:AB13)</f>
        <v>8950.7250000000022</v>
      </c>
      <c r="I13" s="2698">
        <f>A3*2.5</f>
        <v>8950.7250000000022</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3580.29</v>
      </c>
      <c r="AZ13" s="27">
        <f t="shared" ref="AZ13:AZ20" si="12">BA13+BL13</f>
        <v>8950.7250000000022</v>
      </c>
      <c r="BA13" s="27">
        <f t="shared" ref="BA13:BA20" si="13">SUM(BB13:BK13)</f>
        <v>8950.7250000000022</v>
      </c>
      <c r="BB13" s="27">
        <f t="shared" ref="BB13:BB20" si="14">IF($D13="是",I13-J13,0)</f>
        <v>8950.7250000000022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180" t="s">
        <v>0</v>
      </c>
      <c r="B1" s="4180" t="s">
        <v>4</v>
      </c>
      <c r="C1" s="4180" t="s">
        <v>5</v>
      </c>
      <c r="D1" s="4181" t="s">
        <v>40</v>
      </c>
      <c r="E1" s="4181" t="s">
        <v>41</v>
      </c>
      <c r="F1" s="4181"/>
      <c r="G1" s="4181"/>
      <c r="H1" s="4181"/>
      <c r="I1" s="4181"/>
      <c r="J1" s="4181"/>
      <c r="K1" s="4181"/>
      <c r="L1" s="4181"/>
      <c r="M1" s="4181"/>
    </row>
    <row r="2" spans="1:13" ht="27" customHeight="1">
      <c r="A2" s="4180"/>
      <c r="B2" s="4180"/>
      <c r="C2" s="4180"/>
      <c r="D2" s="4181"/>
      <c r="E2" s="4181" t="s">
        <v>24</v>
      </c>
      <c r="F2" s="4181" t="s">
        <v>25</v>
      </c>
      <c r="G2" s="4181"/>
      <c r="H2" s="4181"/>
      <c r="I2" s="4181"/>
      <c r="J2" s="4181" t="s">
        <v>26</v>
      </c>
      <c r="K2" s="4181"/>
      <c r="L2" s="4181"/>
      <c r="M2" s="4181"/>
    </row>
    <row r="3" spans="1:13" ht="28.5">
      <c r="A3" s="4180"/>
      <c r="B3" s="4180"/>
      <c r="C3" s="4180"/>
      <c r="D3" s="4181"/>
      <c r="E3" s="41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181" t="s">
        <v>42</v>
      </c>
      <c r="B9" s="4181"/>
      <c r="C9" s="41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4191" t="s">
        <v>203</v>
      </c>
      <c r="B2" s="4191"/>
      <c r="C2" s="4191"/>
      <c r="D2" s="1860" t="s">
        <v>204</v>
      </c>
      <c r="E2" s="106" t="s">
        <v>205</v>
      </c>
      <c r="F2" s="3048"/>
      <c r="G2" s="1163"/>
      <c r="H2" s="1164"/>
      <c r="I2" s="1165" t="s">
        <v>833</v>
      </c>
      <c r="J2" s="3048"/>
      <c r="K2" s="3048"/>
      <c r="L2" s="3048"/>
      <c r="M2" s="3048"/>
      <c r="N2" s="3048"/>
      <c r="O2" s="3048"/>
      <c r="P2" s="3048"/>
    </row>
    <row r="3" spans="1:16" ht="15.75" thickBot="1">
      <c r="A3" s="4192" t="s">
        <v>206</v>
      </c>
      <c r="B3" s="4192"/>
      <c r="C3" s="4192"/>
      <c r="D3" s="107">
        <f>'数据-基础表'!AY6</f>
        <v>3580.29</v>
      </c>
      <c r="E3" s="107">
        <f>'数据-基础表'!AZ5</f>
        <v>8950.7250000000022</v>
      </c>
      <c r="F3" s="3048"/>
      <c r="G3" s="278" t="s">
        <v>834</v>
      </c>
      <c r="H3" s="273" t="s">
        <v>835</v>
      </c>
      <c r="I3" s="1861">
        <f>ROUND('数据-基础表'!B3/'数据-基础表'!A3,2)</f>
        <v>2.5</v>
      </c>
      <c r="J3" s="3048"/>
      <c r="K3" s="3048"/>
      <c r="L3" s="3048"/>
      <c r="M3" s="3048"/>
      <c r="N3" s="3048"/>
      <c r="O3" s="3048"/>
      <c r="P3" s="3048"/>
    </row>
    <row r="4" spans="1:16" ht="15">
      <c r="A4" s="4193"/>
      <c r="B4" s="4194"/>
      <c r="C4" s="4195"/>
      <c r="D4" s="108" t="s">
        <v>204</v>
      </c>
      <c r="E4" s="109" t="s">
        <v>205</v>
      </c>
      <c r="F4" s="3048"/>
      <c r="G4" s="1166"/>
      <c r="H4" s="273" t="s">
        <v>836</v>
      </c>
      <c r="I4" s="1861">
        <f>ROUND(SUMIF('数据-基础表'!I9:AS9,"地上",'数据-基础表'!I5:AS5)/'数据-基础表'!A3,2)</f>
        <v>2.5</v>
      </c>
      <c r="J4" s="3048"/>
      <c r="K4" s="3048"/>
      <c r="L4" s="3048"/>
      <c r="M4" s="3048"/>
      <c r="N4" s="3048"/>
      <c r="O4" s="3048"/>
      <c r="P4" s="3048"/>
    </row>
    <row r="5" spans="1:16">
      <c r="A5" s="110" t="s">
        <v>207</v>
      </c>
      <c r="B5" s="4196" t="s">
        <v>230</v>
      </c>
      <c r="C5" s="4196"/>
      <c r="D5" s="111">
        <f>ROUND($D$3*E5/$E$3,2)</f>
        <v>0</v>
      </c>
      <c r="E5" s="112">
        <f>SUMIF('数据-基础表'!$11:$11,"住宅",'数据-基础表'!$5:$5)</f>
        <v>0</v>
      </c>
      <c r="F5" s="3048"/>
      <c r="G5" s="278" t="s">
        <v>837</v>
      </c>
      <c r="H5" s="273" t="s">
        <v>835</v>
      </c>
      <c r="I5" s="1861">
        <f>ROUND(E31/D31,2)</f>
        <v>2.5</v>
      </c>
      <c r="J5" s="3048"/>
      <c r="K5" s="3048"/>
      <c r="L5" s="3048"/>
      <c r="M5" s="3048"/>
      <c r="N5" s="3048"/>
      <c r="O5" s="3048"/>
      <c r="P5" s="3048"/>
    </row>
    <row r="6" spans="1:16" ht="15" thickBot="1">
      <c r="A6" s="113"/>
      <c r="B6" s="4196" t="s">
        <v>208</v>
      </c>
      <c r="C6" s="4196"/>
      <c r="D6" s="111">
        <f>ROUND($D$3*E6/$E$3,2)</f>
        <v>3580.29</v>
      </c>
      <c r="E6" s="112">
        <f>E3-E5</f>
        <v>8950.7250000000022</v>
      </c>
      <c r="F6" s="3048"/>
      <c r="G6" s="1166"/>
      <c r="H6" s="273" t="s">
        <v>836</v>
      </c>
      <c r="I6" s="1861">
        <f>ROUND(F31/D31,2)</f>
        <v>2.5</v>
      </c>
      <c r="J6" s="3048"/>
      <c r="K6" s="3048"/>
      <c r="L6" s="3048"/>
      <c r="M6" s="3048"/>
      <c r="N6" s="3048"/>
      <c r="O6" s="3048"/>
      <c r="P6" s="3048"/>
    </row>
    <row r="7" spans="1:16" ht="15">
      <c r="A7" s="4188"/>
      <c r="B7" s="4189"/>
      <c r="C7" s="4190"/>
      <c r="D7" s="108" t="s">
        <v>204</v>
      </c>
      <c r="E7" s="114" t="s">
        <v>231</v>
      </c>
      <c r="F7" s="3048"/>
      <c r="G7" s="1121" t="s">
        <v>1620</v>
      </c>
      <c r="H7" s="1122"/>
      <c r="I7" s="1732"/>
      <c r="J7" s="3048"/>
      <c r="K7" s="3048"/>
      <c r="L7" s="3048"/>
      <c r="M7" s="3048"/>
      <c r="N7" s="3048"/>
      <c r="O7" s="3048"/>
      <c r="P7" s="3048"/>
    </row>
    <row r="8" spans="1:16">
      <c r="A8" s="110" t="s">
        <v>209</v>
      </c>
      <c r="B8" s="115" t="s">
        <v>210</v>
      </c>
      <c r="C8" s="111" t="s">
        <v>211</v>
      </c>
      <c r="D8" s="111">
        <f t="shared" ref="D8:D15" si="0">ROUND($D$3*E8/$E$3,2)</f>
        <v>3580.29</v>
      </c>
      <c r="E8" s="116">
        <f>SUMIF('数据-基础表'!BB10:BK10,"地上",'数据-基础表'!BB5:BK5)</f>
        <v>8950.7250000000022</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f>SUM(D8:D15)</f>
        <v>3580.29</v>
      </c>
      <c r="E16" s="120">
        <f>SUM(E8:E15)</f>
        <v>8950.7250000000022</v>
      </c>
      <c r="F16" s="3048"/>
      <c r="G16" s="3049"/>
      <c r="H16" s="938" t="s">
        <v>219</v>
      </c>
      <c r="I16" s="939"/>
      <c r="J16" s="1869"/>
      <c r="K16" s="4182" t="s">
        <v>2520</v>
      </c>
      <c r="L16" s="4183"/>
      <c r="M16" s="4183"/>
      <c r="N16" s="4183"/>
      <c r="O16" s="4183"/>
      <c r="P16" s="4184"/>
    </row>
    <row r="17" spans="1:19" ht="15">
      <c r="A17" s="121" t="s">
        <v>216</v>
      </c>
      <c r="B17" s="122" t="s">
        <v>217</v>
      </c>
      <c r="C17" s="2148" t="s">
        <v>2278</v>
      </c>
      <c r="D17" s="108" t="s">
        <v>204</v>
      </c>
      <c r="E17" s="124" t="s">
        <v>205</v>
      </c>
      <c r="F17" s="125"/>
      <c r="G17" s="1293"/>
      <c r="H17" s="940" t="s">
        <v>218</v>
      </c>
      <c r="I17" s="941" t="s">
        <v>2277</v>
      </c>
      <c r="J17" s="1869"/>
      <c r="K17" s="4185" t="s">
        <v>2521</v>
      </c>
      <c r="L17" s="4186"/>
      <c r="M17" s="4187"/>
      <c r="N17" s="4185" t="s">
        <v>2522</v>
      </c>
      <c r="O17" s="4186"/>
      <c r="P17" s="4187"/>
      <c r="R17" s="2149" t="s">
        <v>2276</v>
      </c>
      <c r="S17" s="142"/>
    </row>
    <row r="18" spans="1:19" ht="15">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3130</v>
      </c>
      <c r="D19" s="111">
        <f t="shared" ref="D19:D26" si="1">ROUND($D$3*E19/$E$3,2)</f>
        <v>3580.29</v>
      </c>
      <c r="E19" s="134">
        <f t="shared" ref="E19:E26" si="2">SUM(F19:G19)</f>
        <v>8950.7250000000022</v>
      </c>
      <c r="F19" s="3050">
        <f>'数据-基础表'!I13</f>
        <v>8950.7250000000022</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3580.29</v>
      </c>
      <c r="S19" s="2151">
        <f t="shared" si="5"/>
        <v>8950.7250000000022</v>
      </c>
    </row>
    <row r="20" spans="1:19">
      <c r="A20" s="137"/>
      <c r="B20" s="115" t="s">
        <v>226</v>
      </c>
      <c r="C20" s="2705"/>
      <c r="D20" s="111">
        <f t="shared" si="1"/>
        <v>0</v>
      </c>
      <c r="E20" s="134">
        <f t="shared" si="2"/>
        <v>0</v>
      </c>
      <c r="F20" s="3050"/>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215</v>
      </c>
      <c r="D27" s="134">
        <f>SUM(D19:D26)</f>
        <v>3580.29</v>
      </c>
      <c r="E27" s="141">
        <f>IF(SUM(E19:E26)='数据-基础表'!BA5,SUM(E19:E26),IF(F27="地上面积有误","面积有误","地下面积有误"))</f>
        <v>8950.7250000000022</v>
      </c>
      <c r="F27" s="134">
        <f>IF(SUM(F19:F26)=E8,SUM(F19:F26),"地上面积有误")</f>
        <v>8950.7250000000022</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3580.29</v>
      </c>
      <c r="S27" s="273">
        <f>IF(SUM(S19:S26)=$E$3,SUM(S19:S26),SUM(S19:S26)&amp;"误差"&amp;ROUND(SUM(S19:S26)-E3,2))</f>
        <v>8950.7250000000022</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3580.29</v>
      </c>
      <c r="E31" s="1297">
        <f>E27+E30</f>
        <v>8950.7250000000022</v>
      </c>
      <c r="F31" s="1298">
        <f>F27+F30</f>
        <v>8950.7250000000022</v>
      </c>
      <c r="G31" s="1299">
        <f>G27+G30</f>
        <v>0</v>
      </c>
      <c r="H31" s="3048"/>
      <c r="I31" s="3048"/>
      <c r="J31" s="3048"/>
      <c r="K31" s="3048"/>
      <c r="L31" s="3048"/>
      <c r="M31" s="3048"/>
      <c r="N31" s="3048"/>
      <c r="O31" s="3048"/>
      <c r="P31" s="3048"/>
    </row>
    <row r="32" spans="1:19">
      <c r="A32" s="1869"/>
      <c r="B32" s="2192" t="s">
        <v>2286</v>
      </c>
      <c r="C32" s="2456"/>
      <c r="D32" s="1166"/>
      <c r="E32" s="1166">
        <f>SUMIF(C19:C26,"*住宅*",E19:E26)</f>
        <v>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A23" sqref="A23"/>
    </sheetView>
  </sheetViews>
  <sheetFormatPr defaultColWidth="13.75" defaultRowHeight="12.75"/>
  <cols>
    <col min="1" max="1" width="20.875" style="1181" customWidth="1"/>
    <col min="2" max="3" width="12" style="1168" customWidth="1"/>
    <col min="4" max="4" width="9.125" style="1182" customWidth="1"/>
    <col min="5" max="5" width="17.5" style="1168"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44550</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4">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3128</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25">
      <c r="A6" s="2152" t="str">
        <f>'数据-汇总表'!C19</f>
        <v>商业</v>
      </c>
      <c r="B6" s="2187" t="str">
        <f>IF(A6=0,"","经营性")</f>
        <v>经营性</v>
      </c>
      <c r="C6" s="171" t="s">
        <v>3126</v>
      </c>
      <c r="D6" s="2158">
        <f>SUMIF(项目基本情况!D$15:I$15,C6,项目基本情况!D$18:I$18)</f>
        <v>40</v>
      </c>
      <c r="E6" s="2159">
        <f>IF(B6="","",SUMIF(项目基本情况!D$15:I$15,C6,项目基本情况!D$17:I$17))</f>
        <v>59159</v>
      </c>
      <c r="F6" s="172">
        <f>SUMIF(项目基本情况!D$15:I$15,C6,项目基本情况!D$19:I$19)</f>
        <v>40</v>
      </c>
      <c r="G6" s="173">
        <f>IF(ISERROR(ROUND(POWER(1+H6,D6-F6)*(POWER(1+H6,F6)-1)/(POWER(1+H6,D6)-1),3)),0,ROUND(POWER(1+H6,D6-F6)*(POWER(1+H6,F6)-1)/(POWER(1+H6,D6)-1),3))</f>
        <v>1</v>
      </c>
      <c r="H6" s="2706">
        <v>5.3999999999999999E-2</v>
      </c>
      <c r="I6" s="2706">
        <v>4.4999999999999998E-2</v>
      </c>
      <c r="J6" s="174">
        <v>6.5000000000000002E-2</v>
      </c>
      <c r="K6" s="177">
        <f>SUMIF('数据-汇总表'!C$19:C$33,'数据-取费表'!A6,'数据-汇总表'!E$19:E$33)</f>
        <v>8950.7250000000022</v>
      </c>
      <c r="L6" s="2707">
        <v>4000</v>
      </c>
      <c r="M6" s="175">
        <f t="shared" ref="M6:M14" si="0">ROUND(K6*L6/10000,0)</f>
        <v>3580</v>
      </c>
      <c r="N6" s="2708">
        <v>0</v>
      </c>
      <c r="O6" s="175">
        <f>IF($N$5="成新度","——",ROUND(M6*N6,0))</f>
        <v>0</v>
      </c>
      <c r="P6" s="176">
        <f>IF($N$5="成新度","——",M6-O6)</f>
        <v>3580</v>
      </c>
      <c r="Q6" s="2709">
        <v>0.3</v>
      </c>
      <c r="R6" s="177">
        <f>SUMIF('数据-汇总表'!C$19:C$33,A6,'数据-汇总表'!R$19:R$33)</f>
        <v>3580.29</v>
      </c>
      <c r="S6" s="132">
        <f>IF('数据-汇总表'!$I$17="按面积比例",SUMIF('数据-汇总表'!C$19:C$33,A6,'数据-汇总表'!K$19:K$33),SUMIF('数据-汇总表'!C$19:C$33,A6,'数据-汇总表'!N$19:N$33))</f>
        <v>0</v>
      </c>
      <c r="T6" s="2084" t="str">
        <f>IF($T$4="按面积比例",IF(ISERROR(ROUND($M$14*S6/S$16,0)),"0",ROUND($M$14*S6/S$16,0)),"需自行计算录入")</f>
        <v>0</v>
      </c>
      <c r="U6" s="178">
        <v>4.3</v>
      </c>
      <c r="V6" s="179">
        <v>0</v>
      </c>
      <c r="W6" s="179">
        <v>0.05</v>
      </c>
      <c r="X6" s="2171"/>
      <c r="Y6" s="180">
        <v>1</v>
      </c>
      <c r="Z6" s="181"/>
      <c r="AA6" s="174"/>
      <c r="AB6" s="174"/>
      <c r="AC6" s="2174"/>
      <c r="AD6" s="182"/>
      <c r="AE6" s="942">
        <f ca="1">IF(AN6="",0,SUMIF(INDIRECT("'"&amp;AN6&amp;"'"&amp;"!E:E"),$AE$5,INDIRECT("'"&amp;AN6&amp;"'"&amp;"!F:F")))</f>
        <v>40</v>
      </c>
      <c r="AF6" s="139"/>
      <c r="AG6" s="1178">
        <f>IF(AF6="",0,AE6-AF6)</f>
        <v>0</v>
      </c>
      <c r="AH6" s="139"/>
      <c r="AI6" s="185">
        <v>365</v>
      </c>
      <c r="AJ6" s="186"/>
      <c r="AK6" s="187">
        <v>0.01</v>
      </c>
      <c r="AL6" s="188">
        <v>1E-3</v>
      </c>
      <c r="AM6" s="2718">
        <v>0.01</v>
      </c>
      <c r="AN6" s="2217" t="s">
        <v>3144</v>
      </c>
      <c r="AO6" s="3058"/>
      <c r="AP6" s="1169">
        <f>ROUND(1-1/(1+H6)^F6,3)</f>
        <v>0.878</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2707"/>
      <c r="M7" s="175">
        <f t="shared" si="0"/>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f>ROUND(SUMPRODUCT(G6:G13,K6:K13)/SUMPRODUCT((G6:G13&gt;0)*(K6:K13)),3)</f>
        <v>1</v>
      </c>
      <c r="H16" s="201">
        <f>ROUND(SUMPRODUCT(H6:H13,K6:K13)/SUMPRODUCT((H6:H13&gt;0)*(K6:K13)),3)</f>
        <v>5.3999999999999999E-2</v>
      </c>
      <c r="I16" s="202"/>
      <c r="J16" s="202"/>
      <c r="K16" s="203">
        <f>SUM(K6:K15)</f>
        <v>8950.7250000000022</v>
      </c>
      <c r="L16" s="204">
        <f>ROUND(M16*10000/SUM(K6:K14),0)</f>
        <v>4000</v>
      </c>
      <c r="M16" s="204">
        <f>SUM(M6:M14)</f>
        <v>3580</v>
      </c>
      <c r="N16" s="205">
        <f>ROUND(SUMPRODUCT(M6:M14,N6:N14)/M16,3)</f>
        <v>0</v>
      </c>
      <c r="O16" s="204">
        <f>SUM(O6:O14)</f>
        <v>0</v>
      </c>
      <c r="P16" s="204">
        <f>SUM(P6:P14)</f>
        <v>3580</v>
      </c>
      <c r="Q16" s="206">
        <f>ROUND(SUMPRODUCT(Q6:Q13,K6:K13)/SUMPRODUCT((Q6:Q13&gt;0)*(K6:K13)),2)</f>
        <v>0.3</v>
      </c>
      <c r="R16" s="2161">
        <f>SUM(R6:R13)</f>
        <v>3580.29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0.878</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v>3</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v>3</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3</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3</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0</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2302</v>
      </c>
      <c r="B27" s="225">
        <v>160</v>
      </c>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2303</v>
      </c>
      <c r="B28" s="227">
        <v>200</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v>300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300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v>0</v>
      </c>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v>0.02</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v>0.02</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5.6000000000000001E-2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6.000000000000001E-3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v>7.0000000000000007E-2</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216" priority="12" stopIfTrue="1" operator="containsText" text="自行计算">
      <formula>NOT(ISERROR(SEARCH("自行计算",T6)))</formula>
    </cfRule>
    <cfRule type="containsText" dxfId="215" priority="13" stopIfTrue="1" operator="containsText" text="自行计算">
      <formula>NOT(ISERROR(SEARCH("自行计算",T6)))</formula>
    </cfRule>
  </conditionalFormatting>
  <conditionalFormatting sqref="T6:T13">
    <cfRule type="containsText" dxfId="214" priority="10" stopIfTrue="1" operator="containsText" text="自行计算">
      <formula>NOT(ISERROR(SEARCH("自行计算",T6)))</formula>
    </cfRule>
    <cfRule type="containsText" dxfId="213" priority="11" stopIfTrue="1" operator="containsText" text="自行计算">
      <formula>NOT(ISERROR(SEARCH("自行计算",T6)))</formula>
    </cfRule>
  </conditionalFormatting>
  <conditionalFormatting sqref="T12:T13">
    <cfRule type="containsText" dxfId="212" priority="4" stopIfTrue="1" operator="containsText" text="自行计算">
      <formula>NOT(ISERROR(SEARCH("自行计算",T12)))</formula>
    </cfRule>
    <cfRule type="containsText" dxfId="211" priority="5" stopIfTrue="1" operator="containsText" text="自行计算">
      <formula>NOT(ISERROR(SEARCH("自行计算",T12)))</formula>
    </cfRule>
  </conditionalFormatting>
  <conditionalFormatting sqref="T12:T13">
    <cfRule type="containsText" dxfId="210" priority="2" stopIfTrue="1" operator="containsText" text="自行计算">
      <formula>NOT(ISERROR(SEARCH("自行计算",T12)))</formula>
    </cfRule>
    <cfRule type="containsText" dxfId="209" priority="3" stopIfTrue="1" operator="containsText" text="自行计算">
      <formula>NOT(ISERROR(SEARCH("自行计算",T12)))</formula>
    </cfRule>
  </conditionalFormatting>
  <conditionalFormatting sqref="T6:T15">
    <cfRule type="expression" dxfId="20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9" customWidth="1"/>
    <col min="2" max="2" width="23.5" style="3124" customWidth="1"/>
    <col min="3" max="3" width="32.25" style="3126" customWidth="1"/>
    <col min="4" max="4" width="2.625" style="3126" customWidth="1"/>
    <col min="5" max="5" width="5.875" style="3126" customWidth="1"/>
    <col min="6" max="6" width="23.625" style="3124" customWidth="1"/>
    <col min="7" max="7" width="33.375" style="3125" customWidth="1"/>
    <col min="8" max="8" width="11.875" style="3124" customWidth="1"/>
    <col min="9" max="9" width="16.75" style="3125" customWidth="1"/>
    <col min="10" max="10" width="2.625" style="3126" customWidth="1"/>
    <col min="11" max="11" width="11.875" style="3124" customWidth="1"/>
    <col min="12" max="12" width="16.75" style="3125" customWidth="1"/>
    <col min="13" max="13" width="2.625" style="3126" customWidth="1"/>
    <col min="14" max="14" width="11.875" style="3124" customWidth="1"/>
    <col min="15" max="15" width="16.75" style="3125" customWidth="1"/>
    <col min="16" max="16" width="2.625" style="3126" customWidth="1"/>
    <col min="17" max="17" width="11.875" style="3124" customWidth="1"/>
    <col min="18" max="18" width="16.75" style="3127" customWidth="1"/>
    <col min="19" max="16384" width="9" style="3089"/>
  </cols>
  <sheetData>
    <row r="1" spans="1:18" s="3083" customFormat="1" ht="19.5" thickBot="1">
      <c r="A1" s="4197" t="s">
        <v>1638</v>
      </c>
      <c r="B1" s="4198"/>
      <c r="C1" s="4198"/>
      <c r="D1" s="4198"/>
      <c r="E1" s="4198"/>
      <c r="F1" s="4198"/>
      <c r="G1" s="4198"/>
      <c r="H1" s="3078"/>
      <c r="I1" s="3079"/>
      <c r="J1" s="3080"/>
      <c r="K1" s="3078"/>
      <c r="L1" s="3079"/>
      <c r="M1" s="3080"/>
      <c r="N1" s="3078"/>
      <c r="O1" s="3079"/>
      <c r="P1" s="3080"/>
      <c r="Q1" s="3081"/>
      <c r="R1" s="3082"/>
    </row>
    <row r="2" spans="1:18" ht="14.25" thickBot="1">
      <c r="A2" s="3084"/>
      <c r="B2" s="3085"/>
      <c r="C2" s="3086" t="s">
        <v>1639</v>
      </c>
      <c r="D2" s="3087"/>
      <c r="E2" s="3084"/>
      <c r="F2" s="3088"/>
      <c r="G2" s="3086" t="s">
        <v>1640</v>
      </c>
      <c r="H2" s="3089"/>
      <c r="I2" s="3089"/>
      <c r="J2" s="3089"/>
      <c r="K2" s="3089"/>
      <c r="L2" s="3089"/>
      <c r="M2" s="3089"/>
      <c r="N2" s="3089"/>
      <c r="O2" s="3089"/>
      <c r="P2" s="3089"/>
      <c r="Q2" s="3089"/>
      <c r="R2" s="3089"/>
    </row>
    <row r="3" spans="1:18" ht="40.5">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0.5">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1.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0.5">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7.7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7">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8.75">
      <c r="A12" s="3114"/>
      <c r="B12" s="3102"/>
      <c r="C12" s="3093"/>
      <c r="D12" s="3116"/>
      <c r="E12" s="3093"/>
      <c r="F12" s="3102"/>
      <c r="G12" s="3115"/>
      <c r="H12" s="3117"/>
      <c r="I12" s="3118"/>
      <c r="J12" s="3117"/>
      <c r="K12" s="3117"/>
      <c r="L12" s="3119"/>
      <c r="M12" s="3117"/>
      <c r="N12" s="3120"/>
      <c r="O12" s="3121"/>
      <c r="P12" s="3122"/>
      <c r="Q12" s="3120"/>
      <c r="R12" s="3082"/>
    </row>
    <row r="13" spans="1:18" ht="19.5" thickBot="1">
      <c r="A13" s="3123" t="s">
        <v>1647</v>
      </c>
      <c r="B13" s="3116"/>
      <c r="C13" s="3116"/>
      <c r="D13" s="3087"/>
      <c r="E13" s="3116"/>
      <c r="F13" s="3116"/>
      <c r="G13" s="3116"/>
    </row>
    <row r="14" spans="1:18" ht="14.25" thickBot="1">
      <c r="A14" s="3128"/>
      <c r="B14" s="3128"/>
      <c r="C14" s="3129" t="s">
        <v>1639</v>
      </c>
      <c r="D14" s="3093"/>
      <c r="E14" s="3130"/>
      <c r="F14" s="3130"/>
      <c r="G14" s="3086" t="s">
        <v>1640</v>
      </c>
    </row>
    <row r="15" spans="1:18" ht="40.5">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0.5">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0.5">
      <c r="A17" s="3136"/>
      <c r="B17" s="3137" t="s">
        <v>1644</v>
      </c>
      <c r="C17" s="3138" t="str">
        <f>C5</f>
        <v>估价对象位于XX商圈，周边办公楼项目较多，入驻率高，办公集聚程度较好</v>
      </c>
      <c r="D17" s="3102"/>
      <c r="E17" s="3139"/>
      <c r="F17" s="3140" t="s">
        <v>1649</v>
      </c>
      <c r="G17" s="3142"/>
    </row>
    <row r="18" spans="1:7" ht="40.5">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7">
      <c r="A19" s="3136"/>
      <c r="B19" s="3140" t="s">
        <v>1634</v>
      </c>
      <c r="C19" s="3142"/>
      <c r="D19" s="3093"/>
      <c r="E19" s="3139"/>
      <c r="F19" s="3097" t="s">
        <v>2500</v>
      </c>
      <c r="G19" s="3141" t="str">
        <f>G5</f>
        <v>估价对象所在区域公共配套设施齐备情况</v>
      </c>
    </row>
    <row r="20" spans="1:7" ht="27">
      <c r="A20" s="3136"/>
      <c r="B20" s="3140" t="s">
        <v>1635</v>
      </c>
      <c r="C20" s="3138" t="str">
        <f>C9</f>
        <v>区域自然环境：；人文环境；综合评价环境状况一般</v>
      </c>
      <c r="D20" s="3102"/>
      <c r="E20" s="3139"/>
      <c r="F20" s="3097" t="s">
        <v>2501</v>
      </c>
      <c r="G20" s="3141" t="str">
        <f>G6</f>
        <v>估价对象所在区域基础设施水平</v>
      </c>
    </row>
    <row r="21" spans="1:7" ht="27">
      <c r="A21" s="3136"/>
      <c r="B21" s="3097" t="s">
        <v>2500</v>
      </c>
      <c r="C21" s="3141" t="str">
        <f>C7</f>
        <v>估价对象所在区域公共配套设施齐备情况</v>
      </c>
      <c r="D21" s="3093"/>
      <c r="E21" s="3139"/>
      <c r="F21" s="3140" t="s">
        <v>1636</v>
      </c>
      <c r="G21" s="3143"/>
    </row>
    <row r="22" spans="1:7" ht="14.25">
      <c r="A22" s="3136"/>
      <c r="B22" s="3097" t="s">
        <v>2501</v>
      </c>
      <c r="C22" s="3141" t="str">
        <f>C8</f>
        <v>估价对象所在区域基础设施水平</v>
      </c>
      <c r="D22" s="3093"/>
      <c r="E22" s="3139"/>
      <c r="F22" s="3140" t="s">
        <v>1646</v>
      </c>
      <c r="G22" s="3142"/>
    </row>
    <row r="23" spans="1:7" ht="15" thickBot="1">
      <c r="A23" s="3136"/>
      <c r="B23" s="3140" t="s">
        <v>1636</v>
      </c>
      <c r="C23" s="3143"/>
      <c r="E23" s="3144"/>
      <c r="F23" s="3145" t="s">
        <v>1650</v>
      </c>
      <c r="G23" s="3146"/>
    </row>
    <row r="24" spans="1:7" ht="14.2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2" customWidth="1"/>
    <col min="2" max="16384" width="14.625" style="3152"/>
  </cols>
  <sheetData>
    <row r="1" spans="1:10" ht="16.5">
      <c r="A1" s="3151" t="s">
        <v>2793</v>
      </c>
      <c r="B1" s="3151">
        <f>SUM(B14:B23)</f>
        <v>8950.7250000000022</v>
      </c>
      <c r="C1" s="3160"/>
      <c r="D1" s="3160"/>
      <c r="E1" s="3160"/>
      <c r="F1" s="3160"/>
      <c r="G1" s="3161"/>
      <c r="H1" s="3161"/>
      <c r="I1" s="3161"/>
      <c r="J1" s="3161"/>
    </row>
    <row r="2" spans="1:10" ht="16.5">
      <c r="A2" s="3151" t="s">
        <v>2794</v>
      </c>
      <c r="B2" s="3151">
        <f>SUM(C14:C23)</f>
        <v>3580.29</v>
      </c>
      <c r="C2" s="3160"/>
      <c r="D2" s="3160"/>
      <c r="E2" s="3160"/>
      <c r="F2" s="3160"/>
      <c r="G2" s="3161"/>
      <c r="H2" s="3161"/>
      <c r="I2" s="3161"/>
      <c r="J2" s="3161"/>
    </row>
    <row r="3" spans="1:10" ht="16.5">
      <c r="A3" s="3151" t="s">
        <v>2795</v>
      </c>
      <c r="B3" s="3153">
        <f>项目基本情况!D3</f>
        <v>44550</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f ca="1">SUM(D14:D23)</f>
        <v>9583</v>
      </c>
      <c r="C5" s="3151">
        <f ca="1">ROUND(B5*10000/$B$1,0)</f>
        <v>10706</v>
      </c>
      <c r="D5" s="3151">
        <f ca="1">ROUND(B5*10000/$B$2,0)</f>
        <v>26766</v>
      </c>
      <c r="E5" s="3160"/>
      <c r="F5" s="3160"/>
      <c r="G5" s="3161"/>
      <c r="H5" s="3161"/>
      <c r="I5" s="3161"/>
      <c r="J5" s="3161"/>
    </row>
    <row r="6" spans="1:10" ht="16.5">
      <c r="A6" s="3151" t="s">
        <v>2801</v>
      </c>
      <c r="B6" s="3151">
        <f>SUM(G14:G23)</f>
        <v>0</v>
      </c>
      <c r="C6" s="3151">
        <f t="shared" ref="C6:C8" si="0">ROUND(B6*10000/$B$1,0)</f>
        <v>0</v>
      </c>
      <c r="D6" s="3151">
        <f t="shared" ref="D6:D8" si="1">ROUND(B6*10000/$B$2,0)</f>
        <v>0</v>
      </c>
      <c r="E6" s="3160"/>
      <c r="F6" s="3160"/>
      <c r="G6" s="3161"/>
      <c r="H6" s="3161"/>
      <c r="I6" s="3161"/>
      <c r="J6" s="3161"/>
    </row>
    <row r="7" spans="1:10" ht="16.5">
      <c r="A7" s="3151" t="s">
        <v>2802</v>
      </c>
      <c r="B7" s="3151">
        <f>SUM(H14:H23)</f>
        <v>0</v>
      </c>
      <c r="C7" s="3151">
        <f t="shared" si="0"/>
        <v>0</v>
      </c>
      <c r="D7" s="3151">
        <f t="shared" si="1"/>
        <v>0</v>
      </c>
      <c r="E7" s="3160"/>
      <c r="F7" s="3160"/>
      <c r="G7" s="3161"/>
      <c r="H7" s="3161"/>
      <c r="I7" s="3161"/>
      <c r="J7" s="3161"/>
    </row>
    <row r="8" spans="1:10" ht="16.5">
      <c r="A8" s="3151" t="s">
        <v>2803</v>
      </c>
      <c r="B8" s="3151">
        <f>SUM(I14:I23)</f>
        <v>0</v>
      </c>
      <c r="C8" s="3151">
        <f t="shared" si="0"/>
        <v>0</v>
      </c>
      <c r="D8" s="3151">
        <f t="shared" si="1"/>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8950.7250000000022</v>
      </c>
      <c r="C14" s="3157">
        <f>结果表!K38</f>
        <v>3580.29</v>
      </c>
      <c r="D14" s="3157">
        <f ca="1">结果表!C42</f>
        <v>9583</v>
      </c>
      <c r="E14" s="3157">
        <f ca="1">ROUND(D14*10000/B14,0)</f>
        <v>10706</v>
      </c>
      <c r="F14" s="3157">
        <f ca="1">ROUND(D14*10000/C14,0)</f>
        <v>26766</v>
      </c>
      <c r="G14" s="3157" t="str">
        <f>结果表!C44</f>
        <v>——</v>
      </c>
      <c r="H14" s="3157" t="str">
        <f>结果表!C45</f>
        <v>——</v>
      </c>
      <c r="I14" s="3157" t="str">
        <f>结果表!C46</f>
        <v>——</v>
      </c>
      <c r="J14" s="3161"/>
    </row>
    <row r="15" spans="1:10" ht="16.5">
      <c r="A15" s="3156" t="s">
        <v>2810</v>
      </c>
      <c r="B15" s="3158"/>
      <c r="C15" s="3158"/>
      <c r="D15" s="3158"/>
      <c r="E15" s="3157" t="e">
        <f t="shared" ref="E15:E23" si="2">ROUND(D15*10000/B15,0)</f>
        <v>#DIV/0!</v>
      </c>
      <c r="F15" s="3157" t="e">
        <f t="shared" ref="F15:F23" si="3">ROUND(D15*10000/C15,0)</f>
        <v>#DIV/0!</v>
      </c>
      <c r="G15" s="2723"/>
      <c r="H15" s="2723"/>
      <c r="I15" s="3158"/>
      <c r="J15" s="3161"/>
    </row>
    <row r="16" spans="1:10" ht="16.5">
      <c r="A16" s="3156" t="s">
        <v>2811</v>
      </c>
      <c r="B16" s="3158"/>
      <c r="C16" s="3158"/>
      <c r="D16" s="3158"/>
      <c r="E16" s="3157" t="e">
        <f t="shared" si="2"/>
        <v>#DIV/0!</v>
      </c>
      <c r="F16" s="3157" t="e">
        <f t="shared" si="3"/>
        <v>#DIV/0!</v>
      </c>
      <c r="G16" s="2723"/>
      <c r="H16" s="2723"/>
      <c r="I16" s="3158"/>
      <c r="J16" s="3161"/>
    </row>
    <row r="17" spans="1:10" ht="16.5">
      <c r="A17" s="3156" t="s">
        <v>2812</v>
      </c>
      <c r="B17" s="3158"/>
      <c r="C17" s="3158"/>
      <c r="D17" s="3158"/>
      <c r="E17" s="3157" t="e">
        <f t="shared" si="2"/>
        <v>#DIV/0!</v>
      </c>
      <c r="F17" s="3157" t="e">
        <f t="shared" si="3"/>
        <v>#DIV/0!</v>
      </c>
      <c r="G17" s="2723"/>
      <c r="H17" s="2723"/>
      <c r="I17" s="3158"/>
      <c r="J17" s="3161"/>
    </row>
    <row r="18" spans="1:10" ht="16.5">
      <c r="A18" s="3156" t="s">
        <v>2813</v>
      </c>
      <c r="B18" s="3158"/>
      <c r="C18" s="3158"/>
      <c r="D18" s="3158"/>
      <c r="E18" s="3157" t="e">
        <f t="shared" si="2"/>
        <v>#DIV/0!</v>
      </c>
      <c r="F18" s="3157" t="e">
        <f t="shared" si="3"/>
        <v>#DIV/0!</v>
      </c>
      <c r="G18" s="3158"/>
      <c r="H18" s="3158"/>
      <c r="I18" s="3158"/>
      <c r="J18" s="3161"/>
    </row>
    <row r="19" spans="1:10" ht="16.5">
      <c r="A19" s="3156" t="s">
        <v>2814</v>
      </c>
      <c r="B19" s="3158"/>
      <c r="C19" s="3158"/>
      <c r="D19" s="3158"/>
      <c r="E19" s="3157" t="e">
        <f t="shared" si="2"/>
        <v>#DIV/0!</v>
      </c>
      <c r="F19" s="3157" t="e">
        <f t="shared" si="3"/>
        <v>#DIV/0!</v>
      </c>
      <c r="G19" s="3158"/>
      <c r="H19" s="3158"/>
      <c r="I19" s="3158"/>
      <c r="J19" s="3161"/>
    </row>
    <row r="20" spans="1:10" ht="16.5">
      <c r="A20" s="3156" t="s">
        <v>2815</v>
      </c>
      <c r="B20" s="3158"/>
      <c r="C20" s="3158"/>
      <c r="D20" s="3158"/>
      <c r="E20" s="3157" t="e">
        <f t="shared" si="2"/>
        <v>#DIV/0!</v>
      </c>
      <c r="F20" s="3157" t="e">
        <f t="shared" si="3"/>
        <v>#DIV/0!</v>
      </c>
      <c r="G20" s="3158"/>
      <c r="H20" s="3158"/>
      <c r="I20" s="3158"/>
      <c r="J20" s="3161"/>
    </row>
    <row r="21" spans="1:10" ht="16.5">
      <c r="A21" s="3156" t="s">
        <v>2816</v>
      </c>
      <c r="B21" s="3158"/>
      <c r="C21" s="3158"/>
      <c r="D21" s="3158"/>
      <c r="E21" s="3157" t="e">
        <f t="shared" si="2"/>
        <v>#DIV/0!</v>
      </c>
      <c r="F21" s="3157" t="e">
        <f t="shared" si="3"/>
        <v>#DIV/0!</v>
      </c>
      <c r="G21" s="3158"/>
      <c r="H21" s="3158"/>
      <c r="I21" s="3158"/>
      <c r="J21" s="3161"/>
    </row>
    <row r="22" spans="1:10" ht="16.5">
      <c r="A22" s="3156" t="s">
        <v>2817</v>
      </c>
      <c r="B22" s="3158"/>
      <c r="C22" s="3158"/>
      <c r="D22" s="3158"/>
      <c r="E22" s="3157" t="e">
        <f t="shared" si="2"/>
        <v>#DIV/0!</v>
      </c>
      <c r="F22" s="3157" t="e">
        <f t="shared" si="3"/>
        <v>#DIV/0!</v>
      </c>
      <c r="G22" s="3158"/>
      <c r="H22" s="3158"/>
      <c r="I22" s="3158"/>
      <c r="J22" s="3161"/>
    </row>
    <row r="23" spans="1:10" ht="16.5">
      <c r="A23" s="3156" t="s">
        <v>2818</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10" sqref="D10:D11"/>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2022</v>
      </c>
      <c r="B1" s="1664"/>
      <c r="C1" s="1692" t="s">
        <v>2023</v>
      </c>
      <c r="D1" s="1693" t="s">
        <v>3220</v>
      </c>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4243" t="str">
        <f>项目基本情况!K2</f>
        <v>北京市出让国有建设用地使用权</v>
      </c>
      <c r="B2" s="4244"/>
      <c r="C2" s="4245"/>
      <c r="D2" s="4245"/>
      <c r="E2" s="4245"/>
      <c r="F2" s="4245"/>
      <c r="G2" s="4244"/>
      <c r="H2" s="4244"/>
      <c r="I2" s="4246"/>
      <c r="J2" s="1884"/>
      <c r="K2" s="1883"/>
      <c r="L2" s="1883"/>
      <c r="M2" s="1883"/>
      <c r="N2" s="1883"/>
      <c r="O2" s="1883"/>
      <c r="P2" s="1883"/>
      <c r="Q2" s="1883"/>
      <c r="R2" s="1883"/>
      <c r="S2" s="1883"/>
      <c r="T2" s="1883"/>
      <c r="U2" s="1883"/>
      <c r="V2" s="1883"/>
    </row>
    <row r="3" spans="1:22" ht="14.25">
      <c r="A3" s="4254" t="s">
        <v>298</v>
      </c>
      <c r="B3" s="4255"/>
      <c r="C3" s="4255"/>
      <c r="D3" s="4255"/>
      <c r="E3" s="4255"/>
      <c r="F3" s="4255"/>
      <c r="G3" s="4255"/>
      <c r="H3" s="4255"/>
      <c r="I3" s="4255"/>
      <c r="J3" s="1884"/>
      <c r="K3" s="1883"/>
      <c r="L3" s="1883"/>
      <c r="M3" s="1883"/>
      <c r="N3" s="1883"/>
      <c r="O3" s="1883"/>
      <c r="P3" s="1883"/>
      <c r="Q3" s="1883"/>
      <c r="R3" s="1883"/>
      <c r="S3" s="1883"/>
      <c r="T3" s="1883"/>
      <c r="U3" s="1883"/>
      <c r="V3" s="1883"/>
    </row>
    <row r="4" spans="1:22" ht="14.25">
      <c r="A4" s="256" t="s">
        <v>299</v>
      </c>
      <c r="B4" s="257" t="s">
        <v>300</v>
      </c>
      <c r="C4" s="258" t="s">
        <v>3218</v>
      </c>
      <c r="D4" s="258" t="s">
        <v>3219</v>
      </c>
      <c r="E4" s="4218" t="s">
        <v>301</v>
      </c>
      <c r="F4" s="4260"/>
      <c r="G4" s="4260"/>
      <c r="H4" s="4260"/>
      <c r="I4" s="4219"/>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25">
      <c r="A5" s="4247" t="s">
        <v>302</v>
      </c>
      <c r="B5" s="4248">
        <v>25</v>
      </c>
      <c r="C5" s="4256">
        <v>3</v>
      </c>
      <c r="D5" s="4259">
        <v>7</v>
      </c>
      <c r="E5" s="259" t="s">
        <v>303</v>
      </c>
      <c r="F5" s="260"/>
      <c r="G5" s="260"/>
      <c r="H5" s="260"/>
      <c r="I5" s="261"/>
      <c r="J5" s="1884"/>
      <c r="K5" s="1883"/>
      <c r="L5" s="1883"/>
      <c r="M5" s="1883"/>
      <c r="N5" s="1883"/>
      <c r="O5" s="1883"/>
      <c r="P5" s="1883"/>
      <c r="Q5" s="1883"/>
      <c r="R5" s="1883"/>
      <c r="S5" s="1883"/>
      <c r="T5" s="1883"/>
      <c r="U5" s="1883"/>
      <c r="V5" s="1883"/>
    </row>
    <row r="6" spans="1:22" ht="14.25">
      <c r="A6" s="4247"/>
      <c r="B6" s="4248"/>
      <c r="C6" s="4257"/>
      <c r="D6" s="4259"/>
      <c r="E6" s="259" t="s">
        <v>304</v>
      </c>
      <c r="F6" s="260"/>
      <c r="G6" s="260"/>
      <c r="H6" s="260"/>
      <c r="I6" s="261"/>
      <c r="J6" s="1884"/>
      <c r="K6" s="1883"/>
      <c r="L6" s="1883"/>
      <c r="M6" s="1883"/>
      <c r="N6" s="1883"/>
      <c r="O6" s="1883"/>
      <c r="P6" s="1883"/>
      <c r="Q6" s="1883"/>
      <c r="R6" s="1883"/>
      <c r="S6" s="1883"/>
      <c r="T6" s="1883"/>
      <c r="U6" s="1883"/>
      <c r="V6" s="1883"/>
    </row>
    <row r="7" spans="1:22" ht="14.25">
      <c r="A7" s="4247"/>
      <c r="B7" s="4248"/>
      <c r="C7" s="4258"/>
      <c r="D7" s="4259"/>
      <c r="E7" s="259" t="s">
        <v>305</v>
      </c>
      <c r="F7" s="260"/>
      <c r="G7" s="260"/>
      <c r="H7" s="260"/>
      <c r="I7" s="261"/>
      <c r="J7" s="1884"/>
      <c r="K7" s="1883"/>
      <c r="L7" s="1883"/>
      <c r="M7" s="1883"/>
      <c r="N7" s="1883"/>
      <c r="O7" s="1883"/>
      <c r="P7" s="1883"/>
      <c r="Q7" s="1883"/>
      <c r="R7" s="1883"/>
      <c r="S7" s="1883"/>
      <c r="T7" s="1883"/>
      <c r="U7" s="1883"/>
      <c r="V7" s="1883"/>
    </row>
    <row r="8" spans="1:22" ht="14.25">
      <c r="A8" s="4247" t="s">
        <v>306</v>
      </c>
      <c r="B8" s="4248">
        <v>15</v>
      </c>
      <c r="C8" s="4256"/>
      <c r="D8" s="4259"/>
      <c r="E8" s="259" t="s">
        <v>307</v>
      </c>
      <c r="F8" s="260"/>
      <c r="G8" s="260"/>
      <c r="H8" s="260"/>
      <c r="I8" s="261"/>
      <c r="J8" s="1884"/>
      <c r="K8" s="1883"/>
      <c r="L8" s="1883"/>
      <c r="M8" s="1883"/>
      <c r="N8" s="1883"/>
      <c r="O8" s="1883"/>
      <c r="P8" s="1883"/>
      <c r="Q8" s="1883"/>
      <c r="R8" s="1883"/>
      <c r="S8" s="1883"/>
      <c r="T8" s="1883"/>
      <c r="U8" s="1883"/>
      <c r="V8" s="1883"/>
    </row>
    <row r="9" spans="1:22" ht="14.25">
      <c r="A9" s="4247"/>
      <c r="B9" s="4248"/>
      <c r="C9" s="4258"/>
      <c r="D9" s="4259"/>
      <c r="E9" s="259" t="s">
        <v>308</v>
      </c>
      <c r="F9" s="260"/>
      <c r="G9" s="260"/>
      <c r="H9" s="260"/>
      <c r="I9" s="261"/>
      <c r="J9" s="1884"/>
      <c r="K9" s="1883"/>
      <c r="L9" s="1883"/>
      <c r="M9" s="1883"/>
      <c r="N9" s="1883"/>
      <c r="O9" s="1883"/>
      <c r="P9" s="1883"/>
      <c r="Q9" s="1883"/>
      <c r="R9" s="1883"/>
      <c r="S9" s="1883"/>
      <c r="T9" s="1883"/>
      <c r="U9" s="1883"/>
      <c r="V9" s="1883"/>
    </row>
    <row r="10" spans="1:22" ht="14.25">
      <c r="A10" s="4247" t="s">
        <v>309</v>
      </c>
      <c r="B10" s="4248">
        <v>15</v>
      </c>
      <c r="C10" s="4256"/>
      <c r="D10" s="4259"/>
      <c r="E10" s="259" t="s">
        <v>310</v>
      </c>
      <c r="F10" s="260"/>
      <c r="G10" s="260"/>
      <c r="H10" s="260"/>
      <c r="I10" s="261"/>
      <c r="J10" s="1884"/>
      <c r="K10" s="1883"/>
      <c r="L10" s="1883"/>
      <c r="M10" s="1883"/>
      <c r="N10" s="1883"/>
      <c r="O10" s="1883"/>
      <c r="P10" s="1883"/>
      <c r="Q10" s="1883"/>
      <c r="R10" s="1883"/>
      <c r="S10" s="1883"/>
      <c r="T10" s="1883"/>
      <c r="U10" s="1883"/>
      <c r="V10" s="1883"/>
    </row>
    <row r="11" spans="1:22" ht="14.25">
      <c r="A11" s="4247"/>
      <c r="B11" s="4248"/>
      <c r="C11" s="4258"/>
      <c r="D11" s="4259"/>
      <c r="E11" s="259" t="s">
        <v>311</v>
      </c>
      <c r="F11" s="260"/>
      <c r="G11" s="260"/>
      <c r="H11" s="260"/>
      <c r="I11" s="261"/>
      <c r="J11" s="1884"/>
      <c r="K11" s="1883"/>
      <c r="L11" s="1883"/>
      <c r="M11" s="1883"/>
      <c r="N11" s="1883"/>
      <c r="O11" s="1883"/>
      <c r="P11" s="1883"/>
      <c r="Q11" s="1883"/>
      <c r="R11" s="1883"/>
      <c r="S11" s="1883"/>
      <c r="T11" s="1883"/>
      <c r="U11" s="1883"/>
      <c r="V11" s="1883"/>
    </row>
    <row r="12" spans="1:22" ht="14.25">
      <c r="A12" s="4247" t="s">
        <v>312</v>
      </c>
      <c r="B12" s="4248">
        <v>15</v>
      </c>
      <c r="C12" s="4256"/>
      <c r="D12" s="4259"/>
      <c r="E12" s="259" t="s">
        <v>313</v>
      </c>
      <c r="F12" s="260"/>
      <c r="G12" s="260"/>
      <c r="H12" s="260"/>
      <c r="I12" s="261"/>
      <c r="J12" s="1884"/>
      <c r="K12" s="1883"/>
      <c r="L12" s="1883"/>
      <c r="M12" s="1883"/>
      <c r="N12" s="1883"/>
      <c r="O12" s="1883"/>
      <c r="P12" s="1883"/>
      <c r="Q12" s="1883"/>
      <c r="R12" s="1883"/>
      <c r="S12" s="1883"/>
      <c r="T12" s="1883"/>
      <c r="U12" s="1883"/>
      <c r="V12" s="1883"/>
    </row>
    <row r="13" spans="1:22" ht="14.25">
      <c r="A13" s="4247"/>
      <c r="B13" s="4248"/>
      <c r="C13" s="4258"/>
      <c r="D13" s="4259"/>
      <c r="E13" s="259" t="s">
        <v>314</v>
      </c>
      <c r="F13" s="260"/>
      <c r="G13" s="260"/>
      <c r="H13" s="260"/>
      <c r="I13" s="261"/>
      <c r="J13" s="1884"/>
      <c r="K13" s="1883"/>
      <c r="L13" s="1883"/>
      <c r="M13" s="1883"/>
      <c r="N13" s="1883"/>
      <c r="O13" s="1883"/>
      <c r="P13" s="1883"/>
      <c r="Q13" s="1883"/>
      <c r="R13" s="1883"/>
      <c r="S13" s="1883"/>
      <c r="T13" s="1883"/>
      <c r="U13" s="1883"/>
      <c r="V13" s="1883"/>
    </row>
    <row r="14" spans="1:22" ht="14.25">
      <c r="A14" s="4247" t="s">
        <v>315</v>
      </c>
      <c r="B14" s="4248">
        <v>30</v>
      </c>
      <c r="C14" s="4256"/>
      <c r="D14" s="4259"/>
      <c r="E14" s="259" t="s">
        <v>316</v>
      </c>
      <c r="F14" s="260"/>
      <c r="G14" s="260"/>
      <c r="H14" s="260"/>
      <c r="I14" s="261"/>
      <c r="J14" s="1884"/>
      <c r="K14" s="1883"/>
      <c r="L14" s="1883"/>
      <c r="M14" s="1883"/>
      <c r="N14" s="1883"/>
      <c r="O14" s="1883"/>
      <c r="P14" s="1883"/>
      <c r="Q14" s="1883"/>
      <c r="R14" s="1883"/>
      <c r="S14" s="1883"/>
      <c r="T14" s="1883"/>
      <c r="U14" s="1883"/>
      <c r="V14" s="1883"/>
    </row>
    <row r="15" spans="1:22" ht="14.25">
      <c r="A15" s="4247"/>
      <c r="B15" s="4248"/>
      <c r="C15" s="4257"/>
      <c r="D15" s="4259"/>
      <c r="E15" s="259" t="s">
        <v>317</v>
      </c>
      <c r="F15" s="260"/>
      <c r="G15" s="260"/>
      <c r="H15" s="260"/>
      <c r="I15" s="261"/>
      <c r="J15" s="1884"/>
      <c r="K15" s="1883"/>
      <c r="L15" s="1883"/>
      <c r="M15" s="1883"/>
      <c r="N15" s="1883"/>
      <c r="O15" s="1883"/>
      <c r="P15" s="1883"/>
      <c r="Q15" s="1883"/>
      <c r="R15" s="1883"/>
      <c r="S15" s="1883"/>
      <c r="T15" s="1883"/>
      <c r="U15" s="1883"/>
      <c r="V15" s="1883"/>
    </row>
    <row r="16" spans="1:22" ht="14.25">
      <c r="A16" s="4247"/>
      <c r="B16" s="4248"/>
      <c r="C16" s="4258"/>
      <c r="D16" s="4259"/>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3</v>
      </c>
      <c r="D17" s="263">
        <f>SUM(D5:D16)</f>
        <v>7</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f>ROUND(C17/SUM(C17:D17),2)</f>
        <v>0.3</v>
      </c>
      <c r="D18" s="265">
        <f>1-C18</f>
        <v>0.7</v>
      </c>
      <c r="E18" s="4261" t="s">
        <v>2930</v>
      </c>
      <c r="F18" s="4262"/>
      <c r="G18" s="4262"/>
      <c r="H18" s="4262"/>
      <c r="I18" s="4262"/>
      <c r="J18" s="1883"/>
      <c r="K18" s="1883"/>
      <c r="L18" s="1883"/>
      <c r="M18" s="1883"/>
      <c r="N18" s="1883"/>
      <c r="O18" s="1883"/>
      <c r="P18" s="1883"/>
      <c r="Q18" s="1883"/>
      <c r="R18" s="1883"/>
      <c r="S18" s="1883"/>
      <c r="T18" s="1883"/>
      <c r="U18" s="1883"/>
      <c r="V18" s="1883"/>
    </row>
    <row r="19" spans="1:26" ht="15">
      <c r="A19" s="266" t="s">
        <v>321</v>
      </c>
      <c r="B19" s="267" t="s">
        <v>322</v>
      </c>
      <c r="C19" s="268">
        <f ca="1">SUMIF(INDIRECT("'"&amp;C4&amp;"'"&amp;"!A:A"),结果表!B19,INDIRECT("'"&amp;C4&amp;"'"&amp;"!B:B"))</f>
        <v>12611</v>
      </c>
      <c r="D19" s="269">
        <f ca="1">SUMIF(INDIRECT("'"&amp;D4&amp;"'"&amp;"!A:A"),结果表!B19,INDIRECT("'"&amp;D4&amp;"'"&amp;"!B:B"))</f>
        <v>8285</v>
      </c>
      <c r="E19" s="266" t="s">
        <v>323</v>
      </c>
      <c r="F19" s="267" t="s">
        <v>322</v>
      </c>
      <c r="G19" s="270">
        <f ca="1">ROUND(C19*$C$18+D19*$D$18,0)</f>
        <v>9583</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f ca="1">SUMIF(INDIRECT("'"&amp;C4&amp;"'"&amp;"!A:A"),结果表!B20,INDIRECT("'"&amp;C4&amp;"'"&amp;"!B:B"))</f>
        <v>14089</v>
      </c>
      <c r="D20" s="275">
        <f ca="1">SUMIF(INDIRECT("'"&amp;D4&amp;"'"&amp;"!A:A"),结果表!B20,INDIRECT("'"&amp;D4&amp;"'"&amp;"!B:B"))</f>
        <v>9256</v>
      </c>
      <c r="E20" s="272"/>
      <c r="F20" s="273" t="s">
        <v>325</v>
      </c>
      <c r="G20" s="276">
        <f ca="1">ROUND(C20*$C$18+D20*$D$18,0)</f>
        <v>10706</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f ca="1">SUMIF(INDIRECT("'"&amp;C4&amp;"'"&amp;"!A:A"),结果表!B21,INDIRECT("'"&amp;C4&amp;"'"&amp;"!B:B"))</f>
        <v>35223</v>
      </c>
      <c r="D21" s="149">
        <f ca="1">SUMIF(INDIRECT("'"&amp;D4&amp;"'"&amp;"!A:A"),结果表!B21,INDIRECT("'"&amp;D4&amp;"'"&amp;"!B:B"))</f>
        <v>23141</v>
      </c>
      <c r="E21" s="272"/>
      <c r="F21" s="278" t="s">
        <v>327</v>
      </c>
      <c r="G21" s="280">
        <f ca="1">ROUND(C21*$C$18+D21*$D$18,0)</f>
        <v>26766</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f ca="1">IF(C19&lt;D19,D19/C19-1,C19/D19-1)</f>
        <v>0.52214846107423063</v>
      </c>
      <c r="E22" s="282"/>
      <c r="F22" s="283"/>
      <c r="G22" s="284">
        <f ca="1">ROUND(G19/('数据-汇总表'!D3/666.67),0)</f>
        <v>1784</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4220"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4267"/>
      <c r="B25" s="1257" t="s">
        <v>331</v>
      </c>
      <c r="C25" s="288">
        <f>IF(B30=0,0,C30)</f>
        <v>0</v>
      </c>
      <c r="D25" s="289"/>
      <c r="E25" s="309"/>
      <c r="F25" s="309"/>
      <c r="G25" s="309"/>
      <c r="H25" s="309"/>
      <c r="I25" s="309"/>
      <c r="J25" s="1883"/>
      <c r="K25" s="1191" t="str">
        <f ca="1">项目基本情况!B16&amp;"国有建设用地使用权价格："&amp;O38&amp;"万元"</f>
        <v>出让国有建设用地使用权价格：9583万元</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str">
        <f ca="1">"大写金额：人民币"&amp;NUMBERSTRING(INT(O38*10000),2)&amp;"元整"</f>
        <v>大写金额：人民币玖仟伍佰捌拾叁万元整</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str">
        <f ca="1">"单位面积地价："&amp;M38&amp;"元/平方米"</f>
        <v>单位面积地价：26766元/平方米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楼面地价：10706元/平方米</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4263" t="s">
        <v>2932</v>
      </c>
      <c r="B31" s="4263"/>
      <c r="C31" s="4263"/>
      <c r="D31" s="4263"/>
      <c r="E31" s="4263"/>
      <c r="F31" s="4263"/>
      <c r="G31" s="4263"/>
      <c r="H31" s="4263"/>
      <c r="I31" s="4263"/>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9.5" thickTop="1" thickBot="1">
      <c r="A32" s="272" t="s">
        <v>337</v>
      </c>
      <c r="B32" s="2970" t="s">
        <v>1663</v>
      </c>
      <c r="C32" s="264">
        <f ca="1">G19-C24</f>
        <v>9583</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75" thickBot="1">
      <c r="A33" s="296" t="s">
        <v>340</v>
      </c>
      <c r="B33" s="1307" t="s">
        <v>1665</v>
      </c>
      <c r="C33" s="262">
        <f ca="1">ROUND(C32*10000/'数据-汇总表'!E3,0)</f>
        <v>10706</v>
      </c>
      <c r="D33" s="1308" t="s">
        <v>1666</v>
      </c>
      <c r="E33" s="4220"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1667</v>
      </c>
      <c r="C34" s="262">
        <f ca="1">ROUND(C32*10000/'数据-汇总表'!D3,0)</f>
        <v>26766</v>
      </c>
      <c r="D34" s="1310" t="s">
        <v>1666</v>
      </c>
      <c r="E34" s="4221"/>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f ca="1">ROUND(C32/('数据-汇总表'!D3/666.67),0)</f>
        <v>1784</v>
      </c>
      <c r="D35" s="1313" t="s">
        <v>1668</v>
      </c>
      <c r="E35" s="4222"/>
      <c r="F35" s="299" t="s">
        <v>342</v>
      </c>
      <c r="G35" s="952"/>
      <c r="H35" s="951" t="s">
        <v>343</v>
      </c>
      <c r="I35" s="309"/>
      <c r="J35" s="1883"/>
      <c r="K35" s="4226" t="s">
        <v>350</v>
      </c>
      <c r="L35" s="4226" t="s">
        <v>351</v>
      </c>
      <c r="M35" s="1200" t="s">
        <v>352</v>
      </c>
      <c r="N35" s="4226" t="s">
        <v>353</v>
      </c>
      <c r="O35" s="4226" t="s">
        <v>354</v>
      </c>
      <c r="P35" s="1883"/>
      <c r="V35" s="1883"/>
    </row>
    <row r="36" spans="1:26" ht="16.5" customHeight="1">
      <c r="A36" s="301" t="s">
        <v>344</v>
      </c>
      <c r="B36" s="302" t="s">
        <v>333</v>
      </c>
      <c r="C36" s="303" t="s">
        <v>345</v>
      </c>
      <c r="D36" s="303" t="s">
        <v>346</v>
      </c>
      <c r="E36" s="304" t="s">
        <v>347</v>
      </c>
      <c r="F36" s="309"/>
      <c r="G36" s="309"/>
      <c r="H36" s="309"/>
      <c r="I36" s="309"/>
      <c r="J36" s="1885"/>
      <c r="K36" s="4227"/>
      <c r="L36" s="4227"/>
      <c r="M36" s="1202" t="s">
        <v>355</v>
      </c>
      <c r="N36" s="4227"/>
      <c r="O36" s="4227"/>
      <c r="P36" s="1883"/>
      <c r="V36" s="1883"/>
    </row>
    <row r="37" spans="1:26" ht="16.5" customHeight="1" thickBot="1">
      <c r="A37" s="1196" t="s">
        <v>348</v>
      </c>
      <c r="B37" s="305"/>
      <c r="C37" s="292"/>
      <c r="D37" s="292"/>
      <c r="E37" s="293"/>
      <c r="F37" s="309"/>
      <c r="G37" s="309"/>
      <c r="H37" s="309"/>
      <c r="I37" s="309"/>
      <c r="J37" s="1885"/>
      <c r="K37" s="4228"/>
      <c r="L37" s="4228"/>
      <c r="M37" s="1203"/>
      <c r="N37" s="4228"/>
      <c r="O37" s="4228"/>
      <c r="P37" s="1883"/>
      <c r="V37" s="1883"/>
    </row>
    <row r="38" spans="1:26" ht="16.5" customHeight="1" thickBot="1">
      <c r="A38" s="1196" t="s">
        <v>349</v>
      </c>
      <c r="B38" s="305"/>
      <c r="C38" s="292"/>
      <c r="D38" s="292"/>
      <c r="E38" s="293"/>
      <c r="F38" s="309"/>
      <c r="G38" s="309"/>
      <c r="H38" s="309"/>
      <c r="I38" s="309"/>
      <c r="J38" s="1885"/>
      <c r="K38" s="1204">
        <f>'数据-汇总表'!D3</f>
        <v>3580.29</v>
      </c>
      <c r="L38" s="1205">
        <f>'数据-汇总表'!E3</f>
        <v>8950.7250000000022</v>
      </c>
      <c r="M38" s="1205">
        <f ca="1">C34</f>
        <v>26766</v>
      </c>
      <c r="N38" s="1205">
        <f ca="1">C33</f>
        <v>10706</v>
      </c>
      <c r="O38" s="1206">
        <f ca="1">C32</f>
        <v>9583</v>
      </c>
      <c r="P38" s="1883"/>
      <c r="V38" s="1883"/>
    </row>
    <row r="39" spans="1:26" ht="16.5" customHeight="1" thickBot="1">
      <c r="A39" s="1201"/>
      <c r="B39" s="306"/>
      <c r="C39" s="307"/>
      <c r="D39" s="307"/>
      <c r="E39" s="308"/>
      <c r="F39" s="309"/>
      <c r="G39" s="309"/>
      <c r="H39" s="309"/>
      <c r="I39" s="309"/>
      <c r="J39" s="1885"/>
      <c r="K39" s="4239" t="str">
        <f>MID(A44,3,LEN(A44)-2)</f>
        <v/>
      </c>
      <c r="L39" s="4240"/>
      <c r="M39" s="4240"/>
      <c r="N39" s="4241"/>
      <c r="O39" s="1315" t="str">
        <f>C44</f>
        <v>——</v>
      </c>
      <c r="P39" s="1883"/>
      <c r="V39" s="1883"/>
    </row>
    <row r="40" spans="1:26" ht="19.5" thickBot="1">
      <c r="A40" s="104" t="s">
        <v>848</v>
      </c>
      <c r="B40" s="309"/>
      <c r="C40" s="309"/>
      <c r="D40" s="309"/>
      <c r="E40" s="309"/>
      <c r="F40" s="309"/>
      <c r="G40" s="309"/>
      <c r="H40" s="309"/>
      <c r="I40" s="309"/>
      <c r="J40" s="1885"/>
      <c r="K40" s="4239" t="str">
        <f t="shared" ref="K40:K41" si="0">MID(A45,3,LEN(A45)-2)</f>
        <v/>
      </c>
      <c r="L40" s="4240"/>
      <c r="M40" s="4240"/>
      <c r="N40" s="4241"/>
      <c r="O40" s="1315" t="str">
        <f>C45</f>
        <v>——</v>
      </c>
      <c r="P40" s="1883"/>
      <c r="V40" s="1883"/>
    </row>
    <row r="41" spans="1:26" ht="16.5" thickBot="1">
      <c r="A41" s="310" t="s">
        <v>356</v>
      </c>
      <c r="B41" s="311"/>
      <c r="C41" s="312" t="s">
        <v>357</v>
      </c>
      <c r="D41" s="313" t="s">
        <v>358</v>
      </c>
      <c r="E41" s="313" t="s">
        <v>359</v>
      </c>
      <c r="F41" s="314" t="s">
        <v>360</v>
      </c>
      <c r="G41" s="309"/>
      <c r="H41" s="309"/>
      <c r="I41" s="309"/>
      <c r="J41" s="1885"/>
      <c r="K41" s="4239" t="str">
        <f t="shared" si="0"/>
        <v/>
      </c>
      <c r="L41" s="4240"/>
      <c r="M41" s="4240"/>
      <c r="N41" s="4241"/>
      <c r="O41" s="1315" t="str">
        <f>C46</f>
        <v>——</v>
      </c>
      <c r="P41" s="1883"/>
      <c r="V41" s="1883"/>
    </row>
    <row r="42" spans="1:26" ht="29.25">
      <c r="A42" s="4268" t="s">
        <v>2034</v>
      </c>
      <c r="B42" s="4269"/>
      <c r="C42" s="262">
        <f ca="1">C32</f>
        <v>9583</v>
      </c>
      <c r="D42" s="315">
        <f ca="1">C33</f>
        <v>10706</v>
      </c>
      <c r="E42" s="315">
        <f ca="1">C34</f>
        <v>26766</v>
      </c>
      <c r="F42" s="316">
        <f ca="1">C35</f>
        <v>1784</v>
      </c>
      <c r="G42" s="309"/>
      <c r="H42" s="309"/>
      <c r="I42" s="317"/>
      <c r="J42" s="1885"/>
      <c r="K42" s="1207" t="s">
        <v>361</v>
      </c>
      <c r="L42" s="1902" t="s">
        <v>362</v>
      </c>
      <c r="M42" s="1208" t="s">
        <v>363</v>
      </c>
      <c r="N42" s="1903" t="s">
        <v>364</v>
      </c>
      <c r="O42" s="1904" t="s">
        <v>365</v>
      </c>
      <c r="P42" s="1883"/>
      <c r="V42" s="1883"/>
    </row>
    <row r="43" spans="1:26" ht="18">
      <c r="A43" s="4278" t="s">
        <v>2683</v>
      </c>
      <c r="B43" s="4279"/>
      <c r="C43" s="262">
        <f>IF(H33="正常操作",G33+G34+G35,G34+G35)</f>
        <v>0</v>
      </c>
      <c r="D43" s="315" t="s">
        <v>43</v>
      </c>
      <c r="E43" s="315" t="s">
        <v>44</v>
      </c>
      <c r="F43" s="316" t="s">
        <v>44</v>
      </c>
      <c r="G43" s="2551" t="s">
        <v>927</v>
      </c>
      <c r="H43" s="309"/>
      <c r="I43" s="317"/>
      <c r="J43" s="1885"/>
      <c r="K43" s="1209" t="str">
        <f>C4</f>
        <v>基准地价</v>
      </c>
      <c r="L43" s="1210">
        <f ca="1">IF(L42="估价结果/万元",C19,C20)</f>
        <v>12611</v>
      </c>
      <c r="M43" s="1211">
        <f>C18</f>
        <v>0.3</v>
      </c>
      <c r="N43" s="1212">
        <f ca="1">IF(N42="测算结果/万元",G19,G20)</f>
        <v>9583</v>
      </c>
      <c r="O43" s="1213">
        <f ca="1">IF(O42="最终结果/万元",C32,C33)</f>
        <v>9583</v>
      </c>
      <c r="P43" s="1883"/>
      <c r="V43" s="1883"/>
    </row>
    <row r="44" spans="1:26" ht="30.75" thickBot="1">
      <c r="A44" s="4268" t="str">
        <f>IF(OR(项目基本情况!E8="抵押价格",项目基本情况!E8="已注销及未注销"),"3.抵押价格","——")</f>
        <v>——</v>
      </c>
      <c r="B44" s="4269"/>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剩余法-待开发</v>
      </c>
      <c r="L44" s="1215">
        <f ca="1">IF(L42="估价结果/万元",D19,D20)</f>
        <v>8285</v>
      </c>
      <c r="M44" s="1216">
        <f>D18</f>
        <v>0.7</v>
      </c>
      <c r="N44" s="1217"/>
      <c r="O44" s="1218"/>
      <c r="P44" s="1883"/>
      <c r="V44" s="1883"/>
    </row>
    <row r="45" spans="1:26" ht="15">
      <c r="A45" s="4273" t="str">
        <f>IF(项目基本情况!E8="已注销及未注销","4.抵押担保权已注销时的抵押价格",IF(项目基本情况!E8="已注销","3.抵押担保权已注销时的抵押价格","——"))</f>
        <v>——</v>
      </c>
      <c r="B45" s="4274"/>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4270" t="str">
        <f>IF(项目基本情况!E9="抵押净值",IF(A45="——","4.抵押净值","5.抵押净值"),"——")</f>
        <v>——</v>
      </c>
      <c r="B46" s="4271"/>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4231" t="s">
        <v>374</v>
      </c>
      <c r="B63" s="4232"/>
      <c r="C63" s="4233"/>
      <c r="D63" s="339">
        <f ca="1">ROUND(C42*F63,0)</f>
        <v>9583</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4275" t="s">
        <v>378</v>
      </c>
      <c r="B64" s="4276"/>
      <c r="C64" s="4276"/>
      <c r="D64" s="4276"/>
      <c r="E64" s="4276"/>
      <c r="F64" s="4276"/>
      <c r="G64" s="4277"/>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4272" t="s">
        <v>386</v>
      </c>
      <c r="B66" s="4238"/>
      <c r="C66" s="4238"/>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89"/>
      <c r="K66" s="1227">
        <v>1</v>
      </c>
      <c r="L66" s="4199" t="s">
        <v>385</v>
      </c>
      <c r="M66" s="4200"/>
      <c r="N66" s="2283"/>
      <c r="O66" s="2284"/>
      <c r="P66" s="2285"/>
      <c r="Q66" s="1883"/>
      <c r="R66" s="1883"/>
      <c r="S66" s="1883"/>
      <c r="T66" s="1883"/>
      <c r="U66" s="1883"/>
      <c r="V66" s="1883"/>
    </row>
    <row r="67" spans="1:22" ht="25.5" customHeight="1">
      <c r="A67" s="350" t="s">
        <v>389</v>
      </c>
      <c r="B67" s="4250" t="s">
        <v>390</v>
      </c>
      <c r="C67" s="4250"/>
      <c r="D67" s="351">
        <v>0</v>
      </c>
      <c r="E67" s="41" t="s">
        <v>391</v>
      </c>
      <c r="F67" s="62" t="s">
        <v>21</v>
      </c>
      <c r="G67" s="4234"/>
      <c r="H67" s="2972" t="s">
        <v>2933</v>
      </c>
      <c r="I67" s="2974"/>
      <c r="J67" s="1890"/>
      <c r="K67" s="1862">
        <v>2</v>
      </c>
      <c r="L67" s="4204" t="s">
        <v>388</v>
      </c>
      <c r="M67" s="4204"/>
      <c r="N67" s="1261">
        <f>'数据-取费表'!B2</f>
        <v>44550</v>
      </c>
      <c r="O67" s="1261"/>
      <c r="P67" s="1261"/>
      <c r="Q67" s="1883"/>
      <c r="R67" s="1883"/>
      <c r="S67" s="1883"/>
      <c r="T67" s="1883"/>
      <c r="U67" s="1883"/>
      <c r="V67" s="1883"/>
    </row>
    <row r="68" spans="1:22" ht="25.5" customHeight="1">
      <c r="A68" s="352"/>
      <c r="B68" s="4250" t="s">
        <v>393</v>
      </c>
      <c r="C68" s="4250"/>
      <c r="D68" s="353"/>
      <c r="E68" s="77"/>
      <c r="F68" s="354"/>
      <c r="G68" s="4235"/>
      <c r="H68" s="2973" t="s">
        <v>2934</v>
      </c>
      <c r="I68" s="2974"/>
      <c r="J68" s="1890"/>
      <c r="K68" s="1862">
        <v>3</v>
      </c>
      <c r="L68" s="4204" t="s">
        <v>392</v>
      </c>
      <c r="M68" s="4204"/>
      <c r="N68" s="1229">
        <f ca="1">C42</f>
        <v>9583</v>
      </c>
      <c r="O68" s="1229"/>
      <c r="P68" s="1229"/>
      <c r="Q68" s="1883"/>
      <c r="R68" s="1883"/>
      <c r="S68" s="1883"/>
      <c r="T68" s="1883"/>
      <c r="U68" s="1883"/>
      <c r="V68" s="1883"/>
    </row>
    <row r="69" spans="1:22" ht="23.45" customHeight="1">
      <c r="A69" s="355"/>
      <c r="B69" s="4250" t="s">
        <v>394</v>
      </c>
      <c r="C69" s="4250"/>
      <c r="D69" s="356"/>
      <c r="E69" s="73"/>
      <c r="F69" s="354"/>
      <c r="G69" s="4236"/>
      <c r="H69" s="2973" t="s">
        <v>2935</v>
      </c>
      <c r="I69" s="2974"/>
      <c r="J69" s="1890"/>
      <c r="K69" s="1230">
        <v>4</v>
      </c>
      <c r="L69" s="4205" t="s">
        <v>2832</v>
      </c>
      <c r="M69" s="4206"/>
      <c r="N69" s="1231" t="str">
        <f>C44</f>
        <v>——</v>
      </c>
      <c r="O69" s="1231"/>
      <c r="P69" s="1231"/>
      <c r="Q69" s="1883"/>
      <c r="R69" s="1883"/>
      <c r="S69" s="1883"/>
      <c r="T69" s="1883"/>
      <c r="U69" s="1883"/>
      <c r="V69" s="1883"/>
    </row>
    <row r="70" spans="1:22" ht="24" customHeight="1">
      <c r="A70" s="357" t="s">
        <v>395</v>
      </c>
      <c r="B70" s="4250" t="s">
        <v>396</v>
      </c>
      <c r="C70" s="4250"/>
      <c r="D70" s="356">
        <f ca="1">ROUND(D63*'数据-取费表'!B41/(1+'数据-取费表'!C42),0)</f>
        <v>511</v>
      </c>
      <c r="E70" s="17" t="s">
        <v>397</v>
      </c>
      <c r="F70" s="358">
        <f>'数据-取费表'!B41</f>
        <v>5.6000000000000001E-2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4249" t="s">
        <v>2964</v>
      </c>
      <c r="C71" s="4266"/>
      <c r="D71" s="356">
        <f ca="1">ROUND(D63*'数据-取费表'!B41/(1+'数据-取费表'!C42),0)</f>
        <v>511</v>
      </c>
      <c r="E71" s="17" t="s">
        <v>397</v>
      </c>
      <c r="F71" s="358">
        <f>'数据-取费表'!B41</f>
        <v>5.6000000000000001E-2</v>
      </c>
      <c r="G71" s="359"/>
      <c r="H71" s="309"/>
      <c r="I71" s="1228"/>
      <c r="J71" s="1890"/>
      <c r="K71" s="2730" t="s">
        <v>398</v>
      </c>
      <c r="L71" s="4207" t="s">
        <v>399</v>
      </c>
      <c r="M71" s="4207"/>
      <c r="N71" s="2730" t="s">
        <v>400</v>
      </c>
      <c r="O71" s="2730" t="s">
        <v>401</v>
      </c>
      <c r="P71" s="2730" t="s">
        <v>402</v>
      </c>
      <c r="Q71" s="1883"/>
      <c r="R71" s="1883"/>
      <c r="S71" s="1883"/>
      <c r="T71" s="1883"/>
      <c r="U71" s="1883"/>
      <c r="V71" s="1883"/>
    </row>
    <row r="72" spans="1:22" ht="12" customHeight="1">
      <c r="A72" s="357" t="s">
        <v>405</v>
      </c>
      <c r="B72" s="4249" t="s">
        <v>2965</v>
      </c>
      <c r="C72" s="4266"/>
      <c r="D72" s="356">
        <f ca="1">C86</f>
        <v>511</v>
      </c>
      <c r="E72" s="73" t="s">
        <v>406</v>
      </c>
      <c r="F72" s="358">
        <f>'数据-取费表'!B41</f>
        <v>5.6000000000000001E-2</v>
      </c>
      <c r="G72" s="359"/>
      <c r="H72" s="1234"/>
      <c r="I72" s="1228"/>
      <c r="J72" s="1890"/>
      <c r="K72" s="1862">
        <v>1</v>
      </c>
      <c r="L72" s="4203" t="s">
        <v>404</v>
      </c>
      <c r="M72" s="4203"/>
      <c r="N72" s="1232" t="b">
        <f>D66</f>
        <v>0</v>
      </c>
      <c r="O72" s="1746" t="str">
        <f>E66</f>
        <v>销售额×税（费）率</v>
      </c>
      <c r="P72" s="1233">
        <f>F66</f>
        <v>5.6000000000000001E-2</v>
      </c>
      <c r="Q72" s="1883"/>
      <c r="R72" s="1883"/>
      <c r="S72" s="1883"/>
      <c r="T72" s="1883"/>
      <c r="U72" s="1883"/>
      <c r="V72" s="1883"/>
    </row>
    <row r="73" spans="1:22" ht="24" customHeight="1">
      <c r="A73" s="4237" t="s">
        <v>408</v>
      </c>
      <c r="B73" s="4238"/>
      <c r="C73" s="4238"/>
      <c r="D73" s="360">
        <f ca="1">IF(H73="个人住宅",0,ROUND(D63*I73,0))</f>
        <v>5</v>
      </c>
      <c r="E73" s="17" t="s">
        <v>409</v>
      </c>
      <c r="F73" s="358" t="str">
        <f>IF(H73="正常",I73,"免征")</f>
        <v>免征</v>
      </c>
      <c r="G73" s="359"/>
      <c r="H73" s="189"/>
      <c r="I73" s="358">
        <f>'数据-取费表'!B49</f>
        <v>5.0000000000000001E-4</v>
      </c>
      <c r="J73" s="1890"/>
      <c r="K73" s="1862">
        <v>2</v>
      </c>
      <c r="L73" s="4203" t="s">
        <v>407</v>
      </c>
      <c r="M73" s="4203"/>
      <c r="N73" s="1232">
        <f t="shared" ref="N73:P74" ca="1" si="1">D73</f>
        <v>5</v>
      </c>
      <c r="O73" s="1746" t="str">
        <f t="shared" si="1"/>
        <v>销售额×税（费）率</v>
      </c>
      <c r="P73" s="1233" t="str">
        <f t="shared" si="1"/>
        <v>免征</v>
      </c>
      <c r="Q73" s="1883"/>
      <c r="R73" s="1883"/>
      <c r="S73" s="1883"/>
      <c r="T73" s="1883"/>
      <c r="U73" s="1883"/>
      <c r="V73" s="1883"/>
    </row>
    <row r="74" spans="1:22" ht="24.75">
      <c r="A74" s="4237" t="s">
        <v>411</v>
      </c>
      <c r="B74" s="4238"/>
      <c r="C74" s="4238"/>
      <c r="D74" s="360">
        <f ca="1">IF(H74="个人住宅",D75,D76)</f>
        <v>5424</v>
      </c>
      <c r="E74" s="17" t="s">
        <v>412</v>
      </c>
      <c r="F74" s="358" t="str">
        <f>IF(H74="正常",F76,"免征")</f>
        <v>免征</v>
      </c>
      <c r="G74" s="953" t="s">
        <v>413</v>
      </c>
      <c r="H74" s="361"/>
      <c r="I74" s="42"/>
      <c r="J74" s="1890"/>
      <c r="K74" s="1862">
        <v>3</v>
      </c>
      <c r="L74" s="4203" t="s">
        <v>410</v>
      </c>
      <c r="M74" s="4203"/>
      <c r="N74" s="1232">
        <f t="shared" ca="1" si="1"/>
        <v>5424</v>
      </c>
      <c r="O74" s="1746" t="str">
        <f t="shared" si="1"/>
        <v>增值额×税（费）率</v>
      </c>
      <c r="P74" s="1235" t="str">
        <f t="shared" si="1"/>
        <v>免征</v>
      </c>
      <c r="Q74" s="1883"/>
      <c r="R74" s="1883"/>
      <c r="S74" s="1883"/>
      <c r="T74" s="1883"/>
      <c r="U74" s="1883"/>
      <c r="V74" s="1883"/>
    </row>
    <row r="75" spans="1:22" ht="12.75">
      <c r="A75" s="357" t="s">
        <v>414</v>
      </c>
      <c r="B75" s="4218" t="s">
        <v>415</v>
      </c>
      <c r="C75" s="4219"/>
      <c r="D75" s="362">
        <v>0</v>
      </c>
      <c r="E75" s="41" t="s">
        <v>416</v>
      </c>
      <c r="F75" s="363"/>
      <c r="G75" s="359"/>
      <c r="H75" s="42"/>
      <c r="I75" s="42"/>
      <c r="J75" s="1890"/>
      <c r="K75" s="2724">
        <f>IF(H77="非个人房产","",4)</f>
        <v>4</v>
      </c>
      <c r="L75" s="4203" t="str">
        <f>IF(H77="非个人房产","——","个人所得税")</f>
        <v>个人所得税</v>
      </c>
      <c r="M75" s="4203"/>
      <c r="N75" s="1236">
        <f>D77</f>
        <v>0</v>
      </c>
      <c r="O75" s="1759" t="str">
        <f>E77</f>
        <v>差额计税</v>
      </c>
      <c r="P75" s="1237">
        <f>F77</f>
        <v>0.01</v>
      </c>
      <c r="Q75" s="1883"/>
      <c r="R75" s="1883"/>
      <c r="S75" s="1883"/>
      <c r="T75" s="1883"/>
      <c r="U75" s="1883"/>
      <c r="V75" s="1883"/>
    </row>
    <row r="76" spans="1:22" ht="24.75">
      <c r="A76" s="357" t="s">
        <v>395</v>
      </c>
      <c r="B76" s="4218" t="s">
        <v>418</v>
      </c>
      <c r="C76" s="4260"/>
      <c r="D76" s="360">
        <f ca="1">IF(H76="转让取得",C99,C115)</f>
        <v>5424</v>
      </c>
      <c r="E76" s="17" t="s">
        <v>419</v>
      </c>
      <c r="F76" s="53" t="s">
        <v>21</v>
      </c>
      <c r="G76" s="359"/>
      <c r="H76" s="361"/>
      <c r="I76" s="42"/>
      <c r="J76" s="1890"/>
      <c r="K76" s="2724" t="str">
        <f>IF(项目基本情况!K6="上海银行",IF(K75="",4,K75+1),"")</f>
        <v/>
      </c>
      <c r="L76" s="4214" t="str">
        <f>IF(项目基本情况!K6="上海银行","其他处置费用","")</f>
        <v/>
      </c>
      <c r="M76" s="4215"/>
      <c r="N76" s="1232" t="str">
        <f>IF(项目基本情况!K6="上海银行",N89,"")</f>
        <v/>
      </c>
      <c r="O76" s="4216" t="str">
        <f>IF(项目基本情况!K6="上海银行","包含处置中涉及的律师、诉讼、拍卖、评估等费用","")</f>
        <v/>
      </c>
      <c r="P76" s="4217"/>
      <c r="Q76" s="1883"/>
      <c r="R76" s="1883"/>
      <c r="S76" s="1883"/>
      <c r="T76" s="1883"/>
      <c r="U76" s="1883"/>
      <c r="V76" s="1883"/>
    </row>
    <row r="77" spans="1:22" ht="24.75" thickBot="1">
      <c r="A77" s="4229" t="s">
        <v>421</v>
      </c>
      <c r="B77" s="4230"/>
      <c r="C77" s="4230"/>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4225">
        <f>IF(AND(K75="",K76=""),4,IF(项目基本情况!K6="上海银行",K76+1,K75+1))</f>
        <v>5</v>
      </c>
      <c r="L77" s="4203" t="s">
        <v>2833</v>
      </c>
      <c r="M77" s="2729" t="s">
        <v>417</v>
      </c>
      <c r="N77" s="1238"/>
      <c r="O77" s="1239">
        <f ca="1">SUMIF(N72:N76,"&lt;9e307")</f>
        <v>5429</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4225"/>
      <c r="L78" s="4203"/>
      <c r="M78" s="2729" t="s">
        <v>420</v>
      </c>
      <c r="N78" s="1238"/>
      <c r="O78" s="1239" t="str">
        <f ca="1">NUMBERSTRING(INT(O77*10000),2)&amp;"元整"</f>
        <v>伍仟肆佰贰拾玖万元整</v>
      </c>
      <c r="P78" s="1240"/>
      <c r="Q78" s="1883"/>
      <c r="R78" s="1883"/>
      <c r="S78" s="1883"/>
      <c r="T78" s="1883"/>
      <c r="U78" s="1883"/>
      <c r="V78" s="1883"/>
    </row>
    <row r="79" spans="1:22" ht="13.5" thickBot="1">
      <c r="A79" s="4280" t="s">
        <v>422</v>
      </c>
      <c r="B79" s="4280"/>
      <c r="C79" s="4280"/>
      <c r="D79" s="4280"/>
      <c r="E79" s="4280"/>
      <c r="F79" s="42"/>
      <c r="G79" s="42"/>
      <c r="H79" s="973"/>
      <c r="I79" s="309"/>
      <c r="J79" s="1890"/>
      <c r="K79" s="4201">
        <f>K77+1</f>
        <v>6</v>
      </c>
      <c r="L79" s="4203" t="s">
        <v>2834</v>
      </c>
      <c r="M79" s="2729" t="s">
        <v>417</v>
      </c>
      <c r="N79" s="1238"/>
      <c r="O79" s="1239" t="e">
        <f ca="1">N69-O77</f>
        <v>#VALUE!</v>
      </c>
      <c r="P79" s="1240"/>
      <c r="Q79" s="1883"/>
      <c r="R79" s="1883"/>
      <c r="S79" s="1883"/>
      <c r="T79" s="1883"/>
      <c r="U79" s="1883"/>
      <c r="V79" s="1883"/>
    </row>
    <row r="80" spans="1:22" ht="12.75">
      <c r="A80" s="4211" t="s">
        <v>423</v>
      </c>
      <c r="B80" s="4212"/>
      <c r="C80" s="964"/>
      <c r="D80" s="964" t="s">
        <v>424</v>
      </c>
      <c r="E80" s="364" t="s">
        <v>425</v>
      </c>
      <c r="F80" s="42"/>
      <c r="G80" s="42"/>
      <c r="H80" s="973"/>
      <c r="I80" s="309"/>
      <c r="J80" s="1883"/>
      <c r="K80" s="4202"/>
      <c r="L80" s="4203"/>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9127</v>
      </c>
      <c r="D81" s="367"/>
      <c r="E81" s="368"/>
      <c r="F81" s="42"/>
      <c r="G81" s="42"/>
      <c r="H81" s="973"/>
      <c r="I81" s="309"/>
      <c r="J81" s="1883"/>
      <c r="K81" s="2724">
        <f>K79+1</f>
        <v>7</v>
      </c>
      <c r="L81" s="4223" t="s">
        <v>2835</v>
      </c>
      <c r="M81" s="4224"/>
      <c r="N81" s="1242"/>
      <c r="O81" s="1243" t="e">
        <f ca="1">ROUND(O79*10000/'数据-汇总表'!E3,0)</f>
        <v>#VALUE!</v>
      </c>
      <c r="P81" s="1244"/>
      <c r="Q81" s="1883"/>
      <c r="R81" s="1883"/>
      <c r="S81" s="1883"/>
      <c r="T81" s="1883"/>
      <c r="U81" s="1883"/>
      <c r="V81" s="1883"/>
    </row>
    <row r="82" spans="1:26" ht="13.5" thickTop="1">
      <c r="A82" s="369" t="s">
        <v>1799</v>
      </c>
      <c r="B82" s="370" t="s">
        <v>427</v>
      </c>
      <c r="C82" s="371">
        <f ca="1">D63</f>
        <v>9583</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1800</v>
      </c>
      <c r="B83" s="370" t="s">
        <v>428</v>
      </c>
      <c r="C83" s="374"/>
      <c r="D83" s="372"/>
      <c r="E83" s="373"/>
      <c r="F83" s="42"/>
      <c r="G83" s="42"/>
      <c r="H83" s="973"/>
      <c r="I83" s="309"/>
      <c r="J83" s="1883"/>
      <c r="K83" s="4213"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1801</v>
      </c>
      <c r="B84" s="376" t="s">
        <v>429</v>
      </c>
      <c r="C84" s="377"/>
      <c r="D84" s="378" t="s">
        <v>19</v>
      </c>
      <c r="E84" s="2753" t="s">
        <v>2878</v>
      </c>
      <c r="F84" s="42"/>
      <c r="G84" s="42"/>
      <c r="H84" s="973"/>
      <c r="I84" s="309"/>
      <c r="J84" s="1883"/>
      <c r="K84" s="4213"/>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2.75">
      <c r="A85" s="375" t="s">
        <v>1802</v>
      </c>
      <c r="B85" s="376" t="s">
        <v>430</v>
      </c>
      <c r="C85" s="379">
        <f ca="1">C81-C84</f>
        <v>9127</v>
      </c>
      <c r="D85" s="372" t="s">
        <v>19</v>
      </c>
      <c r="E85" s="373"/>
      <c r="F85" s="42"/>
      <c r="G85" s="42"/>
      <c r="H85" s="973"/>
      <c r="I85" s="309"/>
      <c r="J85" s="1883"/>
      <c r="K85" s="4213"/>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f ca="1">IF(C85&lt;=0,0,ROUND(C85*D86,0))</f>
        <v>511</v>
      </c>
      <c r="D86" s="383">
        <f>'数据-取费表'!B41</f>
        <v>5.6000000000000001E-2</v>
      </c>
      <c r="E86" s="384"/>
      <c r="F86" s="42"/>
      <c r="G86" s="42"/>
      <c r="H86" s="973"/>
      <c r="I86" s="309"/>
      <c r="J86" s="1883"/>
      <c r="K86" s="4213"/>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4213"/>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4252" t="s">
        <v>432</v>
      </c>
      <c r="B88" s="4253"/>
      <c r="C88" s="4253"/>
      <c r="D88" s="4253"/>
      <c r="E88" s="4253"/>
      <c r="F88" s="4253"/>
      <c r="G88" s="4253"/>
      <c r="H88" s="4253"/>
      <c r="I88" s="1251"/>
      <c r="J88" s="1891"/>
      <c r="K88" s="4213"/>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4211" t="s">
        <v>423</v>
      </c>
      <c r="B89" s="4212"/>
      <c r="C89" s="964"/>
      <c r="D89" s="964" t="s">
        <v>424</v>
      </c>
      <c r="E89" s="385" t="s">
        <v>433</v>
      </c>
      <c r="F89" s="386"/>
      <c r="G89" s="386"/>
      <c r="H89" s="387"/>
      <c r="I89" s="1252"/>
      <c r="J89" s="1893"/>
      <c r="K89" s="4213"/>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1798</v>
      </c>
      <c r="B90" s="376" t="s">
        <v>434</v>
      </c>
      <c r="C90" s="379">
        <f ca="1">ROUND(D63/(1+'数据-取费表'!C42),0)</f>
        <v>9127</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1804</v>
      </c>
      <c r="B91" s="346" t="s">
        <v>435</v>
      </c>
      <c r="C91" s="379">
        <f ca="1">C92+C96</f>
        <v>55</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4249" t="s">
        <v>441</v>
      </c>
      <c r="F94" s="4250"/>
      <c r="G94" s="4250"/>
      <c r="H94" s="4251"/>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55</v>
      </c>
      <c r="D96" s="400">
        <f>'数据-取费表'!B43</f>
        <v>6.000000000000001E-3</v>
      </c>
      <c r="E96" s="4208" t="s">
        <v>2390</v>
      </c>
      <c r="F96" s="4209"/>
      <c r="G96" s="4209"/>
      <c r="H96" s="4210"/>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1810</v>
      </c>
      <c r="B97" s="376" t="s">
        <v>445</v>
      </c>
      <c r="C97" s="379">
        <f ca="1">C90-C91</f>
        <v>9072</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1811</v>
      </c>
      <c r="B98" s="376" t="s">
        <v>446</v>
      </c>
      <c r="C98" s="401">
        <f ca="1">IF(C97&lt;=0,0,C97/C91)</f>
        <v>164.94545454545454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1812</v>
      </c>
      <c r="B99" s="381" t="s">
        <v>447</v>
      </c>
      <c r="C99" s="402">
        <f ca="1">ROUND(IF(C97&lt;=0,0,IF(C98&gt;=200%,C97*60%-C91*35%,IF(C98&gt;=100%,C97*50%-C91*15%,IF(C98&gt;=50%,C97*40%-C91*5%,IF(C98&lt;50%,C97*30%,0))))),0)</f>
        <v>5424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4252" t="s">
        <v>448</v>
      </c>
      <c r="B101" s="4253"/>
      <c r="C101" s="4253"/>
      <c r="D101" s="4253"/>
      <c r="E101" s="4253"/>
      <c r="F101" s="4253"/>
      <c r="G101" s="4253"/>
      <c r="H101" s="4253"/>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4211" t="s">
        <v>423</v>
      </c>
      <c r="B102" s="4212"/>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1798</v>
      </c>
      <c r="B103" s="376" t="s">
        <v>434</v>
      </c>
      <c r="C103" s="379">
        <f ca="1">ROUND(D63/(1+'数据-取费表'!C42),0)</f>
        <v>9127</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1804</v>
      </c>
      <c r="B104" s="346" t="s">
        <v>435</v>
      </c>
      <c r="C104" s="379">
        <f ca="1">IF(H106="仅含出让金",C105+C108+C109+C110+C111+C112,C105+C109+C110+C111+C112)</f>
        <v>55</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1809</v>
      </c>
      <c r="B108" s="370" t="s">
        <v>454</v>
      </c>
      <c r="C108" s="410"/>
      <c r="D108" s="400"/>
      <c r="E108" s="411" t="str">
        <f>IF(H106="-","土地取得成本中已包含该笔费用"," ")</f>
        <v xml:space="preserve"> </v>
      </c>
      <c r="F108" s="956"/>
      <c r="G108" s="4264" t="s">
        <v>2928</v>
      </c>
      <c r="H108" s="4265"/>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4242" t="s">
        <v>456</v>
      </c>
      <c r="F109" s="4209"/>
      <c r="G109" s="4209"/>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4242" t="s">
        <v>458</v>
      </c>
      <c r="F110" s="4209"/>
      <c r="G110" s="4209"/>
      <c r="H110" s="4210"/>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55</v>
      </c>
      <c r="D111" s="400">
        <f>'数据-取费表'!B43</f>
        <v>6.000000000000001E-3</v>
      </c>
      <c r="E111" s="4208" t="s">
        <v>2390</v>
      </c>
      <c r="F111" s="4209"/>
      <c r="G111" s="4209"/>
      <c r="H111" s="4210"/>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4242" t="s">
        <v>2408</v>
      </c>
      <c r="F112" s="4209"/>
      <c r="G112" s="4209"/>
      <c r="H112" s="4210"/>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1810</v>
      </c>
      <c r="B113" s="376" t="s">
        <v>445</v>
      </c>
      <c r="C113" s="379">
        <f ca="1">ROUND(C103-C104,0)</f>
        <v>9072</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1811</v>
      </c>
      <c r="B114" s="376" t="s">
        <v>446</v>
      </c>
      <c r="C114" s="401">
        <f ca="1">IF(C113&lt;=0,0,C113/C104)</f>
        <v>164.94545454545454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1812</v>
      </c>
      <c r="B115" s="381" t="s">
        <v>447</v>
      </c>
      <c r="C115" s="402">
        <f ca="1">ROUND(IF(C113&lt;=0,0,IF(C114&gt;=200%,C113*60%-C104*35%,IF(C114&gt;=100%,C113*50%-C104*15%,IF(C114&gt;=50%,C113*40%-C104*5%,IF(C114&lt;50%,C113*30%,0))))),0)</f>
        <v>5424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108">
    <cfRule type="expression" dxfId="200" priority="3" stopIfTrue="1">
      <formula>$H$106&lt;&gt;"仅含出让金"</formula>
    </cfRule>
  </conditionalFormatting>
  <conditionalFormatting sqref="C109">
    <cfRule type="expression" dxfId="199" priority="2" stopIfTrue="1">
      <formula>$H$109="由企业提供"</formula>
    </cfRule>
  </conditionalFormatting>
  <conditionalFormatting sqref="I33">
    <cfRule type="expression" dxfId="19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G20" sqref="G20"/>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c r="C1" s="1958"/>
      <c r="D1" s="1958"/>
      <c r="E1" s="1958"/>
      <c r="F1" s="1958"/>
      <c r="G1" s="1958"/>
      <c r="H1" s="1958"/>
      <c r="I1" s="1958"/>
      <c r="J1" s="1958"/>
      <c r="K1" s="416">
        <f>MATCH(B1,'数据-取费表'!A6:A16,0)+5</f>
        <v>7</v>
      </c>
      <c r="L1" s="290"/>
      <c r="M1" s="290"/>
      <c r="N1" s="290"/>
      <c r="O1" s="290"/>
      <c r="P1" s="290"/>
      <c r="Q1" s="290"/>
      <c r="R1" s="290"/>
      <c r="S1" s="290"/>
      <c r="T1" s="290"/>
      <c r="U1" s="290"/>
      <c r="V1" s="290"/>
      <c r="W1" s="290"/>
      <c r="X1" s="290"/>
      <c r="Y1" s="290"/>
      <c r="Z1" s="290"/>
    </row>
    <row r="2" spans="1:31" s="1896" customFormat="1" ht="18" customHeight="1">
      <c r="A2" s="1955" t="s">
        <v>461</v>
      </c>
      <c r="B2" s="1959">
        <f ca="1">C36</f>
        <v>8285</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9256</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23141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1543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 ca="1">SUM(C10:K10)</f>
        <v>17959.629712500002</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5">
      <c r="A7" s="2517" t="s">
        <v>464</v>
      </c>
      <c r="B7" s="2518" t="s">
        <v>465</v>
      </c>
      <c r="C7" s="430" t="s">
        <v>3126</v>
      </c>
      <c r="D7" s="430"/>
      <c r="E7" s="430"/>
      <c r="F7" s="430"/>
      <c r="G7" s="430"/>
      <c r="H7" s="430"/>
      <c r="I7" s="430"/>
      <c r="J7" s="430"/>
      <c r="K7" s="431"/>
      <c r="AA7" s="1966"/>
      <c r="AB7" s="1966"/>
      <c r="AC7" s="1966"/>
      <c r="AD7" s="1966"/>
      <c r="AE7" s="1966"/>
    </row>
    <row r="8" spans="1:31" s="1969" customFormat="1" ht="13.5" customHeight="1">
      <c r="A8" s="775" t="s">
        <v>1820</v>
      </c>
      <c r="B8" s="259" t="s">
        <v>466</v>
      </c>
      <c r="C8" s="2519">
        <f ca="1">'不动产收益法-商业'!B3</f>
        <v>20065</v>
      </c>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8950.7250000000022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f ca="1">'剩余法-待开发'!C8*'剩余法-待开发'!C9/10000</f>
        <v>17959.629712500002</v>
      </c>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3580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107</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179</v>
      </c>
      <c r="D16" s="2529">
        <f ca="1">IF(B1="",'数据-汇总表'!E3,INDIRECT("'数据-取费表'!K"&amp;$K$1)+INDIRECT("'数据-取费表'!S"&amp;$K$1))</f>
        <v>8950.7250000000022</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54</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3920</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8950.7250000000022</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179</v>
      </c>
      <c r="D20" s="2539"/>
      <c r="E20" s="2493"/>
      <c r="F20" s="2540"/>
      <c r="G20" s="2742" t="s">
        <v>3145</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179</v>
      </c>
      <c r="D22" s="2529">
        <f ca="1">IF(B1="",'数据-汇总表'!E6,IF(INDIRECT("'数据-取费表'!c"&amp;$K$1)="住宅",INDIRECT("'数据-取费表'!s"&amp;$K$1),INDIRECT("'数据-取费表'!k"&amp;$K$1)+INDIRECT("'数据-取费表'!s"&amp;$K$1)))</f>
        <v>8950.7250000000022</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82</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 ca="1">ROUND(C6*F24,0)</f>
        <v>359</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0</v>
      </c>
      <c r="D26" s="460">
        <f ca="1">C27</f>
        <v>0</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0</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 ca="1">ROUND(C6*F29/(1+'数据-取费表'!C42),0)</f>
        <v>958</v>
      </c>
      <c r="D29" s="461"/>
      <c r="E29" s="461"/>
      <c r="F29" s="2716">
        <f>'数据-取费表'!B41</f>
        <v>5.6000000000000001E-2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5498</v>
      </c>
      <c r="D30" s="470">
        <f ca="1">C32</f>
        <v>3.0499999999999999E-2</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5498</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3.0499999999999999E-2</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1362</v>
      </c>
      <c r="D33" s="460">
        <f ca="1">C34</f>
        <v>0.30919999999999997</v>
      </c>
      <c r="E33" s="462" t="s">
        <v>487</v>
      </c>
      <c r="F33" s="472">
        <f ca="1">IF(B1="",'数据-取费表'!Q16,INDIRECT("'数据-取费表'!q"&amp;$K$1))</f>
        <v>0.3</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0.30919999999999997</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1362</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8285</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94"/>
      <c r="C1" s="1958"/>
      <c r="D1" s="1958"/>
      <c r="E1" s="1958"/>
      <c r="F1" s="1958"/>
      <c r="G1" s="1958"/>
      <c r="H1" s="1958"/>
      <c r="I1" s="1958"/>
      <c r="J1" s="1958"/>
      <c r="K1" s="416">
        <f>MATCH(B1,'数据-取费表'!A6:A16,0)+5</f>
        <v>7</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2972</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2973</v>
      </c>
      <c r="B12" s="437" t="s">
        <v>2974</v>
      </c>
      <c r="C12" s="438" t="s">
        <v>2975</v>
      </c>
      <c r="D12" s="439" t="s">
        <v>2976</v>
      </c>
      <c r="E12" s="439" t="s">
        <v>2977</v>
      </c>
      <c r="F12" s="439" t="s">
        <v>2978</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2979</v>
      </c>
      <c r="B13" s="442" t="s">
        <v>2980</v>
      </c>
      <c r="C13" s="443">
        <f ca="1">IF(B1="",'数据-取费表'!M16,INDIRECT("'数据-取费表'!M"&amp;$K$1)+INDIRECT("'数据-取费表'!t"&amp;$K$1))</f>
        <v>3580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2981</v>
      </c>
      <c r="C14" s="53">
        <f ca="1">ROUND(C13*F14,0)</f>
        <v>107</v>
      </c>
      <c r="D14" s="444"/>
      <c r="E14" s="363"/>
      <c r="F14" s="446">
        <f>'数据-取费表'!B33</f>
        <v>0.03</v>
      </c>
      <c r="G14" s="437" t="s">
        <v>2982</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2983</v>
      </c>
      <c r="C15" s="53">
        <f ca="1">ROUND(IF(B1="",SUMIF('数据-取费表'!C:C,"住宅",'数据-取费表'!M:M)*F15,IF(INDIRECT("'数据-取费表'!c"&amp;$K$1)="住宅",INDIRECT("'数据-取费表'!M"&amp;$K$1)*F15,0)),0)</f>
        <v>0</v>
      </c>
      <c r="D15" s="444"/>
      <c r="E15" s="363"/>
      <c r="F15" s="446">
        <f>'数据-取费表'!B34</f>
        <v>0</v>
      </c>
      <c r="G15" s="437" t="s">
        <v>2982</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2984</v>
      </c>
      <c r="C16" s="53">
        <f ca="1">ROUND(D16*E16/10000,0)</f>
        <v>179</v>
      </c>
      <c r="D16" s="444">
        <f ca="1">IF(B1="",'数据-汇总表'!E3,INDIRECT("'数据-取费表'!K"&amp;$K$1)+INDIRECT("'数据-取费表'!S"&amp;$K$1))</f>
        <v>8950.7250000000022</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2985</v>
      </c>
      <c r="C17" s="447">
        <f ca="1">ROUND(C13*F17,0)</f>
        <v>0</v>
      </c>
      <c r="D17" s="448"/>
      <c r="E17" s="447"/>
      <c r="F17" s="449">
        <f>'[3]数据-取费表'!B36</f>
        <v>0</v>
      </c>
      <c r="G17" s="437" t="s">
        <v>2982</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2986</v>
      </c>
      <c r="B18" s="452" t="s">
        <v>2987</v>
      </c>
      <c r="C18" s="453">
        <f ca="1">SUM(C13:C17)</f>
        <v>3866</v>
      </c>
      <c r="D18" s="454"/>
      <c r="E18" s="455"/>
      <c r="F18" s="455"/>
      <c r="G18" s="1262" t="s">
        <v>2988</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2989</v>
      </c>
      <c r="C19" s="453">
        <f ca="1">ROUND(C18*F19,0)</f>
        <v>77</v>
      </c>
      <c r="D19" s="454"/>
      <c r="E19" s="455"/>
      <c r="F19" s="459">
        <f>'数据-取费表'!B37</f>
        <v>0.02</v>
      </c>
      <c r="G19" s="437" t="s">
        <v>2990</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2991</v>
      </c>
      <c r="C20" s="463">
        <f ca="1">ROUND(IF('数据-取费表'!B22&lt;=1,(C18+C19)*F20*'数据-取费表'!B20/2,(C18+C19)*(POWER((1+F20),'数据-取费表'!B20/2)-1)),0)</f>
        <v>284</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2992</v>
      </c>
      <c r="B21" s="2711" t="s">
        <v>2993</v>
      </c>
      <c r="C21" s="471">
        <f ca="1">ROUND((C18+C19)*F21,0)</f>
        <v>1183</v>
      </c>
      <c r="D21" s="3245"/>
      <c r="E21" s="455"/>
      <c r="F21" s="472">
        <f ca="1">IF(B1="",'数据-取费表'!Q16,INDIRECT("'数据-取费表'!q"&amp;$K$1))</f>
        <v>0.3</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2994</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2995</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4281" t="s">
        <v>2996</v>
      </c>
      <c r="B24" s="4282"/>
      <c r="C24" s="3253">
        <f>ROUND(C6*F24/(1+'数据-取费表'!B42),0)</f>
        <v>0</v>
      </c>
      <c r="D24" s="3254"/>
      <c r="E24" s="455"/>
      <c r="F24" s="3255">
        <f>'数据-取费表'!B41</f>
        <v>5.6000000000000001E-2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4281" t="s">
        <v>2997</v>
      </c>
      <c r="B25" s="4282"/>
      <c r="C25" s="3253">
        <f>ROUND(C6*F25,0)</f>
        <v>0</v>
      </c>
      <c r="D25" s="3254"/>
      <c r="E25" s="455"/>
      <c r="F25" s="3258">
        <f>'数据-取费表'!B38</f>
        <v>0.02</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4281" t="s">
        <v>2998</v>
      </c>
      <c r="B26" s="4282"/>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4283" t="s">
        <v>2999</v>
      </c>
      <c r="B27" s="4284"/>
      <c r="C27" s="3266">
        <f ca="1">(C6-C23-C24-C25)/((1+F26)*(1+D20+F21))</f>
        <v>0</v>
      </c>
      <c r="D27" s="3267"/>
      <c r="E27" s="3267"/>
      <c r="F27" s="3267"/>
      <c r="G27" s="3268" t="s">
        <v>3000</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4108" t="str">
        <f>项目基本情况!B1</f>
        <v>北京市出让国有建设用地使用权市场价格预评估</v>
      </c>
      <c r="C37" s="4108"/>
      <c r="D37" s="4108"/>
      <c r="E37" s="4108"/>
      <c r="F37" s="4108"/>
      <c r="G37" s="4108"/>
      <c r="H37" s="4108"/>
      <c r="I37" s="4108"/>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4307" t="s">
        <v>500</v>
      </c>
      <c r="D6" s="4308"/>
      <c r="E6" s="4307" t="s">
        <v>501</v>
      </c>
      <c r="F6" s="4308"/>
      <c r="G6" s="4307" t="s">
        <v>502</v>
      </c>
      <c r="H6" s="4308"/>
      <c r="I6" s="4307" t="s">
        <v>503</v>
      </c>
      <c r="J6" s="4308"/>
      <c r="K6" s="490" t="s">
        <v>504</v>
      </c>
      <c r="L6" s="1986"/>
      <c r="M6" s="1985"/>
      <c r="N6" s="1985"/>
      <c r="O6" s="1987"/>
      <c r="P6" s="4309" t="s">
        <v>505</v>
      </c>
      <c r="Q6" s="4310"/>
      <c r="R6" s="4295" t="s">
        <v>501</v>
      </c>
      <c r="S6" s="4296"/>
      <c r="T6" s="4295" t="s">
        <v>502</v>
      </c>
      <c r="U6" s="4296"/>
      <c r="V6" s="4315" t="s">
        <v>503</v>
      </c>
      <c r="W6" s="4315"/>
      <c r="X6" s="1476"/>
      <c r="Y6" s="4295" t="s">
        <v>505</v>
      </c>
      <c r="Z6" s="4296"/>
      <c r="AA6" s="4290" t="s">
        <v>501</v>
      </c>
      <c r="AB6" s="4291" t="s">
        <v>502</v>
      </c>
      <c r="AC6" s="4290" t="s">
        <v>503</v>
      </c>
    </row>
    <row r="7" spans="1:30" ht="20.25">
      <c r="A7" s="491"/>
      <c r="B7" s="492"/>
      <c r="C7" s="4318" t="s">
        <v>2867</v>
      </c>
      <c r="D7" s="4319"/>
      <c r="E7" s="4318" t="s">
        <v>2868</v>
      </c>
      <c r="F7" s="4319"/>
      <c r="G7" s="4318" t="s">
        <v>2869</v>
      </c>
      <c r="H7" s="4319"/>
      <c r="I7" s="4318" t="s">
        <v>2870</v>
      </c>
      <c r="J7" s="4319"/>
      <c r="K7" s="490"/>
      <c r="L7" s="1986"/>
      <c r="M7" s="1985"/>
      <c r="N7" s="1985"/>
      <c r="O7" s="1987"/>
      <c r="P7" s="4311"/>
      <c r="Q7" s="4312"/>
      <c r="R7" s="4297"/>
      <c r="S7" s="4298"/>
      <c r="T7" s="4297"/>
      <c r="U7" s="4298"/>
      <c r="V7" s="4315"/>
      <c r="W7" s="4315"/>
      <c r="X7" s="1476"/>
      <c r="Y7" s="4297"/>
      <c r="Z7" s="4298"/>
      <c r="AA7" s="4291"/>
      <c r="AB7" s="4291"/>
      <c r="AC7" s="4291"/>
    </row>
    <row r="8" spans="1:30" ht="21" thickBot="1">
      <c r="A8" s="491"/>
      <c r="B8" s="492"/>
      <c r="C8" s="4320" t="s">
        <v>2871</v>
      </c>
      <c r="D8" s="4321"/>
      <c r="E8" s="4320" t="s">
        <v>2871</v>
      </c>
      <c r="F8" s="4321"/>
      <c r="G8" s="4316" t="s">
        <v>2871</v>
      </c>
      <c r="H8" s="4317"/>
      <c r="I8" s="4316" t="s">
        <v>2871</v>
      </c>
      <c r="J8" s="4317"/>
      <c r="K8" s="490" t="s">
        <v>506</v>
      </c>
      <c r="L8" s="1986"/>
      <c r="M8" s="1985"/>
      <c r="N8" s="1985"/>
      <c r="O8" s="1987"/>
      <c r="P8" s="4313"/>
      <c r="Q8" s="4314"/>
      <c r="R8" s="4297"/>
      <c r="S8" s="4298"/>
      <c r="T8" s="4299"/>
      <c r="U8" s="4300"/>
      <c r="V8" s="4315"/>
      <c r="W8" s="4315"/>
      <c r="X8" s="1476"/>
      <c r="Y8" s="4299"/>
      <c r="Z8" s="4300"/>
      <c r="AA8" s="4292"/>
      <c r="AB8" s="4292"/>
      <c r="AC8" s="4292"/>
    </row>
    <row r="9" spans="1:30" s="1185" customFormat="1" ht="21" thickBot="1">
      <c r="A9" s="2597"/>
      <c r="B9" s="2604" t="s">
        <v>507</v>
      </c>
      <c r="C9" s="2596">
        <f>'数据-取费表'!B2</f>
        <v>44550</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4293" t="s">
        <v>508</v>
      </c>
      <c r="Q9" s="4302"/>
      <c r="R9" s="1477" t="s">
        <v>8</v>
      </c>
      <c r="S9" s="1478">
        <f t="shared" ref="S9:S17" si="0">F9</f>
        <v>0</v>
      </c>
      <c r="T9" s="1477" t="s">
        <v>8</v>
      </c>
      <c r="U9" s="1478">
        <f t="shared" ref="U9:U17" si="1">H9</f>
        <v>0</v>
      </c>
      <c r="V9" s="1477" t="s">
        <v>8</v>
      </c>
      <c r="W9" s="1478">
        <f t="shared" ref="W9:W17" si="2">J9</f>
        <v>0</v>
      </c>
      <c r="X9" s="1479"/>
      <c r="Y9" s="4293" t="s">
        <v>508</v>
      </c>
      <c r="Z9" s="4294"/>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4293" t="s">
        <v>511</v>
      </c>
      <c r="Q10" s="4294"/>
      <c r="R10" s="1477" t="s">
        <v>8</v>
      </c>
      <c r="S10" s="1478">
        <f t="shared" si="0"/>
        <v>0</v>
      </c>
      <c r="T10" s="1477" t="s">
        <v>8</v>
      </c>
      <c r="U10" s="1478">
        <f t="shared" si="1"/>
        <v>0</v>
      </c>
      <c r="V10" s="1477" t="s">
        <v>8</v>
      </c>
      <c r="W10" s="1478">
        <f t="shared" si="2"/>
        <v>0</v>
      </c>
      <c r="X10" s="1479"/>
      <c r="Y10" s="4293" t="s">
        <v>511</v>
      </c>
      <c r="Z10" s="4294"/>
      <c r="AA10" s="1480" t="e">
        <f t="shared" ref="AA10:AA47" si="3">D10/F10</f>
        <v>#DIV/0!</v>
      </c>
      <c r="AB10" s="1480" t="e">
        <f t="shared" ref="AB10:AB47" si="4">D10/H10</f>
        <v>#DIV/0!</v>
      </c>
      <c r="AC10" s="1480" t="e">
        <f t="shared" ref="AC10:AC47" si="5">D10/J10</f>
        <v>#DIV/0!</v>
      </c>
    </row>
    <row r="11" spans="1:30" s="1185" customFormat="1" ht="20.25">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4301" t="s">
        <v>513</v>
      </c>
      <c r="Q11" s="1116" t="str">
        <f t="shared" ref="Q11:Q17" si="6">B11</f>
        <v>用途</v>
      </c>
      <c r="R11" s="1477" t="s">
        <v>8</v>
      </c>
      <c r="S11" s="1478">
        <f t="shared" si="0"/>
        <v>100</v>
      </c>
      <c r="T11" s="1477" t="s">
        <v>8</v>
      </c>
      <c r="U11" s="1478">
        <f t="shared" si="1"/>
        <v>100</v>
      </c>
      <c r="V11" s="1477" t="s">
        <v>8</v>
      </c>
      <c r="W11" s="1478">
        <f t="shared" si="2"/>
        <v>100</v>
      </c>
      <c r="X11" s="1479"/>
      <c r="Y11" s="4248" t="s">
        <v>514</v>
      </c>
      <c r="Z11" s="1115" t="str">
        <f t="shared" ref="Z11:Z17" si="7">Q11</f>
        <v>用途</v>
      </c>
      <c r="AA11" s="1480">
        <f t="shared" si="3"/>
        <v>1</v>
      </c>
      <c r="AB11" s="1480">
        <f t="shared" si="4"/>
        <v>1</v>
      </c>
      <c r="AC11" s="1480">
        <f t="shared" si="5"/>
        <v>1</v>
      </c>
    </row>
    <row r="12" spans="1:30" s="1266" customFormat="1" ht="27">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4301"/>
      <c r="Q12" s="1116" t="str">
        <f t="shared" si="6"/>
        <v>土地使用年限（年）</v>
      </c>
      <c r="R12" s="1477" t="s">
        <v>8</v>
      </c>
      <c r="S12" s="1478">
        <f t="shared" si="0"/>
        <v>100</v>
      </c>
      <c r="T12" s="1477" t="s">
        <v>8</v>
      </c>
      <c r="U12" s="1478">
        <f t="shared" si="1"/>
        <v>100</v>
      </c>
      <c r="V12" s="1477" t="s">
        <v>8</v>
      </c>
      <c r="W12" s="1478">
        <f t="shared" si="2"/>
        <v>100</v>
      </c>
      <c r="X12" s="1479"/>
      <c r="Y12" s="4248"/>
      <c r="Z12" s="1115" t="str">
        <f t="shared" si="7"/>
        <v>土地使用年限（年）</v>
      </c>
      <c r="AA12" s="1480">
        <f t="shared" si="3"/>
        <v>1</v>
      </c>
      <c r="AB12" s="1480">
        <f t="shared" si="4"/>
        <v>1</v>
      </c>
      <c r="AC12" s="1480">
        <f t="shared" si="5"/>
        <v>1</v>
      </c>
    </row>
    <row r="13" spans="1:30" ht="20.25">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4301"/>
      <c r="Q13" s="1116" t="str">
        <f t="shared" si="6"/>
        <v>容积率</v>
      </c>
      <c r="R13" s="1477" t="s">
        <v>8</v>
      </c>
      <c r="S13" s="1478" t="e">
        <f t="shared" si="0"/>
        <v>#N/A</v>
      </c>
      <c r="T13" s="1477" t="s">
        <v>8</v>
      </c>
      <c r="U13" s="1478" t="e">
        <f t="shared" si="1"/>
        <v>#N/A</v>
      </c>
      <c r="V13" s="1477" t="s">
        <v>8</v>
      </c>
      <c r="W13" s="1478" t="e">
        <f t="shared" si="2"/>
        <v>#N/A</v>
      </c>
      <c r="X13" s="1479"/>
      <c r="Y13" s="4248"/>
      <c r="Z13" s="1115" t="str">
        <f t="shared" si="7"/>
        <v>容积率</v>
      </c>
      <c r="AA13" s="1480" t="e">
        <f t="shared" si="3"/>
        <v>#N/A</v>
      </c>
      <c r="AB13" s="1480" t="e">
        <f t="shared" si="4"/>
        <v>#N/A</v>
      </c>
      <c r="AC13" s="1480" t="e">
        <f t="shared" si="5"/>
        <v>#N/A</v>
      </c>
    </row>
    <row r="14" spans="1:30" s="1185" customFormat="1" ht="20.25">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4301"/>
      <c r="Q14" s="1116" t="str">
        <f t="shared" si="6"/>
        <v>配建</v>
      </c>
      <c r="R14" s="1477" t="s">
        <v>8</v>
      </c>
      <c r="S14" s="1478">
        <f t="shared" si="0"/>
        <v>100</v>
      </c>
      <c r="T14" s="1477" t="s">
        <v>8</v>
      </c>
      <c r="U14" s="1478">
        <f t="shared" si="1"/>
        <v>100</v>
      </c>
      <c r="V14" s="1477" t="s">
        <v>8</v>
      </c>
      <c r="W14" s="1478">
        <f t="shared" si="2"/>
        <v>100</v>
      </c>
      <c r="X14" s="1479"/>
      <c r="Y14" s="4248"/>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4301"/>
      <c r="Q15" s="1116">
        <f t="shared" si="6"/>
        <v>111</v>
      </c>
      <c r="R15" s="1477" t="s">
        <v>8</v>
      </c>
      <c r="S15" s="1478">
        <f t="shared" si="0"/>
        <v>100</v>
      </c>
      <c r="T15" s="1477" t="s">
        <v>8</v>
      </c>
      <c r="U15" s="1478">
        <f t="shared" si="1"/>
        <v>100</v>
      </c>
      <c r="V15" s="1477" t="s">
        <v>8</v>
      </c>
      <c r="W15" s="1478">
        <f t="shared" si="2"/>
        <v>100</v>
      </c>
      <c r="X15" s="1479"/>
      <c r="Y15" s="4248"/>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4301"/>
      <c r="Q16" s="1116">
        <f t="shared" si="6"/>
        <v>111</v>
      </c>
      <c r="R16" s="1477" t="s">
        <v>8</v>
      </c>
      <c r="S16" s="1478">
        <f t="shared" si="0"/>
        <v>100</v>
      </c>
      <c r="T16" s="1477" t="s">
        <v>8</v>
      </c>
      <c r="U16" s="1478">
        <f t="shared" si="1"/>
        <v>100</v>
      </c>
      <c r="V16" s="1477" t="s">
        <v>8</v>
      </c>
      <c r="W16" s="1478">
        <f t="shared" si="2"/>
        <v>100</v>
      </c>
      <c r="X16" s="1479"/>
      <c r="Y16" s="4248"/>
      <c r="Z16" s="1115">
        <f t="shared" si="7"/>
        <v>111</v>
      </c>
      <c r="AA16" s="1480">
        <f>D16/F16</f>
        <v>1</v>
      </c>
      <c r="AB16" s="1480">
        <f>D16/H16</f>
        <v>1</v>
      </c>
      <c r="AC16" s="1480">
        <f>D16/J16</f>
        <v>1</v>
      </c>
    </row>
    <row r="17" spans="1:29" ht="99.7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4303" t="s">
        <v>518</v>
      </c>
      <c r="Q17" s="1481" t="str">
        <f t="shared" si="6"/>
        <v>居住社区成熟度</v>
      </c>
      <c r="R17" s="1482" t="s">
        <v>8</v>
      </c>
      <c r="S17" s="1483">
        <f t="shared" si="0"/>
        <v>100</v>
      </c>
      <c r="T17" s="1482" t="s">
        <v>8</v>
      </c>
      <c r="U17" s="1483">
        <f t="shared" si="1"/>
        <v>100</v>
      </c>
      <c r="V17" s="1482" t="s">
        <v>8</v>
      </c>
      <c r="W17" s="1483">
        <f t="shared" si="2"/>
        <v>100</v>
      </c>
      <c r="X17" s="1476"/>
      <c r="Y17" s="4303"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4304"/>
      <c r="Q18" s="1481"/>
      <c r="R18" s="1482"/>
      <c r="S18" s="1483"/>
      <c r="T18" s="1482"/>
      <c r="U18" s="1483"/>
      <c r="V18" s="1482"/>
      <c r="W18" s="1483"/>
      <c r="X18" s="1476"/>
      <c r="Y18" s="4304"/>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4304"/>
      <c r="Q19" s="1481" t="str">
        <f>B19</f>
        <v>商业繁华度</v>
      </c>
      <c r="R19" s="1482" t="s">
        <v>8</v>
      </c>
      <c r="S19" s="1483">
        <f>F19</f>
        <v>100</v>
      </c>
      <c r="T19" s="1482" t="s">
        <v>8</v>
      </c>
      <c r="U19" s="1483">
        <f>H19</f>
        <v>100</v>
      </c>
      <c r="V19" s="1482" t="s">
        <v>8</v>
      </c>
      <c r="W19" s="1483">
        <f>J19</f>
        <v>100</v>
      </c>
      <c r="X19" s="1476"/>
      <c r="Y19" s="4304"/>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4304"/>
      <c r="Q20" s="1481"/>
      <c r="R20" s="1482"/>
      <c r="S20" s="1483"/>
      <c r="T20" s="1482"/>
      <c r="U20" s="1483"/>
      <c r="V20" s="1482"/>
      <c r="W20" s="1483"/>
      <c r="X20" s="1476"/>
      <c r="Y20" s="4304"/>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4304"/>
      <c r="Q21" s="1481" t="str">
        <f>B21</f>
        <v>办公集聚程度</v>
      </c>
      <c r="R21" s="1482" t="s">
        <v>8</v>
      </c>
      <c r="S21" s="1483">
        <f>F21</f>
        <v>100</v>
      </c>
      <c r="T21" s="1482" t="s">
        <v>8</v>
      </c>
      <c r="U21" s="1483">
        <f>H21</f>
        <v>100</v>
      </c>
      <c r="V21" s="1482" t="s">
        <v>8</v>
      </c>
      <c r="W21" s="1483">
        <f>J21</f>
        <v>100</v>
      </c>
      <c r="X21" s="1476"/>
      <c r="Y21" s="4304"/>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4304"/>
      <c r="Q22" s="1481"/>
      <c r="R22" s="1482"/>
      <c r="S22" s="1483"/>
      <c r="T22" s="1482"/>
      <c r="U22" s="1483"/>
      <c r="V22" s="1482"/>
      <c r="W22" s="1483"/>
      <c r="X22" s="1476"/>
      <c r="Y22" s="4304"/>
      <c r="Z22" s="1484"/>
      <c r="AA22" s="1485">
        <v>1</v>
      </c>
      <c r="AB22" s="1485">
        <v>1</v>
      </c>
      <c r="AC22" s="1485">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4304"/>
      <c r="Q23" s="1481" t="str">
        <f>B23</f>
        <v>交通便捷度</v>
      </c>
      <c r="R23" s="1482" t="s">
        <v>8</v>
      </c>
      <c r="S23" s="1483">
        <f>F23</f>
        <v>100</v>
      </c>
      <c r="T23" s="1482" t="s">
        <v>8</v>
      </c>
      <c r="U23" s="1483">
        <f>H23</f>
        <v>100</v>
      </c>
      <c r="V23" s="1482" t="s">
        <v>8</v>
      </c>
      <c r="W23" s="1483">
        <f>J23</f>
        <v>100</v>
      </c>
      <c r="X23" s="1476"/>
      <c r="Y23" s="4304"/>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4304"/>
      <c r="Q24" s="1481"/>
      <c r="R24" s="1482"/>
      <c r="S24" s="1483"/>
      <c r="T24" s="1482"/>
      <c r="U24" s="1483"/>
      <c r="V24" s="1482"/>
      <c r="W24" s="1483"/>
      <c r="X24" s="1476"/>
      <c r="Y24" s="4304"/>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4304"/>
      <c r="Q25" s="1481" t="str">
        <f t="shared" ref="Q25:Q39" si="8">B25</f>
        <v>区域土地利用方向</v>
      </c>
      <c r="R25" s="1482" t="s">
        <v>8</v>
      </c>
      <c r="S25" s="1483">
        <f>F25</f>
        <v>100</v>
      </c>
      <c r="T25" s="1482" t="s">
        <v>8</v>
      </c>
      <c r="U25" s="1483">
        <f>H25</f>
        <v>100</v>
      </c>
      <c r="V25" s="1482" t="s">
        <v>8</v>
      </c>
      <c r="W25" s="1483">
        <f>J25</f>
        <v>100</v>
      </c>
      <c r="X25" s="1476"/>
      <c r="Y25" s="4304"/>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4304"/>
      <c r="Q26" s="1481"/>
      <c r="R26" s="1482"/>
      <c r="S26" s="1483"/>
      <c r="T26" s="1482"/>
      <c r="U26" s="1483"/>
      <c r="V26" s="1482"/>
      <c r="W26" s="1483"/>
      <c r="X26" s="1476"/>
      <c r="Y26" s="4304"/>
      <c r="Z26" s="1484"/>
      <c r="AA26" s="1485"/>
      <c r="AB26" s="1485"/>
      <c r="AC26" s="1485"/>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4304"/>
      <c r="Q27" s="1481" t="str">
        <f t="shared" si="8"/>
        <v>自然及人文环境状况</v>
      </c>
      <c r="R27" s="1482" t="s">
        <v>8</v>
      </c>
      <c r="S27" s="1483">
        <f>F27</f>
        <v>100</v>
      </c>
      <c r="T27" s="1482" t="s">
        <v>8</v>
      </c>
      <c r="U27" s="1483">
        <f>H27</f>
        <v>100</v>
      </c>
      <c r="V27" s="1482" t="s">
        <v>8</v>
      </c>
      <c r="W27" s="1483">
        <f>J27</f>
        <v>100</v>
      </c>
      <c r="X27" s="1476"/>
      <c r="Y27" s="4304"/>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4304"/>
      <c r="Q28" s="1481"/>
      <c r="R28" s="1482"/>
      <c r="S28" s="1483"/>
      <c r="T28" s="1482"/>
      <c r="U28" s="1483"/>
      <c r="V28" s="1482"/>
      <c r="W28" s="1483"/>
      <c r="X28" s="1476"/>
      <c r="Y28" s="4304"/>
      <c r="Z28" s="1484"/>
      <c r="AA28" s="1485">
        <v>1</v>
      </c>
      <c r="AB28" s="1485">
        <v>1</v>
      </c>
      <c r="AC28" s="1485">
        <v>1</v>
      </c>
    </row>
    <row r="29" spans="1:29" s="1185" customFormat="1" ht="42.75">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4304"/>
      <c r="Q29" s="1116" t="str">
        <f t="shared" si="8"/>
        <v>公共配套设施</v>
      </c>
      <c r="R29" s="1477" t="s">
        <v>8</v>
      </c>
      <c r="S29" s="1478">
        <f>F29</f>
        <v>100</v>
      </c>
      <c r="T29" s="1477" t="s">
        <v>8</v>
      </c>
      <c r="U29" s="1478">
        <f>H29</f>
        <v>100</v>
      </c>
      <c r="V29" s="1477" t="s">
        <v>8</v>
      </c>
      <c r="W29" s="1478">
        <f>J29</f>
        <v>100</v>
      </c>
      <c r="X29" s="1479"/>
      <c r="Y29" s="4304"/>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4304"/>
      <c r="Q30" s="1116"/>
      <c r="R30" s="1477"/>
      <c r="S30" s="1478"/>
      <c r="T30" s="1477"/>
      <c r="U30" s="1478"/>
      <c r="V30" s="1477"/>
      <c r="W30" s="1478"/>
      <c r="X30" s="1479"/>
      <c r="Y30" s="4304"/>
      <c r="Z30" s="1115"/>
      <c r="AA30" s="1485">
        <v>1</v>
      </c>
      <c r="AB30" s="1485">
        <v>1</v>
      </c>
      <c r="AC30" s="1485">
        <v>1</v>
      </c>
    </row>
    <row r="31" spans="1:29" s="1185" customFormat="1" ht="28.5">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4304"/>
      <c r="Q31" s="2396" t="str">
        <f t="shared" ref="Q31" si="9">B31</f>
        <v>基础设施水平</v>
      </c>
      <c r="R31" s="1477" t="s">
        <v>8</v>
      </c>
      <c r="S31" s="1478">
        <f>F31</f>
        <v>100</v>
      </c>
      <c r="T31" s="1477" t="s">
        <v>8</v>
      </c>
      <c r="U31" s="1478">
        <f>H31</f>
        <v>100</v>
      </c>
      <c r="V31" s="1477" t="s">
        <v>8</v>
      </c>
      <c r="W31" s="1478">
        <f>J31</f>
        <v>100</v>
      </c>
      <c r="X31" s="1479"/>
      <c r="Y31" s="4304"/>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4304"/>
      <c r="Q32" s="2396"/>
      <c r="R32" s="1477"/>
      <c r="S32" s="1478"/>
      <c r="T32" s="1477"/>
      <c r="U32" s="1478"/>
      <c r="V32" s="1477"/>
      <c r="W32" s="1478"/>
      <c r="X32" s="1479"/>
      <c r="Y32" s="4304"/>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4304"/>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4304"/>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4304"/>
      <c r="Q34" s="1481" t="str">
        <f t="shared" si="8"/>
        <v>毗邻道路的类型与等级</v>
      </c>
      <c r="R34" s="1482" t="s">
        <v>8</v>
      </c>
      <c r="S34" s="1483">
        <f t="shared" si="10"/>
        <v>100</v>
      </c>
      <c r="T34" s="1482" t="s">
        <v>8</v>
      </c>
      <c r="U34" s="1483">
        <f t="shared" si="11"/>
        <v>100</v>
      </c>
      <c r="V34" s="1482" t="s">
        <v>8</v>
      </c>
      <c r="W34" s="1483">
        <f t="shared" si="12"/>
        <v>100</v>
      </c>
      <c r="X34" s="1476"/>
      <c r="Y34" s="4304"/>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4304"/>
      <c r="Q35" s="1481"/>
      <c r="R35" s="1482"/>
      <c r="S35" s="1483"/>
      <c r="T35" s="1482"/>
      <c r="U35" s="1483"/>
      <c r="V35" s="1482"/>
      <c r="W35" s="1483"/>
      <c r="X35" s="1476"/>
      <c r="Y35" s="4304"/>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4304"/>
      <c r="Q36" s="1481" t="str">
        <f t="shared" si="8"/>
        <v>土地级别</v>
      </c>
      <c r="R36" s="1482" t="s">
        <v>8</v>
      </c>
      <c r="S36" s="1483">
        <f t="shared" si="10"/>
        <v>100</v>
      </c>
      <c r="T36" s="1482" t="s">
        <v>8</v>
      </c>
      <c r="U36" s="1483">
        <f t="shared" si="11"/>
        <v>100</v>
      </c>
      <c r="V36" s="1482" t="s">
        <v>8</v>
      </c>
      <c r="W36" s="1483">
        <f t="shared" si="12"/>
        <v>100</v>
      </c>
      <c r="X36" s="1476"/>
      <c r="Y36" s="4304"/>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4304"/>
      <c r="Q37" s="1481">
        <f t="shared" si="8"/>
        <v>111</v>
      </c>
      <c r="R37" s="1482" t="s">
        <v>8</v>
      </c>
      <c r="S37" s="1483">
        <f t="shared" si="10"/>
        <v>100</v>
      </c>
      <c r="T37" s="1482" t="s">
        <v>8</v>
      </c>
      <c r="U37" s="1483">
        <f t="shared" si="11"/>
        <v>100</v>
      </c>
      <c r="V37" s="1482" t="s">
        <v>8</v>
      </c>
      <c r="W37" s="1483">
        <f t="shared" si="12"/>
        <v>100</v>
      </c>
      <c r="X37" s="1476"/>
      <c r="Y37" s="4304"/>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4305" t="s">
        <v>528</v>
      </c>
      <c r="Q38" s="1481">
        <f t="shared" si="8"/>
        <v>111</v>
      </c>
      <c r="R38" s="1482" t="s">
        <v>8</v>
      </c>
      <c r="S38" s="1483">
        <f t="shared" si="10"/>
        <v>100</v>
      </c>
      <c r="T38" s="1482" t="s">
        <v>8</v>
      </c>
      <c r="U38" s="1483">
        <f t="shared" si="11"/>
        <v>100</v>
      </c>
      <c r="V38" s="1482" t="s">
        <v>8</v>
      </c>
      <c r="W38" s="1483">
        <f t="shared" si="12"/>
        <v>100</v>
      </c>
      <c r="X38" s="1476"/>
      <c r="Y38" s="4306"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4306"/>
      <c r="Q39" s="1481">
        <f t="shared" si="8"/>
        <v>111</v>
      </c>
      <c r="R39" s="1486" t="s">
        <v>8</v>
      </c>
      <c r="S39" s="1487">
        <f t="shared" si="10"/>
        <v>100</v>
      </c>
      <c r="T39" s="1486" t="s">
        <v>8</v>
      </c>
      <c r="U39" s="1487">
        <f t="shared" si="11"/>
        <v>100</v>
      </c>
      <c r="V39" s="1486" t="s">
        <v>8</v>
      </c>
      <c r="W39" s="1487">
        <f t="shared" si="12"/>
        <v>100</v>
      </c>
      <c r="X39" s="1488"/>
      <c r="Y39" s="4306"/>
      <c r="Z39" s="1489">
        <f t="shared" si="13"/>
        <v>111</v>
      </c>
      <c r="AA39" s="1485">
        <f t="shared" si="3"/>
        <v>1</v>
      </c>
      <c r="AB39" s="1485">
        <f t="shared" si="4"/>
        <v>1</v>
      </c>
      <c r="AC39" s="1485">
        <f t="shared" si="5"/>
        <v>1</v>
      </c>
    </row>
    <row r="40" spans="1:29" ht="20.25">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4306"/>
      <c r="Q40" s="1481" t="str">
        <f>B40</f>
        <v>宗地面积</v>
      </c>
      <c r="R40" s="1482" t="s">
        <v>8</v>
      </c>
      <c r="S40" s="1483" t="e">
        <f t="shared" si="10"/>
        <v>#N/A</v>
      </c>
      <c r="T40" s="1482" t="s">
        <v>8</v>
      </c>
      <c r="U40" s="1483" t="e">
        <f t="shared" si="11"/>
        <v>#N/A</v>
      </c>
      <c r="V40" s="1482" t="s">
        <v>8</v>
      </c>
      <c r="W40" s="1483" t="e">
        <f t="shared" si="12"/>
        <v>#N/A</v>
      </c>
      <c r="X40" s="1476"/>
      <c r="Y40" s="4306"/>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4306"/>
      <c r="Q41" s="1481" t="str">
        <f t="shared" ref="Q41:Q47" si="14">B41</f>
        <v>宗地形状</v>
      </c>
      <c r="R41" s="1482" t="s">
        <v>8</v>
      </c>
      <c r="S41" s="1483">
        <f t="shared" si="10"/>
        <v>100</v>
      </c>
      <c r="T41" s="1482" t="s">
        <v>8</v>
      </c>
      <c r="U41" s="1483">
        <f t="shared" si="11"/>
        <v>100</v>
      </c>
      <c r="V41" s="1482" t="s">
        <v>8</v>
      </c>
      <c r="W41" s="1483">
        <f t="shared" si="12"/>
        <v>100</v>
      </c>
      <c r="X41" s="1476"/>
      <c r="Y41" s="4306"/>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4306"/>
      <c r="Q42" s="1481" t="str">
        <f t="shared" si="14"/>
        <v>临街宽度及深度</v>
      </c>
      <c r="R42" s="1482" t="s">
        <v>8</v>
      </c>
      <c r="S42" s="1483">
        <f t="shared" si="10"/>
        <v>100</v>
      </c>
      <c r="T42" s="1482" t="s">
        <v>8</v>
      </c>
      <c r="U42" s="1483">
        <f t="shared" si="11"/>
        <v>100</v>
      </c>
      <c r="V42" s="1482" t="s">
        <v>8</v>
      </c>
      <c r="W42" s="1483">
        <f t="shared" si="12"/>
        <v>100</v>
      </c>
      <c r="X42" s="1476"/>
      <c r="Y42" s="4306"/>
      <c r="Z42" s="1484" t="str">
        <f t="shared" si="13"/>
        <v>临街宽度及深度</v>
      </c>
      <c r="AA42" s="1485">
        <f t="shared" si="3"/>
        <v>1</v>
      </c>
      <c r="AB42" s="1485">
        <f t="shared" si="4"/>
        <v>1</v>
      </c>
      <c r="AC42" s="1485">
        <f t="shared" si="5"/>
        <v>1</v>
      </c>
    </row>
    <row r="43" spans="1:29" s="1185" customFormat="1" ht="20.25">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4306"/>
      <c r="Q43" s="1481" t="str">
        <f t="shared" si="14"/>
        <v>宗地开发程度</v>
      </c>
      <c r="R43" s="1477" t="s">
        <v>8</v>
      </c>
      <c r="S43" s="1478">
        <f t="shared" si="10"/>
        <v>100</v>
      </c>
      <c r="T43" s="1477" t="s">
        <v>8</v>
      </c>
      <c r="U43" s="1478">
        <f t="shared" si="11"/>
        <v>100</v>
      </c>
      <c r="V43" s="1477" t="s">
        <v>8</v>
      </c>
      <c r="W43" s="1478">
        <f t="shared" si="12"/>
        <v>100</v>
      </c>
      <c r="X43" s="1479"/>
      <c r="Y43" s="4306"/>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4306" t="s">
        <v>528</v>
      </c>
      <c r="Q44" s="1481" t="str">
        <f t="shared" si="14"/>
        <v>工程地质条件</v>
      </c>
      <c r="R44" s="1482" t="s">
        <v>8</v>
      </c>
      <c r="S44" s="1483">
        <f t="shared" si="10"/>
        <v>100</v>
      </c>
      <c r="T44" s="1482" t="s">
        <v>8</v>
      </c>
      <c r="U44" s="1483">
        <f t="shared" si="11"/>
        <v>100</v>
      </c>
      <c r="V44" s="1482" t="s">
        <v>8</v>
      </c>
      <c r="W44" s="1483">
        <f t="shared" si="12"/>
        <v>100</v>
      </c>
      <c r="X44" s="1476"/>
      <c r="Y44" s="4306"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4306"/>
      <c r="Q45" s="1481">
        <f t="shared" si="14"/>
        <v>111</v>
      </c>
      <c r="R45" s="1482" t="s">
        <v>8</v>
      </c>
      <c r="S45" s="1483">
        <f t="shared" si="10"/>
        <v>100</v>
      </c>
      <c r="T45" s="1482" t="s">
        <v>8</v>
      </c>
      <c r="U45" s="1483">
        <f t="shared" si="11"/>
        <v>100</v>
      </c>
      <c r="V45" s="1482" t="s">
        <v>8</v>
      </c>
      <c r="W45" s="1483">
        <f t="shared" si="12"/>
        <v>100</v>
      </c>
      <c r="X45" s="1476"/>
      <c r="Y45" s="4306"/>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4306"/>
      <c r="Q46" s="1481">
        <f t="shared" si="14"/>
        <v>111</v>
      </c>
      <c r="R46" s="1482" t="s">
        <v>8</v>
      </c>
      <c r="S46" s="1483">
        <f t="shared" si="10"/>
        <v>100</v>
      </c>
      <c r="T46" s="1482" t="s">
        <v>8</v>
      </c>
      <c r="U46" s="1483">
        <f t="shared" si="11"/>
        <v>100</v>
      </c>
      <c r="V46" s="1482" t="s">
        <v>8</v>
      </c>
      <c r="W46" s="1483">
        <f t="shared" si="12"/>
        <v>100</v>
      </c>
      <c r="X46" s="1476"/>
      <c r="Y46" s="4306"/>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4306"/>
      <c r="Q47" s="1481">
        <f t="shared" si="14"/>
        <v>111</v>
      </c>
      <c r="R47" s="1486" t="s">
        <v>8</v>
      </c>
      <c r="S47" s="1487">
        <f t="shared" si="10"/>
        <v>100</v>
      </c>
      <c r="T47" s="1486" t="s">
        <v>8</v>
      </c>
      <c r="U47" s="1487">
        <f t="shared" si="11"/>
        <v>100</v>
      </c>
      <c r="V47" s="1486" t="s">
        <v>8</v>
      </c>
      <c r="W47" s="1487">
        <f t="shared" si="12"/>
        <v>100</v>
      </c>
      <c r="X47" s="1488"/>
      <c r="Y47" s="4306"/>
      <c r="Z47" s="1489">
        <f t="shared" si="13"/>
        <v>111</v>
      </c>
      <c r="AA47" s="1485">
        <f t="shared" si="3"/>
        <v>1</v>
      </c>
      <c r="AB47" s="1485">
        <f t="shared" si="4"/>
        <v>1</v>
      </c>
      <c r="AC47" s="1485">
        <f t="shared" si="5"/>
        <v>1</v>
      </c>
    </row>
    <row r="48" spans="1:29" ht="20.25">
      <c r="A48" s="583" t="s">
        <v>534</v>
      </c>
      <c r="B48" s="584" t="s">
        <v>2872</v>
      </c>
      <c r="C48" s="585" t="s">
        <v>1</v>
      </c>
      <c r="D48" s="586"/>
      <c r="E48" s="587"/>
      <c r="F48" s="588"/>
      <c r="G48" s="589"/>
      <c r="H48" s="590"/>
      <c r="I48" s="587"/>
      <c r="J48" s="590"/>
      <c r="K48" s="1268"/>
      <c r="L48" s="1997"/>
      <c r="M48" s="1985"/>
      <c r="N48" s="1985"/>
      <c r="O48" s="1998"/>
      <c r="P48" s="4301" t="str">
        <f>A48</f>
        <v>成交单价</v>
      </c>
      <c r="Q48" s="4301"/>
      <c r="R48" s="4315">
        <f>E48</f>
        <v>0</v>
      </c>
      <c r="S48" s="4315"/>
      <c r="T48" s="4315">
        <f>G48</f>
        <v>0</v>
      </c>
      <c r="U48" s="4315"/>
      <c r="V48" s="4315">
        <f>I48</f>
        <v>0</v>
      </c>
      <c r="W48" s="4315"/>
      <c r="X48" s="1471"/>
      <c r="Y48" s="1490"/>
      <c r="Z48" s="1471"/>
      <c r="AA48" s="1471"/>
      <c r="AB48" s="1471"/>
      <c r="AC48" s="1471"/>
    </row>
    <row r="49" spans="1:29" ht="21"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4301" t="str">
        <f>A49</f>
        <v>比较价格（元/平方米）</v>
      </c>
      <c r="Q49" s="4301"/>
      <c r="R49" s="4325" t="e">
        <f>ROUND(PRODUCT(R48,AA9:AA47),0)</f>
        <v>#DIV/0!</v>
      </c>
      <c r="S49" s="4325"/>
      <c r="T49" s="4325" t="e">
        <f>ROUND(PRODUCT(T48,AB9:AB47),0)</f>
        <v>#DIV/0!</v>
      </c>
      <c r="U49" s="4325"/>
      <c r="V49" s="4325" t="e">
        <f>ROUND(PRODUCT(V48,AC9:AC47),0)</f>
        <v>#DIV/0!</v>
      </c>
      <c r="W49" s="4325"/>
      <c r="X49" s="1471"/>
      <c r="Y49" s="1471"/>
      <c r="Z49" s="1471"/>
      <c r="AA49" s="1471"/>
      <c r="AB49" s="1471"/>
      <c r="AC49" s="1471"/>
    </row>
    <row r="50" spans="1:29" ht="21" thickBot="1">
      <c r="A50" s="595" t="s">
        <v>2873</v>
      </c>
      <c r="B50" s="596"/>
      <c r="C50" s="597" t="e">
        <f>R50</f>
        <v>#DIV/0!</v>
      </c>
      <c r="D50" s="597"/>
      <c r="E50" s="597"/>
      <c r="F50" s="597"/>
      <c r="G50" s="597"/>
      <c r="H50" s="597"/>
      <c r="I50" s="597"/>
      <c r="J50" s="597"/>
      <c r="K50" s="1269"/>
      <c r="L50" s="1997"/>
      <c r="M50" s="1985"/>
      <c r="N50" s="1985"/>
      <c r="O50" s="1998"/>
      <c r="P50" s="4322" t="str">
        <f>A50</f>
        <v>估价对象XX用房的比较价格（楼面单价，元/平方米）</v>
      </c>
      <c r="Q50" s="4323"/>
      <c r="R50" s="4324" t="e">
        <f>ROUND(IF(D49="简单平均",AVERAGE(R49:W49),R49*F49+T49*H49+V49*J49),0)</f>
        <v>#DIV/0!</v>
      </c>
      <c r="S50" s="4324"/>
      <c r="T50" s="4324"/>
      <c r="U50" s="4324"/>
      <c r="V50" s="4324"/>
      <c r="W50" s="4324"/>
      <c r="X50" s="1471"/>
      <c r="Y50" s="1471"/>
      <c r="Z50" s="1471"/>
      <c r="AA50" s="1471"/>
      <c r="AB50" s="1471"/>
      <c r="AC50" s="1471"/>
    </row>
    <row r="51" spans="1:29" ht="20.25">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25">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4285" t="s">
        <v>2247</v>
      </c>
      <c r="H57" s="4286"/>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8950.7250000000022</v>
      </c>
      <c r="F58" s="610" t="e">
        <f t="shared" ref="F58:F67" si="15">ROUND(B58*E58/10000,0)</f>
        <v>#DIV/0!</v>
      </c>
      <c r="G58" s="4287"/>
      <c r="H58" s="4288"/>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0.7</v>
      </c>
      <c r="D59" s="2080">
        <v>0.25</v>
      </c>
      <c r="E59" s="613">
        <v>0</v>
      </c>
      <c r="F59" s="610" t="e">
        <f t="shared" si="15"/>
        <v>#DIV/0!</v>
      </c>
      <c r="G59" s="4289" t="s">
        <v>2248</v>
      </c>
      <c r="H59" s="1835" t="str">
        <f>项目基本情况!B43</f>
        <v>六级</v>
      </c>
      <c r="I59" s="1469">
        <f>SUMIF(修正!$A$45:$A$56,H59,修正!B45:B56)</f>
        <v>0.7</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0.4</v>
      </c>
      <c r="D60" s="2080">
        <v>0.25</v>
      </c>
      <c r="E60" s="613">
        <v>0</v>
      </c>
      <c r="F60" s="610" t="e">
        <f t="shared" si="15"/>
        <v>#DIV/0!</v>
      </c>
      <c r="G60" s="4289"/>
      <c r="H60" s="1835" t="str">
        <f>项目基本情况!B43</f>
        <v>六级</v>
      </c>
      <c r="I60" s="1469">
        <f>SUMIF(修正!$A$45:$A$56,H60,修正!C45:C56)</f>
        <v>0.4</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0.28000000000000003</v>
      </c>
      <c r="D61" s="2080">
        <v>0.25</v>
      </c>
      <c r="E61" s="613">
        <v>0</v>
      </c>
      <c r="F61" s="610" t="e">
        <f t="shared" si="15"/>
        <v>#DIV/0!</v>
      </c>
      <c r="G61" s="4289"/>
      <c r="H61" s="1835" t="str">
        <f>项目基本情况!B43</f>
        <v>六级</v>
      </c>
      <c r="I61" s="1469">
        <f>SUMIF(修正!$A$45:$A$56,H61,修正!D45:D56)</f>
        <v>0.28000000000000003</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0.25</v>
      </c>
      <c r="D62" s="2080">
        <v>0.25</v>
      </c>
      <c r="E62" s="613">
        <v>0</v>
      </c>
      <c r="F62" s="610" t="e">
        <f t="shared" si="15"/>
        <v>#DIV/0!</v>
      </c>
      <c r="G62" s="4289"/>
      <c r="H62" s="1835" t="str">
        <f>项目基本情况!B43</f>
        <v>六级</v>
      </c>
      <c r="I62" s="1469">
        <f>SUMIF(修正!$A$45:$A$56,H62,修正!E45:E56)</f>
        <v>0.25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v>
      </c>
      <c r="D65" s="2080">
        <v>0.25</v>
      </c>
      <c r="E65" s="615">
        <f>'数据-汇总表'!E13</f>
        <v>0</v>
      </c>
      <c r="F65" s="610" t="e">
        <f t="shared" si="15"/>
        <v>#DIV/0!</v>
      </c>
      <c r="G65" s="1833" t="s">
        <v>898</v>
      </c>
      <c r="H65" s="1831">
        <f>IF(G65="商业",项目基本情况!B43,IF(G65="办公",项目基本情况!C43,IF(G65="住宅",项目基本情况!D43,项目基本情况!E43)))</f>
        <v>0</v>
      </c>
      <c r="I65" s="1469">
        <f>SUMIF(修正!$A$45:$A$56,H65,修正!H45:H56)</f>
        <v>0</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0.2</v>
      </c>
      <c r="D66" s="2080">
        <v>0.25</v>
      </c>
      <c r="E66" s="615">
        <f>'数据-汇总表'!E14</f>
        <v>0</v>
      </c>
      <c r="F66" s="610" t="e">
        <f t="shared" si="15"/>
        <v>#DIV/0!</v>
      </c>
      <c r="G66" s="1832" t="s">
        <v>2248</v>
      </c>
      <c r="H66" s="1835" t="str">
        <f>项目基本情况!B43</f>
        <v>六级</v>
      </c>
      <c r="I66" s="1469">
        <f>SUMIF(修正!$A$45:$A$56,H66,修正!H45:H56)</f>
        <v>0.2</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2259</v>
      </c>
      <c r="E68" s="617">
        <f>IF(B48="楼面地价",SUM(E58:E67),'数据-汇总表'!D3)</f>
        <v>3580.29</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2021-12-1</v>
      </c>
      <c r="D70" s="2484">
        <f>EDATE(C70,-3)</f>
        <v>44440</v>
      </c>
      <c r="E70" s="2484">
        <f t="shared" ref="E70:N70" si="18">EDATE(D70,-3)</f>
        <v>44348</v>
      </c>
      <c r="F70" s="2484">
        <f t="shared" si="18"/>
        <v>44256</v>
      </c>
      <c r="G70" s="2484">
        <f t="shared" si="18"/>
        <v>44166</v>
      </c>
      <c r="H70" s="2484">
        <f t="shared" si="18"/>
        <v>44075</v>
      </c>
      <c r="I70" s="2484">
        <f t="shared" si="18"/>
        <v>43983</v>
      </c>
      <c r="J70" s="2484">
        <f t="shared" si="18"/>
        <v>43891</v>
      </c>
      <c r="K70" s="2484">
        <f t="shared" si="18"/>
        <v>43800</v>
      </c>
      <c r="L70" s="2484">
        <f t="shared" si="18"/>
        <v>43709</v>
      </c>
      <c r="M70" s="2484">
        <f t="shared" si="18"/>
        <v>43617</v>
      </c>
      <c r="N70" s="2484">
        <f t="shared" si="18"/>
        <v>43525</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2021-4</v>
      </c>
      <c r="D72" s="2486" t="str">
        <f>YEAR(D70)&amp;"-"&amp;ROUNDUP(MONTH(D70)/3,0)</f>
        <v>2021-3</v>
      </c>
      <c r="E72" s="2486" t="str">
        <f t="shared" ref="E72:N72" si="19">YEAR(E70)&amp;"-"&amp;ROUNDUP(MONTH(E70)/3,0)</f>
        <v>2021-2</v>
      </c>
      <c r="F72" s="2486" t="str">
        <f t="shared" si="19"/>
        <v>2021-1</v>
      </c>
      <c r="G72" s="2486" t="str">
        <f t="shared" si="19"/>
        <v>2020-4</v>
      </c>
      <c r="H72" s="2486" t="str">
        <f t="shared" si="19"/>
        <v>2020-3</v>
      </c>
      <c r="I72" s="2486" t="str">
        <f t="shared" si="19"/>
        <v>2020-2</v>
      </c>
      <c r="J72" s="2486" t="str">
        <f t="shared" si="19"/>
        <v>2020-1</v>
      </c>
      <c r="K72" s="2486" t="str">
        <f t="shared" si="19"/>
        <v>2019-4</v>
      </c>
      <c r="L72" s="2486" t="str">
        <f t="shared" si="19"/>
        <v>2019-3</v>
      </c>
      <c r="M72" s="2486" t="str">
        <f t="shared" si="19"/>
        <v>2019-2</v>
      </c>
      <c r="N72" s="2486" t="str">
        <f t="shared" si="19"/>
        <v>2019-1</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"北京市平均增长率"&amp;TEXT(SUMIF(基准地价!N21:N25,A73,基准地价!P21:P25),"0.00%")</f>
        <v>北京市平均增长率1.66%</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7" priority="18" stopIfTrue="1" operator="containsText" text="超过">
      <formula>NOT(ISERROR(SEARCH("超过",F53)))</formula>
    </cfRule>
  </conditionalFormatting>
  <conditionalFormatting sqref="J55">
    <cfRule type="containsText" dxfId="196" priority="17" stopIfTrue="1" operator="containsText" text="超过">
      <formula>NOT(ISERROR(SEARCH("超过",J55)))</formula>
    </cfRule>
  </conditionalFormatting>
  <conditionalFormatting sqref="H55">
    <cfRule type="containsText" dxfId="195" priority="16" stopIfTrue="1" operator="containsText" text="超过">
      <formula>NOT(ISERROR(SEARCH("超过",H55)))</formula>
    </cfRule>
  </conditionalFormatting>
  <conditionalFormatting sqref="F55">
    <cfRule type="containsText" dxfId="194" priority="15" stopIfTrue="1" operator="containsText" text="超过">
      <formula>NOT(ISERROR(SEARCH("超过",F55)))</formula>
    </cfRule>
  </conditionalFormatting>
  <conditionalFormatting sqref="F54 H54 J54">
    <cfRule type="containsText" dxfId="193" priority="14" stopIfTrue="1" operator="containsText" text="超过">
      <formula>NOT(ISERROR(SEARCH("超过",F54)))</formula>
    </cfRule>
  </conditionalFormatting>
  <conditionalFormatting sqref="E53">
    <cfRule type="expression" dxfId="192" priority="13" stopIfTrue="1">
      <formula>$F$53="超过30%"</formula>
    </cfRule>
  </conditionalFormatting>
  <conditionalFormatting sqref="G55">
    <cfRule type="expression" dxfId="191" priority="12" stopIfTrue="1">
      <formula>$H$55="超过30%"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3">
    <cfRule type="expression" dxfId="188" priority="9" stopIfTrue="1">
      <formula>$H$55+$H$53="超过30%"</formula>
    </cfRule>
  </conditionalFormatting>
  <conditionalFormatting sqref="G54">
    <cfRule type="expression" dxfId="187" priority="8" stopIfTrue="1">
      <formula>$H$54="超过20%"</formula>
    </cfRule>
  </conditionalFormatting>
  <conditionalFormatting sqref="I53">
    <cfRule type="expression" dxfId="186" priority="7" stopIfTrue="1">
      <formula>$J$53="超过30%"</formula>
    </cfRule>
  </conditionalFormatting>
  <conditionalFormatting sqref="I54">
    <cfRule type="expression" dxfId="185" priority="6" stopIfTrue="1">
      <formula>$J$54="超过20%"</formula>
    </cfRule>
  </conditionalFormatting>
  <conditionalFormatting sqref="I55">
    <cfRule type="expression" dxfId="184" priority="5" stopIfTrue="1">
      <formula>$J$55="超过30%"</formula>
    </cfRule>
  </conditionalFormatting>
  <conditionalFormatting sqref="F49">
    <cfRule type="expression" dxfId="183" priority="4">
      <formula>$D$49="简单平均"</formula>
    </cfRule>
  </conditionalFormatting>
  <conditionalFormatting sqref="H49">
    <cfRule type="expression" dxfId="182" priority="3">
      <formula>$D$49="简单平均"</formula>
    </cfRule>
  </conditionalFormatting>
  <conditionalFormatting sqref="J49">
    <cfRule type="expression" dxfId="181" priority="2">
      <formula>$D$49="简单平均"</formula>
    </cfRule>
  </conditionalFormatting>
  <conditionalFormatting sqref="F9:F47 H9:H47 J9:J47">
    <cfRule type="cellIs" dxfId="18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14" zoomScale="60" zoomScaleNormal="50" workbookViewId="0">
      <selection activeCell="S47" sqref="S47"/>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ht="15">
      <c r="A6" s="488" t="s">
        <v>499</v>
      </c>
      <c r="B6" s="489"/>
      <c r="C6" s="4307" t="s">
        <v>500</v>
      </c>
      <c r="D6" s="4308"/>
      <c r="E6" s="4332" t="s">
        <v>501</v>
      </c>
      <c r="F6" s="4333"/>
      <c r="G6" s="4307" t="s">
        <v>502</v>
      </c>
      <c r="H6" s="4308"/>
      <c r="I6" s="4307" t="s">
        <v>503</v>
      </c>
      <c r="J6" s="4308"/>
      <c r="K6" s="490" t="s">
        <v>504</v>
      </c>
      <c r="L6" s="1986"/>
      <c r="M6" s="1987"/>
      <c r="N6" s="1987"/>
      <c r="O6" s="1987"/>
      <c r="P6" s="4309" t="s">
        <v>505</v>
      </c>
      <c r="Q6" s="4310"/>
      <c r="R6" s="4295" t="s">
        <v>501</v>
      </c>
      <c r="S6" s="4296"/>
      <c r="T6" s="4295" t="s">
        <v>502</v>
      </c>
      <c r="U6" s="4296"/>
      <c r="V6" s="4315" t="s">
        <v>503</v>
      </c>
      <c r="W6" s="4315"/>
      <c r="X6" s="1476"/>
      <c r="Y6" s="4295" t="s">
        <v>505</v>
      </c>
      <c r="Z6" s="4296"/>
      <c r="AA6" s="4290" t="s">
        <v>501</v>
      </c>
      <c r="AB6" s="4291" t="s">
        <v>502</v>
      </c>
      <c r="AC6" s="4290" t="s">
        <v>503</v>
      </c>
    </row>
    <row r="7" spans="1:29" ht="15">
      <c r="A7" s="491"/>
      <c r="B7" s="492"/>
      <c r="C7" s="4318" t="s">
        <v>2867</v>
      </c>
      <c r="D7" s="4319"/>
      <c r="E7" s="4334" t="s">
        <v>2868</v>
      </c>
      <c r="F7" s="4335"/>
      <c r="G7" s="4318" t="s">
        <v>2869</v>
      </c>
      <c r="H7" s="4319"/>
      <c r="I7" s="4318" t="s">
        <v>2870</v>
      </c>
      <c r="J7" s="4319"/>
      <c r="K7" s="490"/>
      <c r="L7" s="1986"/>
      <c r="M7" s="1987"/>
      <c r="N7" s="1987"/>
      <c r="O7" s="1987"/>
      <c r="P7" s="4311"/>
      <c r="Q7" s="4312"/>
      <c r="R7" s="4297"/>
      <c r="S7" s="4298"/>
      <c r="T7" s="4297"/>
      <c r="U7" s="4298"/>
      <c r="V7" s="4315"/>
      <c r="W7" s="4315"/>
      <c r="X7" s="1476"/>
      <c r="Y7" s="4297"/>
      <c r="Z7" s="4298"/>
      <c r="AA7" s="4291"/>
      <c r="AB7" s="4291"/>
      <c r="AC7" s="4291"/>
    </row>
    <row r="8" spans="1:29" ht="15.75" thickBot="1">
      <c r="A8" s="493"/>
      <c r="B8" s="494"/>
      <c r="C8" s="4316" t="s">
        <v>2871</v>
      </c>
      <c r="D8" s="4317"/>
      <c r="E8" s="4336" t="s">
        <v>2871</v>
      </c>
      <c r="F8" s="4337"/>
      <c r="G8" s="4316" t="s">
        <v>2871</v>
      </c>
      <c r="H8" s="4317"/>
      <c r="I8" s="4316" t="s">
        <v>2871</v>
      </c>
      <c r="J8" s="4317"/>
      <c r="K8" s="490" t="s">
        <v>506</v>
      </c>
      <c r="L8" s="1986"/>
      <c r="M8" s="1987"/>
      <c r="N8" s="1987"/>
      <c r="O8" s="1987"/>
      <c r="P8" s="4313"/>
      <c r="Q8" s="4314"/>
      <c r="R8" s="4297"/>
      <c r="S8" s="4298"/>
      <c r="T8" s="4299"/>
      <c r="U8" s="4300"/>
      <c r="V8" s="4315"/>
      <c r="W8" s="4315"/>
      <c r="X8" s="1476"/>
      <c r="Y8" s="4299"/>
      <c r="Z8" s="4300"/>
      <c r="AA8" s="4292"/>
      <c r="AB8" s="4292"/>
      <c r="AC8" s="4292"/>
    </row>
    <row r="9" spans="1:29" s="1185" customFormat="1" ht="15.75" thickBot="1">
      <c r="A9" s="2597"/>
      <c r="B9" s="2604" t="s">
        <v>507</v>
      </c>
      <c r="C9" s="495">
        <f>'数据-取费表'!B2</f>
        <v>44550</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4293" t="s">
        <v>508</v>
      </c>
      <c r="Q9" s="4302"/>
      <c r="R9" s="1477" t="s">
        <v>8</v>
      </c>
      <c r="S9" s="1478">
        <f t="shared" ref="S9:S17" si="0">F9</f>
        <v>0</v>
      </c>
      <c r="T9" s="1477" t="s">
        <v>8</v>
      </c>
      <c r="U9" s="1478">
        <f t="shared" ref="U9:U17" si="1">H9</f>
        <v>0</v>
      </c>
      <c r="V9" s="1477" t="s">
        <v>8</v>
      </c>
      <c r="W9" s="1478">
        <f t="shared" ref="W9:W17" si="2">J9</f>
        <v>0</v>
      </c>
      <c r="X9" s="1479"/>
      <c r="Y9" s="4293" t="s">
        <v>508</v>
      </c>
      <c r="Z9" s="4294"/>
      <c r="AA9" s="1480" t="e">
        <f>D9/F9</f>
        <v>#DIV/0!</v>
      </c>
      <c r="AB9" s="1480" t="e">
        <f>D9/H9</f>
        <v>#DIV/0!</v>
      </c>
      <c r="AC9" s="1480" t="e">
        <f>D9/J9</f>
        <v>#DIV/0!</v>
      </c>
    </row>
    <row r="10" spans="1:29" s="1185" customFormat="1" ht="15.7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4293" t="s">
        <v>511</v>
      </c>
      <c r="Q10" s="4294"/>
      <c r="R10" s="1477" t="s">
        <v>8</v>
      </c>
      <c r="S10" s="1478">
        <f t="shared" si="0"/>
        <v>0</v>
      </c>
      <c r="T10" s="1477" t="s">
        <v>8</v>
      </c>
      <c r="U10" s="1478">
        <f t="shared" si="1"/>
        <v>0</v>
      </c>
      <c r="V10" s="1477" t="s">
        <v>8</v>
      </c>
      <c r="W10" s="1478">
        <f t="shared" si="2"/>
        <v>0</v>
      </c>
      <c r="X10" s="1479"/>
      <c r="Y10" s="4293" t="s">
        <v>511</v>
      </c>
      <c r="Z10" s="4294"/>
      <c r="AA10" s="1480" t="e">
        <f t="shared" ref="AA10:AA42" si="3">D10/F10</f>
        <v>#DIV/0!</v>
      </c>
      <c r="AB10" s="1480" t="e">
        <f t="shared" ref="AB10:AB42" si="4">D10/H10</f>
        <v>#DIV/0!</v>
      </c>
      <c r="AC10" s="1480" t="e">
        <f t="shared" ref="AC10:AC42" si="5">D10/J10</f>
        <v>#DIV/0!</v>
      </c>
    </row>
    <row r="11" spans="1:29" s="1185" customFormat="1" ht="15">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4301" t="s">
        <v>513</v>
      </c>
      <c r="Q11" s="1116" t="str">
        <f t="shared" ref="Q11:Q17" si="6">B11</f>
        <v>用途</v>
      </c>
      <c r="R11" s="1477" t="s">
        <v>8</v>
      </c>
      <c r="S11" s="1478">
        <f t="shared" si="0"/>
        <v>100</v>
      </c>
      <c r="T11" s="1477" t="s">
        <v>8</v>
      </c>
      <c r="U11" s="1478">
        <f t="shared" si="1"/>
        <v>100</v>
      </c>
      <c r="V11" s="1477" t="s">
        <v>8</v>
      </c>
      <c r="W11" s="1478">
        <f t="shared" si="2"/>
        <v>100</v>
      </c>
      <c r="X11" s="1479"/>
      <c r="Y11" s="4248" t="s">
        <v>514</v>
      </c>
      <c r="Z11" s="1115" t="str">
        <f t="shared" ref="Z11:Z17" si="7">Q11</f>
        <v>用途</v>
      </c>
      <c r="AA11" s="1480">
        <f t="shared" si="3"/>
        <v>1</v>
      </c>
      <c r="AB11" s="1480">
        <f t="shared" si="4"/>
        <v>1</v>
      </c>
      <c r="AC11" s="1480">
        <f t="shared" si="5"/>
        <v>1</v>
      </c>
    </row>
    <row r="12" spans="1:29" s="1266" customFormat="1" ht="27">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4301"/>
      <c r="Q12" s="1116" t="str">
        <f t="shared" si="6"/>
        <v>土地使用年限（年）</v>
      </c>
      <c r="R12" s="1477" t="s">
        <v>8</v>
      </c>
      <c r="S12" s="1478">
        <f t="shared" si="0"/>
        <v>100</v>
      </c>
      <c r="T12" s="1477" t="s">
        <v>8</v>
      </c>
      <c r="U12" s="1478">
        <f t="shared" si="1"/>
        <v>100</v>
      </c>
      <c r="V12" s="1477" t="s">
        <v>8</v>
      </c>
      <c r="W12" s="1478">
        <f t="shared" si="2"/>
        <v>100</v>
      </c>
      <c r="X12" s="1479"/>
      <c r="Y12" s="4248"/>
      <c r="Z12" s="1115" t="str">
        <f t="shared" si="7"/>
        <v>土地使用年限（年）</v>
      </c>
      <c r="AA12" s="1480">
        <f t="shared" si="3"/>
        <v>1</v>
      </c>
      <c r="AB12" s="1480">
        <f t="shared" si="4"/>
        <v>1</v>
      </c>
      <c r="AC12" s="1480">
        <f t="shared" si="5"/>
        <v>1</v>
      </c>
    </row>
    <row r="13" spans="1:29" ht="1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4301"/>
      <c r="Q13" s="1116" t="str">
        <f t="shared" si="6"/>
        <v>容积率</v>
      </c>
      <c r="R13" s="1477" t="s">
        <v>8</v>
      </c>
      <c r="S13" s="1478" t="e">
        <f t="shared" si="0"/>
        <v>#N/A</v>
      </c>
      <c r="T13" s="1477" t="s">
        <v>8</v>
      </c>
      <c r="U13" s="1478" t="e">
        <f t="shared" si="1"/>
        <v>#N/A</v>
      </c>
      <c r="V13" s="1477" t="s">
        <v>8</v>
      </c>
      <c r="W13" s="1478" t="e">
        <f t="shared" si="2"/>
        <v>#N/A</v>
      </c>
      <c r="X13" s="1479"/>
      <c r="Y13" s="4248"/>
      <c r="Z13" s="1115" t="str">
        <f t="shared" si="7"/>
        <v>容积率</v>
      </c>
      <c r="AA13" s="1480" t="e">
        <f t="shared" si="3"/>
        <v>#N/A</v>
      </c>
      <c r="AB13" s="1480" t="e">
        <f t="shared" si="4"/>
        <v>#N/A</v>
      </c>
      <c r="AC13" s="1480" t="e">
        <f t="shared" si="5"/>
        <v>#N/A</v>
      </c>
    </row>
    <row r="14" spans="1:29" s="1185" customFormat="1" ht="1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4301"/>
      <c r="Q14" s="1116">
        <f t="shared" si="6"/>
        <v>111</v>
      </c>
      <c r="R14" s="1477" t="s">
        <v>8</v>
      </c>
      <c r="S14" s="1478">
        <f t="shared" si="0"/>
        <v>100</v>
      </c>
      <c r="T14" s="1477" t="s">
        <v>8</v>
      </c>
      <c r="U14" s="1478">
        <f t="shared" si="1"/>
        <v>100</v>
      </c>
      <c r="V14" s="1477" t="s">
        <v>8</v>
      </c>
      <c r="W14" s="1478">
        <f t="shared" si="2"/>
        <v>100</v>
      </c>
      <c r="X14" s="1479"/>
      <c r="Y14" s="4248"/>
      <c r="Z14" s="1115">
        <f t="shared" si="7"/>
        <v>111</v>
      </c>
      <c r="AA14" s="1480">
        <f>D14/F14</f>
        <v>1</v>
      </c>
      <c r="AB14" s="1480">
        <f>D14/H14</f>
        <v>1</v>
      </c>
      <c r="AC14" s="1480">
        <f>D14/J14</f>
        <v>1</v>
      </c>
    </row>
    <row r="15" spans="1:29" ht="1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4301"/>
      <c r="Q15" s="1116">
        <f t="shared" si="6"/>
        <v>111</v>
      </c>
      <c r="R15" s="1477" t="s">
        <v>8</v>
      </c>
      <c r="S15" s="1478">
        <f t="shared" si="0"/>
        <v>100</v>
      </c>
      <c r="T15" s="1477" t="s">
        <v>8</v>
      </c>
      <c r="U15" s="1478">
        <f t="shared" si="1"/>
        <v>100</v>
      </c>
      <c r="V15" s="1477" t="s">
        <v>8</v>
      </c>
      <c r="W15" s="1478">
        <f t="shared" si="2"/>
        <v>100</v>
      </c>
      <c r="X15" s="1479"/>
      <c r="Y15" s="4248"/>
      <c r="Z15" s="1115">
        <f t="shared" si="7"/>
        <v>111</v>
      </c>
      <c r="AA15" s="1480">
        <f t="shared" si="3"/>
        <v>1</v>
      </c>
      <c r="AB15" s="1480">
        <f t="shared" si="4"/>
        <v>1</v>
      </c>
      <c r="AC15" s="1480">
        <f t="shared" si="5"/>
        <v>1</v>
      </c>
    </row>
    <row r="16" spans="1:29" ht="15.75"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4301"/>
      <c r="Q16" s="1116">
        <f t="shared" si="6"/>
        <v>111</v>
      </c>
      <c r="R16" s="1477" t="s">
        <v>8</v>
      </c>
      <c r="S16" s="1478">
        <f t="shared" si="0"/>
        <v>100</v>
      </c>
      <c r="T16" s="1477" t="s">
        <v>8</v>
      </c>
      <c r="U16" s="1478">
        <f t="shared" si="1"/>
        <v>100</v>
      </c>
      <c r="V16" s="1477" t="s">
        <v>8</v>
      </c>
      <c r="W16" s="1478">
        <f t="shared" si="2"/>
        <v>100</v>
      </c>
      <c r="X16" s="1479"/>
      <c r="Y16" s="4248"/>
      <c r="Z16" s="1115">
        <f t="shared" si="7"/>
        <v>111</v>
      </c>
      <c r="AA16" s="1480">
        <f t="shared" si="3"/>
        <v>1</v>
      </c>
      <c r="AB16" s="1480">
        <f t="shared" si="4"/>
        <v>1</v>
      </c>
      <c r="AC16" s="1480">
        <f t="shared" si="5"/>
        <v>1</v>
      </c>
    </row>
    <row r="17" spans="1:29" ht="57">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4303" t="s">
        <v>518</v>
      </c>
      <c r="Q17" s="1481" t="str">
        <f t="shared" si="6"/>
        <v>产业集聚程度</v>
      </c>
      <c r="R17" s="1482" t="s">
        <v>8</v>
      </c>
      <c r="S17" s="1483">
        <f t="shared" si="0"/>
        <v>100</v>
      </c>
      <c r="T17" s="1482" t="s">
        <v>8</v>
      </c>
      <c r="U17" s="1483">
        <f t="shared" si="1"/>
        <v>100</v>
      </c>
      <c r="V17" s="1482" t="s">
        <v>8</v>
      </c>
      <c r="W17" s="1483">
        <f t="shared" si="2"/>
        <v>100</v>
      </c>
      <c r="X17" s="1476"/>
      <c r="Y17" s="4303" t="s">
        <v>518</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5"/>
      <c r="M18" s="1987"/>
      <c r="N18" s="1987"/>
      <c r="O18" s="1994"/>
      <c r="P18" s="4304"/>
      <c r="Q18" s="1481"/>
      <c r="R18" s="1482"/>
      <c r="S18" s="1483"/>
      <c r="T18" s="1482"/>
      <c r="U18" s="1483"/>
      <c r="V18" s="1482"/>
      <c r="W18" s="1483"/>
      <c r="X18" s="1476"/>
      <c r="Y18" s="4304"/>
      <c r="Z18" s="1484"/>
      <c r="AA18" s="1485">
        <v>1</v>
      </c>
      <c r="AB18" s="1485">
        <v>1</v>
      </c>
      <c r="AC18" s="1485">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4304"/>
      <c r="Q19" s="1481" t="str">
        <f>B19</f>
        <v>交通便捷度</v>
      </c>
      <c r="R19" s="1482" t="s">
        <v>8</v>
      </c>
      <c r="S19" s="1483">
        <f>F19</f>
        <v>100</v>
      </c>
      <c r="T19" s="1482" t="s">
        <v>8</v>
      </c>
      <c r="U19" s="1483">
        <f>H19</f>
        <v>100</v>
      </c>
      <c r="V19" s="1482" t="s">
        <v>8</v>
      </c>
      <c r="W19" s="1483">
        <f>J19</f>
        <v>100</v>
      </c>
      <c r="X19" s="1476"/>
      <c r="Y19" s="4304"/>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5"/>
      <c r="M20" s="1987"/>
      <c r="N20" s="1987"/>
      <c r="O20" s="1994"/>
      <c r="P20" s="4304"/>
      <c r="Q20" s="1481"/>
      <c r="R20" s="1482"/>
      <c r="S20" s="1483"/>
      <c r="T20" s="1482"/>
      <c r="U20" s="1483"/>
      <c r="V20" s="1482"/>
      <c r="W20" s="1483"/>
      <c r="X20" s="1476"/>
      <c r="Y20" s="4304"/>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4304"/>
      <c r="Q21" s="1481" t="str">
        <f t="shared" ref="Q21:Q35" si="8">B21</f>
        <v>区域土地利用方向</v>
      </c>
      <c r="R21" s="1482" t="s">
        <v>8</v>
      </c>
      <c r="S21" s="1483">
        <f>F21</f>
        <v>100</v>
      </c>
      <c r="T21" s="1482" t="s">
        <v>8</v>
      </c>
      <c r="U21" s="1483">
        <f>H21</f>
        <v>100</v>
      </c>
      <c r="V21" s="1482" t="s">
        <v>8</v>
      </c>
      <c r="W21" s="1483">
        <f>J21</f>
        <v>100</v>
      </c>
      <c r="X21" s="1476"/>
      <c r="Y21" s="4304"/>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5"/>
      <c r="M22" s="1987"/>
      <c r="N22" s="1987"/>
      <c r="O22" s="1994"/>
      <c r="P22" s="4304"/>
      <c r="Q22" s="1481"/>
      <c r="R22" s="1482"/>
      <c r="S22" s="1483"/>
      <c r="T22" s="1482"/>
      <c r="U22" s="1483"/>
      <c r="V22" s="1482"/>
      <c r="W22" s="1483"/>
      <c r="X22" s="1476"/>
      <c r="Y22" s="4304"/>
      <c r="Z22" s="1484"/>
      <c r="AA22" s="1485"/>
      <c r="AB22" s="1485"/>
      <c r="AC22" s="1485"/>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4304"/>
      <c r="Q23" s="1481" t="str">
        <f t="shared" si="8"/>
        <v>环境状况</v>
      </c>
      <c r="R23" s="1482" t="s">
        <v>8</v>
      </c>
      <c r="S23" s="1483">
        <f>F23</f>
        <v>100</v>
      </c>
      <c r="T23" s="1482" t="s">
        <v>8</v>
      </c>
      <c r="U23" s="1483">
        <f>H23</f>
        <v>100</v>
      </c>
      <c r="V23" s="1482" t="s">
        <v>8</v>
      </c>
      <c r="W23" s="1483">
        <f>J23</f>
        <v>100</v>
      </c>
      <c r="X23" s="1476"/>
      <c r="Y23" s="4304"/>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5"/>
      <c r="M24" s="1987"/>
      <c r="N24" s="1987"/>
      <c r="O24" s="1994"/>
      <c r="P24" s="4304"/>
      <c r="Q24" s="1481"/>
      <c r="R24" s="1482"/>
      <c r="S24" s="1483"/>
      <c r="T24" s="1482"/>
      <c r="U24" s="1483"/>
      <c r="V24" s="1482"/>
      <c r="W24" s="1483"/>
      <c r="X24" s="1476"/>
      <c r="Y24" s="4304"/>
      <c r="Z24" s="1484"/>
      <c r="AA24" s="1485">
        <v>1</v>
      </c>
      <c r="AB24" s="1485">
        <v>1</v>
      </c>
      <c r="AC24" s="1485">
        <v>1</v>
      </c>
    </row>
    <row r="25" spans="1:29" s="1185" customFormat="1" ht="42.75">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4304"/>
      <c r="Q25" s="1116" t="str">
        <f t="shared" si="8"/>
        <v>公共配套设施</v>
      </c>
      <c r="R25" s="1477" t="s">
        <v>8</v>
      </c>
      <c r="S25" s="1478">
        <f>F25</f>
        <v>100</v>
      </c>
      <c r="T25" s="1477" t="s">
        <v>8</v>
      </c>
      <c r="U25" s="1478">
        <f>H25</f>
        <v>100</v>
      </c>
      <c r="V25" s="1477" t="s">
        <v>8</v>
      </c>
      <c r="W25" s="1478">
        <f>J25</f>
        <v>100</v>
      </c>
      <c r="X25" s="1479"/>
      <c r="Y25" s="4304"/>
      <c r="Z25" s="1115" t="str">
        <f>Q25</f>
        <v>公共配套设施</v>
      </c>
      <c r="AA25" s="1485">
        <f>D25/F25</f>
        <v>1</v>
      </c>
      <c r="AB25" s="1485">
        <f>D25/H25</f>
        <v>1</v>
      </c>
      <c r="AC25" s="1485">
        <f>D25/J25</f>
        <v>1</v>
      </c>
    </row>
    <row r="26" spans="1:29" s="1185" customFormat="1" ht="15">
      <c r="A26" s="553"/>
      <c r="B26" s="571"/>
      <c r="C26" s="2404"/>
      <c r="D26" s="531"/>
      <c r="E26" s="530"/>
      <c r="F26" s="531"/>
      <c r="G26" s="530"/>
      <c r="H26" s="531"/>
      <c r="I26" s="552"/>
      <c r="J26" s="531"/>
      <c r="K26" s="507"/>
      <c r="L26" s="1988"/>
      <c r="M26" s="1989"/>
      <c r="N26" s="1989"/>
      <c r="O26" s="1990"/>
      <c r="P26" s="4304"/>
      <c r="Q26" s="1116"/>
      <c r="R26" s="1477"/>
      <c r="S26" s="1478"/>
      <c r="T26" s="1477"/>
      <c r="U26" s="1478"/>
      <c r="V26" s="1477"/>
      <c r="W26" s="1478"/>
      <c r="X26" s="1479"/>
      <c r="Y26" s="4304"/>
      <c r="Z26" s="1115"/>
      <c r="AA26" s="1480">
        <v>1</v>
      </c>
      <c r="AB26" s="1480">
        <v>1</v>
      </c>
      <c r="AC26" s="1480">
        <v>1</v>
      </c>
    </row>
    <row r="27" spans="1:29" s="1185" customFormat="1" ht="28.5">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4304"/>
      <c r="Q27" s="2396" t="str">
        <f t="shared" ref="Q27" si="9">B27</f>
        <v>基础设施水平</v>
      </c>
      <c r="R27" s="1477" t="s">
        <v>8</v>
      </c>
      <c r="S27" s="1478">
        <f>F27</f>
        <v>100</v>
      </c>
      <c r="T27" s="1477" t="s">
        <v>8</v>
      </c>
      <c r="U27" s="1478">
        <f>H27</f>
        <v>100</v>
      </c>
      <c r="V27" s="1477" t="s">
        <v>8</v>
      </c>
      <c r="W27" s="1478">
        <f>J27</f>
        <v>100</v>
      </c>
      <c r="X27" s="1479"/>
      <c r="Y27" s="4304"/>
      <c r="Z27" s="2395" t="str">
        <f>Q27</f>
        <v>基础设施水平</v>
      </c>
      <c r="AA27" s="1485">
        <f>D27/F27</f>
        <v>1</v>
      </c>
      <c r="AB27" s="1485">
        <f>D27/H27</f>
        <v>1</v>
      </c>
      <c r="AC27" s="1485">
        <f>D27/J27</f>
        <v>1</v>
      </c>
    </row>
    <row r="28" spans="1:29" s="1185" customFormat="1" ht="15">
      <c r="A28" s="553"/>
      <c r="B28" s="571"/>
      <c r="C28" s="2404"/>
      <c r="D28" s="531"/>
      <c r="E28" s="555"/>
      <c r="F28" s="531"/>
      <c r="G28" s="555"/>
      <c r="H28" s="531"/>
      <c r="I28" s="555"/>
      <c r="J28" s="531"/>
      <c r="K28" s="507"/>
      <c r="L28" s="1988"/>
      <c r="M28" s="1989"/>
      <c r="N28" s="1989"/>
      <c r="O28" s="1990"/>
      <c r="P28" s="4304"/>
      <c r="Q28" s="2396"/>
      <c r="R28" s="1477"/>
      <c r="S28" s="1478"/>
      <c r="T28" s="1477"/>
      <c r="U28" s="1478"/>
      <c r="V28" s="1477"/>
      <c r="W28" s="1478"/>
      <c r="X28" s="1479"/>
      <c r="Y28" s="4304"/>
      <c r="Z28" s="2395"/>
      <c r="AA28" s="1480">
        <v>1</v>
      </c>
      <c r="AB28" s="1480">
        <v>1</v>
      </c>
      <c r="AC28" s="1480">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4304"/>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4304"/>
      <c r="Z29" s="1484" t="str">
        <f t="shared" ref="Z29:Z42" si="13">Q29</f>
        <v>临街状况</v>
      </c>
      <c r="AA29" s="1485">
        <f t="shared" si="3"/>
        <v>1</v>
      </c>
      <c r="AB29" s="1485">
        <f t="shared" si="4"/>
        <v>1</v>
      </c>
      <c r="AC29" s="1485">
        <f t="shared" si="5"/>
        <v>1</v>
      </c>
    </row>
    <row r="30" spans="1:29" ht="27">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4304"/>
      <c r="Q30" s="1481" t="str">
        <f t="shared" si="8"/>
        <v>毗邻道路的类型与等级</v>
      </c>
      <c r="R30" s="1482" t="s">
        <v>8</v>
      </c>
      <c r="S30" s="1483">
        <f t="shared" si="10"/>
        <v>100</v>
      </c>
      <c r="T30" s="1482" t="s">
        <v>8</v>
      </c>
      <c r="U30" s="1483">
        <f t="shared" si="11"/>
        <v>100</v>
      </c>
      <c r="V30" s="1482" t="s">
        <v>8</v>
      </c>
      <c r="W30" s="1483">
        <f t="shared" si="12"/>
        <v>100</v>
      </c>
      <c r="X30" s="1476"/>
      <c r="Y30" s="4304"/>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5"/>
      <c r="M31" s="1987"/>
      <c r="N31" s="1987"/>
      <c r="O31" s="1994"/>
      <c r="P31" s="4304"/>
      <c r="Q31" s="1481"/>
      <c r="R31" s="1482"/>
      <c r="S31" s="1483"/>
      <c r="T31" s="1482"/>
      <c r="U31" s="1483"/>
      <c r="V31" s="1482"/>
      <c r="W31" s="1483"/>
      <c r="X31" s="1476"/>
      <c r="Y31" s="4304"/>
      <c r="Z31" s="1484"/>
      <c r="AA31" s="1485">
        <v>1</v>
      </c>
      <c r="AB31" s="1485">
        <v>1</v>
      </c>
      <c r="AC31" s="1485">
        <v>1</v>
      </c>
    </row>
    <row r="32" spans="1:29" ht="1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4304"/>
      <c r="Q32" s="1481" t="str">
        <f t="shared" si="8"/>
        <v>土地级别</v>
      </c>
      <c r="R32" s="1482" t="s">
        <v>8</v>
      </c>
      <c r="S32" s="1483">
        <f t="shared" si="10"/>
        <v>100</v>
      </c>
      <c r="T32" s="1482" t="s">
        <v>8</v>
      </c>
      <c r="U32" s="1483">
        <f t="shared" si="11"/>
        <v>100</v>
      </c>
      <c r="V32" s="1482" t="s">
        <v>8</v>
      </c>
      <c r="W32" s="1483">
        <f t="shared" si="12"/>
        <v>100</v>
      </c>
      <c r="X32" s="1476"/>
      <c r="Y32" s="4304"/>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4304"/>
      <c r="Q33" s="1481">
        <f t="shared" si="8"/>
        <v>111</v>
      </c>
      <c r="R33" s="1482" t="s">
        <v>8</v>
      </c>
      <c r="S33" s="1483">
        <f t="shared" si="10"/>
        <v>100</v>
      </c>
      <c r="T33" s="1482" t="s">
        <v>8</v>
      </c>
      <c r="U33" s="1483">
        <f t="shared" si="11"/>
        <v>100</v>
      </c>
      <c r="V33" s="1482" t="s">
        <v>8</v>
      </c>
      <c r="W33" s="1483">
        <f t="shared" si="12"/>
        <v>100</v>
      </c>
      <c r="X33" s="1476"/>
      <c r="Y33" s="4304"/>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4305" t="s">
        <v>528</v>
      </c>
      <c r="Q34" s="1481">
        <f t="shared" si="8"/>
        <v>111</v>
      </c>
      <c r="R34" s="1482" t="s">
        <v>8</v>
      </c>
      <c r="S34" s="1483">
        <f t="shared" si="10"/>
        <v>100</v>
      </c>
      <c r="T34" s="1482" t="s">
        <v>8</v>
      </c>
      <c r="U34" s="1483">
        <f t="shared" si="11"/>
        <v>100</v>
      </c>
      <c r="V34" s="1482" t="s">
        <v>8</v>
      </c>
      <c r="W34" s="1483">
        <f t="shared" si="12"/>
        <v>100</v>
      </c>
      <c r="X34" s="1476"/>
      <c r="Y34" s="4306" t="s">
        <v>528</v>
      </c>
      <c r="Z34" s="1484">
        <f t="shared" si="13"/>
        <v>111</v>
      </c>
      <c r="AA34" s="1485">
        <f t="shared" si="3"/>
        <v>1</v>
      </c>
      <c r="AB34" s="1485">
        <f t="shared" si="4"/>
        <v>1</v>
      </c>
      <c r="AC34" s="1485">
        <f t="shared" si="5"/>
        <v>1</v>
      </c>
    </row>
    <row r="35" spans="1:29" s="1267" customFormat="1" ht="15.75"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4306"/>
      <c r="Q35" s="1481">
        <f t="shared" si="8"/>
        <v>111</v>
      </c>
      <c r="R35" s="1486" t="s">
        <v>8</v>
      </c>
      <c r="S35" s="1487">
        <f t="shared" si="10"/>
        <v>100</v>
      </c>
      <c r="T35" s="1486" t="s">
        <v>8</v>
      </c>
      <c r="U35" s="1487">
        <f t="shared" si="11"/>
        <v>100</v>
      </c>
      <c r="V35" s="1486" t="s">
        <v>8</v>
      </c>
      <c r="W35" s="1487">
        <f t="shared" si="12"/>
        <v>100</v>
      </c>
      <c r="X35" s="1488"/>
      <c r="Y35" s="4306"/>
      <c r="Z35" s="1489">
        <f t="shared" si="13"/>
        <v>111</v>
      </c>
      <c r="AA35" s="1485">
        <f t="shared" si="3"/>
        <v>1</v>
      </c>
      <c r="AB35" s="1485">
        <f t="shared" si="4"/>
        <v>1</v>
      </c>
      <c r="AC35" s="1485">
        <f t="shared" si="5"/>
        <v>1</v>
      </c>
    </row>
    <row r="36" spans="1:29" ht="1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4306"/>
      <c r="Q36" s="1481" t="str">
        <f>B36</f>
        <v>宗地面积</v>
      </c>
      <c r="R36" s="1482" t="s">
        <v>8</v>
      </c>
      <c r="S36" s="1483" t="e">
        <f t="shared" si="10"/>
        <v>#N/A</v>
      </c>
      <c r="T36" s="1482" t="s">
        <v>8</v>
      </c>
      <c r="U36" s="1483" t="e">
        <f t="shared" si="11"/>
        <v>#N/A</v>
      </c>
      <c r="V36" s="1482" t="s">
        <v>8</v>
      </c>
      <c r="W36" s="1483" t="e">
        <f t="shared" si="12"/>
        <v>#N/A</v>
      </c>
      <c r="X36" s="1476"/>
      <c r="Y36" s="4306"/>
      <c r="Z36" s="1484" t="str">
        <f t="shared" si="13"/>
        <v>宗地面积</v>
      </c>
      <c r="AA36" s="1485" t="e">
        <f t="shared" si="3"/>
        <v>#N/A</v>
      </c>
      <c r="AB36" s="1485" t="e">
        <f t="shared" si="4"/>
        <v>#N/A</v>
      </c>
      <c r="AC36" s="1485"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4306"/>
      <c r="Q37" s="1481" t="str">
        <f t="shared" ref="Q37:Q42" si="14">B37</f>
        <v>宗地形状</v>
      </c>
      <c r="R37" s="1482" t="s">
        <v>8</v>
      </c>
      <c r="S37" s="1483">
        <f t="shared" si="10"/>
        <v>100</v>
      </c>
      <c r="T37" s="1482" t="s">
        <v>8</v>
      </c>
      <c r="U37" s="1483">
        <f t="shared" si="11"/>
        <v>100</v>
      </c>
      <c r="V37" s="1482" t="s">
        <v>8</v>
      </c>
      <c r="W37" s="1483">
        <f t="shared" si="12"/>
        <v>100</v>
      </c>
      <c r="X37" s="1476"/>
      <c r="Y37" s="4306"/>
      <c r="Z37" s="1484" t="str">
        <f t="shared" si="13"/>
        <v>宗地形状</v>
      </c>
      <c r="AA37" s="1485">
        <f t="shared" si="3"/>
        <v>1</v>
      </c>
      <c r="AB37" s="1485">
        <f t="shared" si="4"/>
        <v>1</v>
      </c>
      <c r="AC37" s="1485">
        <f t="shared" si="5"/>
        <v>1</v>
      </c>
    </row>
    <row r="38" spans="1:29" s="1185" customFormat="1" ht="1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4306"/>
      <c r="Q38" s="1481" t="str">
        <f t="shared" si="14"/>
        <v>宗地开发程度</v>
      </c>
      <c r="R38" s="1477" t="s">
        <v>8</v>
      </c>
      <c r="S38" s="1478">
        <f t="shared" si="10"/>
        <v>100</v>
      </c>
      <c r="T38" s="1477" t="s">
        <v>8</v>
      </c>
      <c r="U38" s="1478">
        <f t="shared" si="11"/>
        <v>100</v>
      </c>
      <c r="V38" s="1477" t="s">
        <v>8</v>
      </c>
      <c r="W38" s="1478">
        <f t="shared" si="12"/>
        <v>100</v>
      </c>
      <c r="X38" s="1479"/>
      <c r="Y38" s="4306"/>
      <c r="Z38" s="1115" t="str">
        <f t="shared" si="13"/>
        <v>宗地开发程度</v>
      </c>
      <c r="AA38" s="1480">
        <f t="shared" si="3"/>
        <v>1</v>
      </c>
      <c r="AB38" s="1480">
        <f t="shared" si="4"/>
        <v>1</v>
      </c>
      <c r="AC38" s="1480">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4306" t="s">
        <v>579</v>
      </c>
      <c r="Q39" s="1481" t="str">
        <f t="shared" si="14"/>
        <v>工程地质条件</v>
      </c>
      <c r="R39" s="1482" t="s">
        <v>8</v>
      </c>
      <c r="S39" s="1483">
        <f t="shared" si="10"/>
        <v>100</v>
      </c>
      <c r="T39" s="1482" t="s">
        <v>8</v>
      </c>
      <c r="U39" s="1483">
        <f t="shared" si="11"/>
        <v>100</v>
      </c>
      <c r="V39" s="1482" t="s">
        <v>8</v>
      </c>
      <c r="W39" s="1483">
        <f t="shared" si="12"/>
        <v>100</v>
      </c>
      <c r="X39" s="1476"/>
      <c r="Y39" s="4306" t="s">
        <v>579</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4306"/>
      <c r="Q40" s="1481">
        <f t="shared" si="14"/>
        <v>111</v>
      </c>
      <c r="R40" s="1482" t="s">
        <v>8</v>
      </c>
      <c r="S40" s="1483">
        <f t="shared" si="10"/>
        <v>100</v>
      </c>
      <c r="T40" s="1482" t="s">
        <v>8</v>
      </c>
      <c r="U40" s="1483">
        <f t="shared" si="11"/>
        <v>100</v>
      </c>
      <c r="V40" s="1482" t="s">
        <v>8</v>
      </c>
      <c r="W40" s="1483">
        <f t="shared" si="12"/>
        <v>100</v>
      </c>
      <c r="X40" s="1476"/>
      <c r="Y40" s="4306"/>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4306"/>
      <c r="Q41" s="1481">
        <f t="shared" si="14"/>
        <v>111</v>
      </c>
      <c r="R41" s="1482" t="s">
        <v>8</v>
      </c>
      <c r="S41" s="1483">
        <f t="shared" si="10"/>
        <v>100</v>
      </c>
      <c r="T41" s="1482" t="s">
        <v>8</v>
      </c>
      <c r="U41" s="1483">
        <f t="shared" si="11"/>
        <v>100</v>
      </c>
      <c r="V41" s="1482" t="s">
        <v>8</v>
      </c>
      <c r="W41" s="1483">
        <f t="shared" si="12"/>
        <v>100</v>
      </c>
      <c r="X41" s="1476"/>
      <c r="Y41" s="4306"/>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4306"/>
      <c r="Q42" s="1481">
        <f t="shared" si="14"/>
        <v>111</v>
      </c>
      <c r="R42" s="1486" t="s">
        <v>8</v>
      </c>
      <c r="S42" s="1487">
        <f t="shared" si="10"/>
        <v>100</v>
      </c>
      <c r="T42" s="1486" t="s">
        <v>8</v>
      </c>
      <c r="U42" s="1487">
        <f t="shared" si="11"/>
        <v>100</v>
      </c>
      <c r="V42" s="1486" t="s">
        <v>8</v>
      </c>
      <c r="W42" s="1487">
        <f t="shared" si="12"/>
        <v>100</v>
      </c>
      <c r="X42" s="1488"/>
      <c r="Y42" s="4306"/>
      <c r="Z42" s="1489">
        <f t="shared" si="13"/>
        <v>111</v>
      </c>
      <c r="AA42" s="1485">
        <f t="shared" si="3"/>
        <v>1</v>
      </c>
      <c r="AB42" s="1485">
        <f t="shared" si="4"/>
        <v>1</v>
      </c>
      <c r="AC42" s="1485">
        <f t="shared" si="5"/>
        <v>1</v>
      </c>
    </row>
    <row r="43" spans="1:29" ht="15">
      <c r="A43" s="583" t="s">
        <v>534</v>
      </c>
      <c r="B43" s="584" t="s">
        <v>2872</v>
      </c>
      <c r="C43" s="585" t="s">
        <v>1</v>
      </c>
      <c r="D43" s="586"/>
      <c r="E43" s="587"/>
      <c r="F43" s="588"/>
      <c r="G43" s="589"/>
      <c r="H43" s="590"/>
      <c r="I43" s="587"/>
      <c r="J43" s="590"/>
      <c r="K43" s="1268"/>
      <c r="L43" s="1997"/>
      <c r="M43" s="1987"/>
      <c r="N43" s="1987"/>
      <c r="O43" s="1998"/>
      <c r="P43" s="4301" t="str">
        <f>A43</f>
        <v>成交单价</v>
      </c>
      <c r="Q43" s="4301"/>
      <c r="R43" s="4315">
        <f>E43</f>
        <v>0</v>
      </c>
      <c r="S43" s="4315"/>
      <c r="T43" s="4315">
        <f>G43</f>
        <v>0</v>
      </c>
      <c r="U43" s="4315"/>
      <c r="V43" s="4315">
        <f>I43</f>
        <v>0</v>
      </c>
      <c r="W43" s="4315"/>
      <c r="X43" s="1471"/>
      <c r="Y43" s="1490"/>
      <c r="Z43" s="1471"/>
      <c r="AA43" s="1471"/>
      <c r="AB43" s="1471"/>
      <c r="AC43" s="1471"/>
    </row>
    <row r="44" spans="1:29" ht="15.7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4301" t="str">
        <f>A44</f>
        <v>比较价格（元/平方米）</v>
      </c>
      <c r="Q44" s="4301"/>
      <c r="R44" s="4325" t="e">
        <f>ROUND(PRODUCT(R43,AA9:AA42),0)</f>
        <v>#DIV/0!</v>
      </c>
      <c r="S44" s="4325"/>
      <c r="T44" s="4325" t="e">
        <f>ROUND(PRODUCT(T43,AB9:AB42),0)</f>
        <v>#DIV/0!</v>
      </c>
      <c r="U44" s="4325"/>
      <c r="V44" s="4325" t="e">
        <f>ROUND(PRODUCT(V43,AC9:AC42),0)</f>
        <v>#DIV/0!</v>
      </c>
      <c r="W44" s="4325"/>
      <c r="X44" s="1471"/>
      <c r="Y44" s="1471"/>
      <c r="Z44" s="1471"/>
      <c r="AA44" s="1471"/>
      <c r="AB44" s="1471"/>
      <c r="AC44" s="1471"/>
    </row>
    <row r="45" spans="1:29" ht="15.75" thickBot="1">
      <c r="A45" s="595" t="s">
        <v>2873</v>
      </c>
      <c r="B45" s="596"/>
      <c r="C45" s="597" t="e">
        <f>R45</f>
        <v>#DIV/0!</v>
      </c>
      <c r="D45" s="597"/>
      <c r="E45" s="597"/>
      <c r="F45" s="597"/>
      <c r="G45" s="597"/>
      <c r="H45" s="597"/>
      <c r="I45" s="597"/>
      <c r="J45" s="597"/>
      <c r="K45" s="1269"/>
      <c r="L45" s="1997"/>
      <c r="M45" s="1987"/>
      <c r="N45" s="1987"/>
      <c r="O45" s="1998"/>
      <c r="P45" s="4322" t="str">
        <f>A45</f>
        <v>估价对象XX用房的比较价格（楼面单价，元/平方米）</v>
      </c>
      <c r="Q45" s="4323"/>
      <c r="R45" s="4331" t="e">
        <f>ROUND(IF(D44="简单平均",AVERAGE(R44:W44),R44*F44+T44*H44+V44*J44),0)</f>
        <v>#DIV/0!</v>
      </c>
      <c r="S45" s="4331"/>
      <c r="T45" s="4331"/>
      <c r="U45" s="4331"/>
      <c r="V45" s="4331"/>
      <c r="W45" s="4331"/>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1699</v>
      </c>
      <c r="D52" s="2078" t="s">
        <v>2258</v>
      </c>
      <c r="E52" s="605" t="s">
        <v>540</v>
      </c>
      <c r="F52" s="1838" t="s">
        <v>541</v>
      </c>
      <c r="G52" s="4326" t="s">
        <v>2250</v>
      </c>
      <c r="H52" s="4327"/>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t="e">
        <f>C45</f>
        <v>#DIV/0!</v>
      </c>
      <c r="C53" s="609">
        <v>1</v>
      </c>
      <c r="D53" s="2079">
        <v>1</v>
      </c>
      <c r="E53" s="609">
        <f>'数据-汇总表'!E8+'数据-汇总表'!E9</f>
        <v>8950.7250000000022</v>
      </c>
      <c r="F53" s="1837" t="e">
        <f t="shared" ref="F53:F62" si="15">ROUND(B53*E53/10000,0)</f>
        <v>#DIV/0!</v>
      </c>
      <c r="G53" s="4328"/>
      <c r="H53" s="4329"/>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t="e">
        <f>ROUND($C$45*C54*D54,0)</f>
        <v>#DIV/0!</v>
      </c>
      <c r="C54" s="372">
        <f t="shared" ref="C54:C62" si="16">IF($C$52="北京市系数",I54,J54)</f>
        <v>0.7</v>
      </c>
      <c r="D54" s="2080">
        <v>0.25</v>
      </c>
      <c r="E54" s="613"/>
      <c r="F54" s="1837" t="e">
        <f t="shared" si="15"/>
        <v>#DIV/0!</v>
      </c>
      <c r="G54" s="4330" t="s">
        <v>2251</v>
      </c>
      <c r="H54" s="1841" t="str">
        <f>项目基本情况!B43</f>
        <v>六级</v>
      </c>
      <c r="I54" s="1840">
        <f>SUMIF(修正!$A$45:$A$56,H54,修正!B45:B56)</f>
        <v>0.7</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t="e">
        <f t="shared" ref="B55:B62" si="17">ROUND($C$45*C55*D55,0)</f>
        <v>#DIV/0!</v>
      </c>
      <c r="C55" s="372">
        <f t="shared" si="16"/>
        <v>0.4</v>
      </c>
      <c r="D55" s="2080">
        <v>0.25</v>
      </c>
      <c r="E55" s="613"/>
      <c r="F55" s="1837" t="e">
        <f t="shared" si="15"/>
        <v>#DIV/0!</v>
      </c>
      <c r="G55" s="4330"/>
      <c r="H55" s="1842" t="str">
        <f>项目基本情况!B43</f>
        <v>六级</v>
      </c>
      <c r="I55" s="1840">
        <f>SUMIF(修正!$A$45:$A$56,H55,修正!C45:C56)</f>
        <v>0.4</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t="e">
        <f t="shared" si="17"/>
        <v>#DIV/0!</v>
      </c>
      <c r="C56" s="372">
        <f t="shared" si="16"/>
        <v>0.28000000000000003</v>
      </c>
      <c r="D56" s="2080">
        <v>0.25</v>
      </c>
      <c r="E56" s="613"/>
      <c r="F56" s="1837" t="e">
        <f t="shared" si="15"/>
        <v>#DIV/0!</v>
      </c>
      <c r="G56" s="4330"/>
      <c r="H56" s="1842" t="str">
        <f>项目基本情况!B43</f>
        <v>六级</v>
      </c>
      <c r="I56" s="1840">
        <f>SUMIF(修正!$A$45:$A$56,H56,修正!D45:D56)</f>
        <v>0.28000000000000003</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t="e">
        <f t="shared" si="17"/>
        <v>#DIV/0!</v>
      </c>
      <c r="C57" s="372">
        <f t="shared" si="16"/>
        <v>0.25</v>
      </c>
      <c r="D57" s="2080">
        <v>0.25</v>
      </c>
      <c r="E57" s="613"/>
      <c r="F57" s="1837" t="e">
        <f t="shared" si="15"/>
        <v>#DIV/0!</v>
      </c>
      <c r="G57" s="4330"/>
      <c r="H57" s="1842" t="str">
        <f>项目基本情况!B43</f>
        <v>六级</v>
      </c>
      <c r="I57" s="1840">
        <f>SUMIF(修正!$A$45:$A$56,H57,修正!E45:E56)</f>
        <v>0.25</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2293</v>
      </c>
      <c r="B58" s="612" t="e">
        <f t="shared" si="17"/>
        <v>#DIV/0!</v>
      </c>
      <c r="C58" s="372">
        <f t="shared" si="16"/>
        <v>0</v>
      </c>
      <c r="D58" s="2080">
        <v>0.25</v>
      </c>
      <c r="E58" s="615">
        <f>'数据-汇总表'!E11</f>
        <v>0</v>
      </c>
      <c r="F58" s="1837" t="e">
        <f t="shared" si="15"/>
        <v>#DIV/0!</v>
      </c>
      <c r="G58" s="1843" t="s">
        <v>2252</v>
      </c>
      <c r="H58" s="1842">
        <f>项目基本情况!C43</f>
        <v>0</v>
      </c>
      <c r="I58" s="1840">
        <f>SUMIF(修正!$A$45:$A$56,H58,修正!F45:F56)</f>
        <v>0</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t="e">
        <f t="shared" si="17"/>
        <v>#DIV/0!</v>
      </c>
      <c r="C59" s="372">
        <f t="shared" si="16"/>
        <v>0</v>
      </c>
      <c r="D59" s="2080">
        <v>0.25</v>
      </c>
      <c r="E59" s="615">
        <f>'数据-汇总表'!E12</f>
        <v>0</v>
      </c>
      <c r="F59" s="1837" t="e">
        <f t="shared" si="15"/>
        <v>#DIV/0!</v>
      </c>
      <c r="G59" s="1833" t="s">
        <v>1652</v>
      </c>
      <c r="H59" s="1841">
        <f>IF(G59="商业",项目基本情况!B43,IF(G59="办公",项目基本情况!C43,IF(G59="住宅",项目基本情况!D43,项目基本情况!E43)))</f>
        <v>0</v>
      </c>
      <c r="I59" s="1840">
        <f>SUMIF(修正!$A$45:$A$56,H59,修正!G45:G56)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t="e">
        <f t="shared" si="17"/>
        <v>#DIV/0!</v>
      </c>
      <c r="C60" s="372">
        <f t="shared" si="16"/>
        <v>0</v>
      </c>
      <c r="D60" s="2080">
        <v>0.25</v>
      </c>
      <c r="E60" s="615">
        <f>'数据-汇总表'!E13</f>
        <v>0</v>
      </c>
      <c r="F60" s="1837" t="e">
        <f t="shared" si="15"/>
        <v>#DIV/0!</v>
      </c>
      <c r="G60" s="1833" t="s">
        <v>898</v>
      </c>
      <c r="H60" s="1841">
        <f>IF(G60="商业",项目基本情况!B43,IF(G60="办公",项目基本情况!C43,IF(G60="住宅",项目基本情况!D43,项目基本情况!E43)))</f>
        <v>0</v>
      </c>
      <c r="I60" s="1840">
        <f>SUMIF(修正!$A$45:$A$56,H60,修正!H45:H56)</f>
        <v>0</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t="e">
        <f t="shared" si="17"/>
        <v>#DIV/0!</v>
      </c>
      <c r="C61" s="372">
        <f t="shared" si="16"/>
        <v>0.2</v>
      </c>
      <c r="D61" s="2080">
        <v>0.25</v>
      </c>
      <c r="E61" s="615">
        <f>'数据-汇总表'!E14</f>
        <v>0</v>
      </c>
      <c r="F61" s="1837" t="e">
        <f t="shared" si="15"/>
        <v>#DIV/0!</v>
      </c>
      <c r="G61" s="1843" t="s">
        <v>2251</v>
      </c>
      <c r="H61" s="1842" t="str">
        <f>项目基本情况!B43</f>
        <v>六级</v>
      </c>
      <c r="I61" s="1840">
        <f>SUMIF(修正!$A$45:$A$56,H61,修正!H45:H56)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v>
      </c>
      <c r="D62" s="2080">
        <v>0.25</v>
      </c>
      <c r="E62" s="615">
        <f>'数据-汇总表'!E15</f>
        <v>0</v>
      </c>
      <c r="F62" s="1837" t="e">
        <f t="shared" si="15"/>
        <v>#DIV/0!</v>
      </c>
      <c r="G62" s="1844" t="s">
        <v>2252</v>
      </c>
      <c r="H62" s="1845">
        <f>项目基本情况!C43</f>
        <v>0</v>
      </c>
      <c r="I62" s="1840">
        <f>SUMIF(修正!$A$45:$A$56,H62,修正!H45:H56)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2259</v>
      </c>
      <c r="E63" s="617">
        <f>IF(B43="楼面地价",SUM(E53:E62),'数据-汇总表'!D3)</f>
        <v>3580.29</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2021-12-1</v>
      </c>
      <c r="D65" s="2484">
        <f>EDATE(C65,-3)</f>
        <v>44440</v>
      </c>
      <c r="E65" s="2484">
        <f t="shared" ref="E65:N65" si="18">EDATE(D65,-3)</f>
        <v>44348</v>
      </c>
      <c r="F65" s="2484">
        <f t="shared" si="18"/>
        <v>44256</v>
      </c>
      <c r="G65" s="2484">
        <f t="shared" si="18"/>
        <v>44166</v>
      </c>
      <c r="H65" s="2484">
        <f t="shared" si="18"/>
        <v>44075</v>
      </c>
      <c r="I65" s="2484">
        <f t="shared" si="18"/>
        <v>43983</v>
      </c>
      <c r="J65" s="2484">
        <f t="shared" si="18"/>
        <v>43891</v>
      </c>
      <c r="K65" s="2484">
        <f t="shared" si="18"/>
        <v>43800</v>
      </c>
      <c r="L65" s="2484">
        <f t="shared" si="18"/>
        <v>43709</v>
      </c>
      <c r="M65" s="2484">
        <f t="shared" si="18"/>
        <v>43617</v>
      </c>
      <c r="N65" s="2484">
        <f t="shared" si="18"/>
        <v>43525</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2021-4</v>
      </c>
      <c r="D67" s="2486" t="str">
        <f t="shared" ref="D67:N67" si="19">YEAR(D65)&amp;"-"&amp;ROUNDUP(MONTH(D65)/3,0)</f>
        <v>2021-3</v>
      </c>
      <c r="E67" s="2486" t="str">
        <f t="shared" si="19"/>
        <v>2021-2</v>
      </c>
      <c r="F67" s="2486" t="str">
        <f t="shared" si="19"/>
        <v>2021-1</v>
      </c>
      <c r="G67" s="2486" t="str">
        <f t="shared" si="19"/>
        <v>2020-4</v>
      </c>
      <c r="H67" s="2486" t="str">
        <f t="shared" si="19"/>
        <v>2020-3</v>
      </c>
      <c r="I67" s="2486" t="str">
        <f t="shared" si="19"/>
        <v>2020-2</v>
      </c>
      <c r="J67" s="2486" t="str">
        <f t="shared" si="19"/>
        <v>2020-1</v>
      </c>
      <c r="K67" s="2486" t="str">
        <f t="shared" si="19"/>
        <v>2019-4</v>
      </c>
      <c r="L67" s="2486" t="str">
        <f t="shared" si="19"/>
        <v>2019-3</v>
      </c>
      <c r="M67" s="2486" t="str">
        <f t="shared" si="19"/>
        <v>2019-2</v>
      </c>
      <c r="N67" s="2486" t="str">
        <f t="shared" si="19"/>
        <v>2019-1</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"北京市平均增长率"&amp;TEXT(基准地价!P24,"0.00%")</f>
        <v>北京市平均增长率1.22%</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ht="15">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9" priority="18" stopIfTrue="1" operator="containsText" text="超过">
      <formula>NOT(ISERROR(SEARCH("超过",F48)))</formula>
    </cfRule>
  </conditionalFormatting>
  <conditionalFormatting sqref="J50">
    <cfRule type="containsText" dxfId="178" priority="17" stopIfTrue="1" operator="containsText" text="超过">
      <formula>NOT(ISERROR(SEARCH("超过",J50)))</formula>
    </cfRule>
  </conditionalFormatting>
  <conditionalFormatting sqref="H50">
    <cfRule type="containsText" dxfId="177" priority="16" stopIfTrue="1" operator="containsText" text="超过">
      <formula>NOT(ISERROR(SEARCH("超过",H50)))</formula>
    </cfRule>
  </conditionalFormatting>
  <conditionalFormatting sqref="F50">
    <cfRule type="containsText" dxfId="176" priority="15" stopIfTrue="1" operator="containsText" text="超过">
      <formula>NOT(ISERROR(SEARCH("超过",F50)))</formula>
    </cfRule>
  </conditionalFormatting>
  <conditionalFormatting sqref="F49 H49 J49">
    <cfRule type="containsText" dxfId="175" priority="14" stopIfTrue="1" operator="containsText" text="超过">
      <formula>NOT(ISERROR(SEARCH("超过",F49)))</formula>
    </cfRule>
  </conditionalFormatting>
  <conditionalFormatting sqref="E48">
    <cfRule type="expression" dxfId="174" priority="13" stopIfTrue="1">
      <formula>$F$48="超过30%"</formula>
    </cfRule>
  </conditionalFormatting>
  <conditionalFormatting sqref="G50">
    <cfRule type="expression" dxfId="173" priority="12" stopIfTrue="1">
      <formula>$H$50="超过30%"</formula>
    </cfRule>
  </conditionalFormatting>
  <conditionalFormatting sqref="E50">
    <cfRule type="expression" dxfId="172" priority="10" stopIfTrue="1">
      <formula>$F$50="超过30%"</formula>
    </cfRule>
  </conditionalFormatting>
  <conditionalFormatting sqref="G48">
    <cfRule type="expression" dxfId="171" priority="9" stopIfTrue="1">
      <formula>$H$48="超过30%"</formula>
    </cfRule>
  </conditionalFormatting>
  <conditionalFormatting sqref="G49">
    <cfRule type="expression" dxfId="170" priority="8" stopIfTrue="1">
      <formula>$H$49="超过20%"</formula>
    </cfRule>
  </conditionalFormatting>
  <conditionalFormatting sqref="I48">
    <cfRule type="expression" dxfId="169" priority="7" stopIfTrue="1">
      <formula>$J$48="超过30%"</formula>
    </cfRule>
  </conditionalFormatting>
  <conditionalFormatting sqref="I49">
    <cfRule type="expression" dxfId="168" priority="6" stopIfTrue="1">
      <formula>$J$49="超过20%"</formula>
    </cfRule>
  </conditionalFormatting>
  <conditionalFormatting sqref="I50">
    <cfRule type="expression" dxfId="167" priority="5" stopIfTrue="1">
      <formula>$J$50="超过30%"</formula>
    </cfRule>
  </conditionalFormatting>
  <conditionalFormatting sqref="E49">
    <cfRule type="expression" dxfId="166" priority="51" stopIfTrue="1">
      <formula>#REF!+$F$49="超过20%"</formula>
    </cfRule>
  </conditionalFormatting>
  <conditionalFormatting sqref="F44">
    <cfRule type="expression" dxfId="165" priority="4">
      <formula>$D$44="简单平均"</formula>
    </cfRule>
  </conditionalFormatting>
  <conditionalFormatting sqref="H44">
    <cfRule type="expression" dxfId="164" priority="3">
      <formula>$D$44="简单平均"</formula>
    </cfRule>
  </conditionalFormatting>
  <conditionalFormatting sqref="J44">
    <cfRule type="expression" dxfId="163" priority="2">
      <formula>$D$44="简单平均"</formula>
    </cfRule>
  </conditionalFormatting>
  <conditionalFormatting sqref="F9:F42 H9:H42 J9:J42">
    <cfRule type="cellIs" dxfId="162"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7F830-E89C-4349-937A-628ABC8D4AC0}">
  <sheetPr>
    <tabColor rgb="FF92D050"/>
    <pageSetUpPr fitToPage="1"/>
  </sheetPr>
  <dimension ref="A1:AG76"/>
  <sheetViews>
    <sheetView view="pageBreakPreview" topLeftCell="B1" zoomScale="80" zoomScaleNormal="60" zoomScaleSheetLayoutView="80" workbookViewId="0">
      <selection activeCell="F41" sqref="F41"/>
    </sheetView>
  </sheetViews>
  <sheetFormatPr defaultColWidth="9" defaultRowHeight="15"/>
  <cols>
    <col min="1" max="1" width="9" style="3466" customWidth="1"/>
    <col min="2" max="2" width="20.625" style="3715" customWidth="1"/>
    <col min="3" max="3" width="11.875" style="3715" customWidth="1"/>
    <col min="4" max="4" width="40.5" style="3466" customWidth="1"/>
    <col min="5" max="5" width="15.75" style="3466" customWidth="1"/>
    <col min="6" max="6" width="10.625" style="3466" customWidth="1"/>
    <col min="7" max="7" width="4.875" style="3466" customWidth="1"/>
    <col min="8" max="8" width="8.5" style="3466" customWidth="1"/>
    <col min="9" max="9" width="21.25" style="3466" customWidth="1"/>
    <col min="10" max="10" width="12.25" style="3466" customWidth="1"/>
    <col min="11" max="11" width="40.125" style="3711" customWidth="1"/>
    <col min="12" max="12" width="18.375" style="3466" customWidth="1"/>
    <col min="13" max="13" width="13" style="3466" customWidth="1"/>
    <col min="14" max="14" width="9.5" style="3464" bestFit="1" customWidth="1"/>
    <col min="15" max="15" width="5.875" style="3464" customWidth="1"/>
    <col min="16" max="16" width="27.625" style="3464" customWidth="1"/>
    <col min="17" max="17" width="13.75" style="3465" customWidth="1"/>
    <col min="18" max="18" width="23.5" style="3464" customWidth="1"/>
    <col min="19" max="19" width="1.5" style="3464" customWidth="1"/>
    <col min="20" max="33" width="9" style="3464"/>
    <col min="34" max="16384" width="9" style="3466"/>
  </cols>
  <sheetData>
    <row r="1" spans="1:33" s="3455" customFormat="1" ht="21">
      <c r="A1" s="3443" t="s">
        <v>1700</v>
      </c>
      <c r="B1" s="3444"/>
      <c r="C1" s="3445" t="s">
        <v>3137</v>
      </c>
      <c r="D1" s="3446" t="s">
        <v>927</v>
      </c>
      <c r="E1" s="3447" t="s">
        <v>846</v>
      </c>
      <c r="F1" s="3448">
        <f ca="1">J53</f>
        <v>40</v>
      </c>
      <c r="G1" s="3449">
        <f>MATCH(C1,'[1]数据-取费表'!A6:A16,0)+5</f>
        <v>6</v>
      </c>
      <c r="H1" s="3450"/>
      <c r="I1" s="3451"/>
      <c r="J1" s="3451"/>
      <c r="K1" s="3452"/>
      <c r="L1" s="3451"/>
      <c r="M1" s="3451"/>
      <c r="N1" s="3453"/>
      <c r="O1" s="3453"/>
      <c r="P1" s="3453"/>
      <c r="Q1" s="3454"/>
      <c r="R1" s="3453"/>
      <c r="S1" s="3453"/>
      <c r="T1" s="3453"/>
      <c r="U1" s="3453"/>
      <c r="V1" s="3453"/>
      <c r="W1" s="3453"/>
      <c r="X1" s="3453"/>
      <c r="Y1" s="3453"/>
      <c r="Z1" s="3453"/>
      <c r="AA1" s="3453"/>
      <c r="AB1" s="3453"/>
      <c r="AC1" s="3453"/>
      <c r="AD1" s="3453"/>
      <c r="AE1" s="3453"/>
      <c r="AF1" s="3453"/>
      <c r="AG1" s="3453"/>
    </row>
    <row r="2" spans="1:33" ht="18" customHeight="1">
      <c r="A2" s="3456" t="s">
        <v>3138</v>
      </c>
      <c r="B2" s="3457">
        <f ca="1">C40+J29+L46</f>
        <v>17960</v>
      </c>
      <c r="C2" s="3458"/>
      <c r="D2" s="3459"/>
      <c r="E2" s="3460"/>
      <c r="F2" s="3460"/>
      <c r="G2" s="3461"/>
      <c r="H2" s="3462"/>
      <c r="I2" s="3462"/>
      <c r="J2" s="3462"/>
      <c r="K2" s="3463"/>
      <c r="L2" s="3462"/>
      <c r="M2" s="3462"/>
    </row>
    <row r="3" spans="1:33" ht="18" customHeight="1" thickBot="1">
      <c r="A3" s="3467" t="s">
        <v>3139</v>
      </c>
      <c r="B3" s="3468">
        <f ca="1">IF(ISERROR(B2*10000/F43),0,ROUND(B2*10000/F43,0))</f>
        <v>20065</v>
      </c>
      <c r="C3" s="3458"/>
      <c r="D3" s="3459"/>
      <c r="E3" s="3460"/>
      <c r="F3" s="3460"/>
      <c r="G3" s="3461"/>
      <c r="H3" s="3469" t="s">
        <v>673</v>
      </c>
      <c r="I3" s="3470"/>
      <c r="J3" s="3470"/>
      <c r="K3" s="3471"/>
      <c r="L3" s="3470"/>
      <c r="M3" s="3470"/>
    </row>
    <row r="4" spans="1:33" ht="18" customHeight="1">
      <c r="A4" s="3472" t="s">
        <v>608</v>
      </c>
      <c r="B4" s="3473" t="s">
        <v>609</v>
      </c>
      <c r="C4" s="3473" t="s">
        <v>610</v>
      </c>
      <c r="D4" s="3473" t="s">
        <v>611</v>
      </c>
      <c r="E4" s="3474" t="s">
        <v>612</v>
      </c>
      <c r="F4" s="3475"/>
      <c r="G4" s="3476"/>
      <c r="H4" s="3472" t="s">
        <v>608</v>
      </c>
      <c r="I4" s="3473" t="s">
        <v>609</v>
      </c>
      <c r="J4" s="3473" t="s">
        <v>610</v>
      </c>
      <c r="K4" s="3473" t="s">
        <v>611</v>
      </c>
      <c r="L4" s="3474" t="s">
        <v>612</v>
      </c>
      <c r="M4" s="3475"/>
    </row>
    <row r="5" spans="1:33" ht="18" customHeight="1">
      <c r="A5" s="3477">
        <v>1</v>
      </c>
      <c r="B5" s="3478" t="s">
        <v>2412</v>
      </c>
      <c r="C5" s="3479">
        <f ca="1">C6+C10+C12</f>
        <v>1337</v>
      </c>
      <c r="D5" s="3480" t="s">
        <v>2415</v>
      </c>
      <c r="E5" s="3481"/>
      <c r="F5" s="3482"/>
      <c r="G5" s="3476"/>
      <c r="H5" s="3477">
        <v>1</v>
      </c>
      <c r="I5" s="3478" t="s">
        <v>2412</v>
      </c>
      <c r="J5" s="3479">
        <f ca="1">J6+J10+J12</f>
        <v>0</v>
      </c>
      <c r="K5" s="3480" t="s">
        <v>2415</v>
      </c>
      <c r="L5" s="3481"/>
      <c r="M5" s="3482"/>
    </row>
    <row r="6" spans="1:33" ht="18" customHeight="1">
      <c r="A6" s="3483" t="s">
        <v>1799</v>
      </c>
      <c r="B6" s="4338" t="s">
        <v>2417</v>
      </c>
      <c r="C6" s="3484">
        <f ca="1">ROUND(F6*F8*F7*(1-F9)/10000,0)</f>
        <v>1335</v>
      </c>
      <c r="D6" s="3485" t="s">
        <v>2416</v>
      </c>
      <c r="E6" s="3486" t="s">
        <v>615</v>
      </c>
      <c r="F6" s="3487">
        <f ca="1">INDIRECT("'数据-取费表'!u"&amp;$G$1)</f>
        <v>4.3</v>
      </c>
      <c r="G6" s="3476"/>
      <c r="H6" s="3488" t="s">
        <v>1799</v>
      </c>
      <c r="I6" s="4338" t="s">
        <v>2417</v>
      </c>
      <c r="J6" s="3484">
        <f ca="1">ROUND(M6*M8*M7*(1-M9)/10000,0)</f>
        <v>0</v>
      </c>
      <c r="K6" s="3489" t="s">
        <v>614</v>
      </c>
      <c r="L6" s="3486" t="s">
        <v>615</v>
      </c>
      <c r="M6" s="3487">
        <f ca="1">INDIRECT("'数据-取费表'!z"&amp;$G$1)</f>
        <v>0</v>
      </c>
    </row>
    <row r="7" spans="1:33" ht="18" customHeight="1">
      <c r="A7" s="3490"/>
      <c r="B7" s="4339"/>
      <c r="C7" s="3491"/>
      <c r="D7" s="3492"/>
      <c r="E7" s="3486" t="s">
        <v>616</v>
      </c>
      <c r="F7" s="3487">
        <f ca="1">IF(INDIRECT("'数据-取费表'!ah"&amp;$G$1)="",INDIRECT("'数据-取费表'!k"&amp;$G$1),INDIRECT("'数据-取费表'!ah"&amp;$G$1))</f>
        <v>8950.7250000000022</v>
      </c>
      <c r="G7" s="3476"/>
      <c r="H7" s="3493"/>
      <c r="I7" s="4339"/>
      <c r="J7" s="3491"/>
      <c r="K7" s="3492"/>
      <c r="L7" s="3486" t="s">
        <v>616</v>
      </c>
      <c r="M7" s="3487">
        <f ca="1">F7</f>
        <v>8950.7250000000022</v>
      </c>
    </row>
    <row r="8" spans="1:33" ht="18" customHeight="1">
      <c r="A8" s="3494"/>
      <c r="B8" s="4340"/>
      <c r="C8" s="3491"/>
      <c r="D8" s="3492"/>
      <c r="E8" s="3486" t="s">
        <v>617</v>
      </c>
      <c r="F8" s="3487">
        <f ca="1">INDIRECT("'数据-取费表'!ai"&amp;$G$1)</f>
        <v>365</v>
      </c>
      <c r="G8" s="3476"/>
      <c r="H8" s="3493"/>
      <c r="I8" s="4340"/>
      <c r="J8" s="3491"/>
      <c r="K8" s="3492"/>
      <c r="L8" s="3486" t="s">
        <v>617</v>
      </c>
      <c r="M8" s="3487">
        <f ca="1">INDIRECT("'数据-取费表'!ai"&amp;$G$1)</f>
        <v>365</v>
      </c>
    </row>
    <row r="9" spans="1:33" ht="18" customHeight="1">
      <c r="A9" s="3495"/>
      <c r="B9" s="4341"/>
      <c r="C9" s="3491"/>
      <c r="D9" s="3492"/>
      <c r="E9" s="3486" t="s">
        <v>618</v>
      </c>
      <c r="F9" s="3496">
        <f ca="1">INDIRECT("'数据-取费表'!w"&amp;$G$1)</f>
        <v>0.05</v>
      </c>
      <c r="G9" s="3476"/>
      <c r="H9" s="3497"/>
      <c r="I9" s="4340"/>
      <c r="J9" s="3491"/>
      <c r="K9" s="3492"/>
      <c r="L9" s="3498" t="s">
        <v>618</v>
      </c>
      <c r="M9" s="3499">
        <f ca="1">INDIRECT("'数据-取费表'!ab"&amp;$G$1)</f>
        <v>0</v>
      </c>
    </row>
    <row r="10" spans="1:33" ht="18" customHeight="1">
      <c r="A10" s="3483" t="s">
        <v>1800</v>
      </c>
      <c r="B10" s="3500" t="s">
        <v>2413</v>
      </c>
      <c r="C10" s="3501">
        <f ca="1">ROUND(IF(F10="押一",C6/12*F11,IF(F10="押二",C6/12*2*F11,IF(F10="押三",C6/12*3*F11,C11*F11))),0)</f>
        <v>2</v>
      </c>
      <c r="D10" s="3502" t="s">
        <v>2907</v>
      </c>
      <c r="E10" s="3503" t="s">
        <v>2418</v>
      </c>
      <c r="F10" s="3504" t="s">
        <v>3140</v>
      </c>
      <c r="G10" s="3476"/>
      <c r="H10" s="3505" t="s">
        <v>1800</v>
      </c>
      <c r="I10" s="3506" t="s">
        <v>2413</v>
      </c>
      <c r="J10" s="3484">
        <f>ROUND(IF(M10="押一",J6/12*M11,IF(M10="押二",J6/12*2*M11,IF(M10="押三",J6/12*3*M11,J11*M11))),0)</f>
        <v>0</v>
      </c>
      <c r="K10" s="3502" t="s">
        <v>2907</v>
      </c>
      <c r="L10" s="3503" t="s">
        <v>2418</v>
      </c>
      <c r="M10" s="3504"/>
    </row>
    <row r="11" spans="1:33" ht="18" customHeight="1">
      <c r="A11" s="3507"/>
      <c r="B11" s="3508" t="s">
        <v>2527</v>
      </c>
      <c r="C11" s="3509"/>
      <c r="D11" s="3492"/>
      <c r="E11" s="3503" t="s">
        <v>2410</v>
      </c>
      <c r="F11" s="3499">
        <f>'[1]数据-取费表'!B39</f>
        <v>1.4999999999999999E-2</v>
      </c>
      <c r="G11" s="3476"/>
      <c r="H11" s="3510"/>
      <c r="I11" s="3508" t="s">
        <v>2527</v>
      </c>
      <c r="J11" s="3509"/>
      <c r="K11" s="3511"/>
      <c r="L11" s="3503" t="s">
        <v>2410</v>
      </c>
      <c r="M11" s="3512">
        <f>'[1]数据-取费表'!B39</f>
        <v>1.4999999999999999E-2</v>
      </c>
    </row>
    <row r="12" spans="1:33" ht="18" customHeight="1" thickBot="1">
      <c r="A12" s="3513" t="s">
        <v>2421</v>
      </c>
      <c r="B12" s="3514" t="s">
        <v>2414</v>
      </c>
      <c r="C12" s="3515"/>
      <c r="D12" s="3516"/>
      <c r="E12" s="3517"/>
      <c r="F12" s="3518"/>
      <c r="G12" s="3476"/>
      <c r="H12" s="3519" t="s">
        <v>2421</v>
      </c>
      <c r="I12" s="3520" t="s">
        <v>2414</v>
      </c>
      <c r="J12" s="3521"/>
      <c r="K12" s="3516"/>
      <c r="L12" s="3517"/>
      <c r="M12" s="3522"/>
    </row>
    <row r="13" spans="1:33" ht="18" customHeight="1" thickTop="1">
      <c r="A13" s="3523">
        <v>2</v>
      </c>
      <c r="B13" s="3524" t="s">
        <v>622</v>
      </c>
      <c r="C13" s="3525">
        <f ca="1">ROUND(C29*F13,0)</f>
        <v>10331</v>
      </c>
      <c r="D13" s="3526" t="s">
        <v>2262</v>
      </c>
      <c r="E13" s="3526" t="s">
        <v>621</v>
      </c>
      <c r="F13" s="3527">
        <f ca="1">INDIRECT("'数据-取费表'!y"&amp;$G$1)</f>
        <v>1</v>
      </c>
      <c r="G13" s="3476"/>
      <c r="H13" s="3523">
        <v>2</v>
      </c>
      <c r="I13" s="3524" t="s">
        <v>622</v>
      </c>
      <c r="J13" s="3528">
        <f ca="1">ROUND(J14*J15,0)</f>
        <v>0</v>
      </c>
      <c r="K13" s="3529" t="s">
        <v>620</v>
      </c>
      <c r="L13" s="3530"/>
      <c r="M13" s="3531"/>
    </row>
    <row r="14" spans="1:33" ht="18" customHeight="1">
      <c r="A14" s="3532" t="s">
        <v>1806</v>
      </c>
      <c r="B14" s="3486" t="s">
        <v>623</v>
      </c>
      <c r="C14" s="3533">
        <f ca="1">INDIRECT("'数据-取费表'!m"&amp;$G$1)+INDIRECT("'数据-取费表'!t"&amp;$G$1)</f>
        <v>3580</v>
      </c>
      <c r="D14" s="3534" t="s">
        <v>624</v>
      </c>
      <c r="E14" s="3535"/>
      <c r="F14" s="3536"/>
      <c r="G14" s="3476"/>
      <c r="H14" s="3537" t="s">
        <v>1799</v>
      </c>
      <c r="I14" s="3538" t="s">
        <v>2777</v>
      </c>
      <c r="J14" s="3539">
        <f ca="1">C29</f>
        <v>10331</v>
      </c>
      <c r="K14" s="3540"/>
      <c r="L14" s="3541"/>
      <c r="M14" s="3542"/>
    </row>
    <row r="15" spans="1:33" s="3553" customFormat="1" ht="18" customHeight="1" thickBot="1">
      <c r="A15" s="3532" t="s">
        <v>1807</v>
      </c>
      <c r="B15" s="3486" t="s">
        <v>625</v>
      </c>
      <c r="C15" s="3539">
        <f ca="1">ROUND(C14*F15,0)</f>
        <v>107</v>
      </c>
      <c r="D15" s="3543" t="s">
        <v>626</v>
      </c>
      <c r="E15" s="3543" t="s">
        <v>627</v>
      </c>
      <c r="F15" s="3544">
        <f>'[1]数据-取费表'!B33</f>
        <v>0.03</v>
      </c>
      <c r="G15" s="3545"/>
      <c r="H15" s="3519" t="s">
        <v>1858</v>
      </c>
      <c r="I15" s="3546" t="s">
        <v>621</v>
      </c>
      <c r="J15" s="3547">
        <f ca="1">INDIRECT("'数据-取费表'!ad"&amp;$G$1)</f>
        <v>0</v>
      </c>
      <c r="K15" s="3548"/>
      <c r="L15" s="3549"/>
      <c r="M15" s="3550"/>
      <c r="N15" s="3551"/>
      <c r="O15" s="3551"/>
      <c r="P15" s="3551"/>
      <c r="Q15" s="3552"/>
      <c r="R15" s="3551"/>
      <c r="S15" s="3551"/>
      <c r="T15" s="3551"/>
      <c r="U15" s="3551"/>
      <c r="V15" s="3551"/>
      <c r="W15" s="3551"/>
      <c r="X15" s="3551"/>
      <c r="Y15" s="3551"/>
      <c r="Z15" s="3551"/>
      <c r="AA15" s="3551"/>
      <c r="AB15" s="3551"/>
      <c r="AC15" s="3551"/>
      <c r="AD15" s="3551"/>
      <c r="AE15" s="3551"/>
      <c r="AF15" s="3551"/>
      <c r="AG15" s="3551"/>
    </row>
    <row r="16" spans="1:33" ht="18" customHeight="1" thickTop="1">
      <c r="A16" s="3532" t="s">
        <v>1808</v>
      </c>
      <c r="B16" s="3486" t="s">
        <v>628</v>
      </c>
      <c r="C16" s="3539">
        <f ca="1">ROUND(INDIRECT("'数据-取费表'!m"&amp;$G$1)*F16,0)</f>
        <v>0</v>
      </c>
      <c r="D16" s="3486" t="s">
        <v>626</v>
      </c>
      <c r="E16" s="3486" t="s">
        <v>627</v>
      </c>
      <c r="F16" s="3554">
        <f ca="1">IF(INDIRECT("'数据-取费表'!c"&amp;$G$1)="住宅",'[1]数据-取费表'!B34,0)</f>
        <v>0</v>
      </c>
      <c r="G16" s="3476"/>
      <c r="H16" s="3523" t="s">
        <v>7</v>
      </c>
      <c r="I16" s="3524" t="s">
        <v>629</v>
      </c>
      <c r="J16" s="3525">
        <f ca="1">ROUND(J17+J22+J23+J24,0)</f>
        <v>972</v>
      </c>
      <c r="K16" s="3529" t="s">
        <v>630</v>
      </c>
      <c r="L16" s="3555"/>
      <c r="M16" s="3482"/>
    </row>
    <row r="17" spans="1:33" s="3553" customFormat="1" ht="18" customHeight="1">
      <c r="A17" s="3532" t="s">
        <v>1856</v>
      </c>
      <c r="B17" s="3486" t="s">
        <v>631</v>
      </c>
      <c r="C17" s="3556">
        <f>'[1]剩余法-待开发-商业'!C16</f>
        <v>3172</v>
      </c>
      <c r="D17" s="3486" t="s">
        <v>632</v>
      </c>
      <c r="E17" s="3486" t="s">
        <v>633</v>
      </c>
      <c r="F17" s="3557">
        <f>'[1]数据-取费表'!B35</f>
        <v>200</v>
      </c>
      <c r="G17" s="3545"/>
      <c r="H17" s="3537" t="s">
        <v>1799</v>
      </c>
      <c r="I17" s="3486" t="s">
        <v>634</v>
      </c>
      <c r="J17" s="3558">
        <f ca="1">ROUND(IF(AND([1]项目基本情况!B11="自然人",[1]项目基本情况!B10="北京市"),J6*M17/(1+'[1]数据-取费表'!C42),J18+J19+J20),0)</f>
        <v>869</v>
      </c>
      <c r="K17" s="3534" t="s">
        <v>635</v>
      </c>
      <c r="L17" s="3559" t="s">
        <v>636</v>
      </c>
      <c r="M17" s="3560" t="str">
        <f>IF([1]项目基本情况!B11="企业","——",IF('[1]数据-取费表'!B10="住宅",IF(M6*M7*M8/12/(1+'[1]数据-取费表'!F30)&gt;100000,4%,2.5%),IF(M6*M7*M8/12/(1+'[1]数据-取费表'!F30)&gt;100000,12%,7%)))</f>
        <v>——</v>
      </c>
      <c r="N17" s="3551"/>
      <c r="O17" s="3551"/>
      <c r="P17" s="3551"/>
      <c r="Q17" s="3552"/>
      <c r="R17" s="3551"/>
      <c r="S17" s="3551"/>
      <c r="T17" s="3551"/>
      <c r="U17" s="3551"/>
      <c r="V17" s="3551"/>
      <c r="W17" s="3551"/>
      <c r="X17" s="3551"/>
      <c r="Y17" s="3551"/>
      <c r="Z17" s="3551"/>
      <c r="AA17" s="3551"/>
      <c r="AB17" s="3551"/>
      <c r="AC17" s="3551"/>
      <c r="AD17" s="3551"/>
      <c r="AE17" s="3551"/>
      <c r="AF17" s="3551"/>
      <c r="AG17" s="3551"/>
    </row>
    <row r="18" spans="1:33" s="3553" customFormat="1" ht="18" customHeight="1">
      <c r="A18" s="3532" t="s">
        <v>1857</v>
      </c>
      <c r="B18" s="3486" t="s">
        <v>637</v>
      </c>
      <c r="C18" s="3539">
        <f ca="1">ROUND(C14*F18,0)</f>
        <v>54</v>
      </c>
      <c r="D18" s="3486" t="s">
        <v>626</v>
      </c>
      <c r="E18" s="3486" t="s">
        <v>627</v>
      </c>
      <c r="F18" s="3554">
        <f>'[1]数据-取费表'!B36</f>
        <v>1.4999999999999999E-2</v>
      </c>
      <c r="G18" s="3545"/>
      <c r="H18" s="3532" t="s">
        <v>1806</v>
      </c>
      <c r="I18" s="3486" t="s">
        <v>638</v>
      </c>
      <c r="J18" s="3539">
        <f ca="1">ROUND(J6*M18/(1+'[1]数据-取费表'!C42),1)</f>
        <v>0</v>
      </c>
      <c r="K18" s="3559" t="s">
        <v>639</v>
      </c>
      <c r="L18" s="3486" t="s">
        <v>627</v>
      </c>
      <c r="M18" s="3554">
        <f>'[1]数据-取费表'!B41</f>
        <v>5.6000000000000001E-2</v>
      </c>
      <c r="N18" s="3551"/>
      <c r="O18" s="3551"/>
      <c r="P18" s="3551"/>
      <c r="Q18" s="3552"/>
      <c r="R18" s="3551"/>
      <c r="S18" s="3551"/>
      <c r="T18" s="3551"/>
      <c r="U18" s="3551"/>
      <c r="V18" s="3551"/>
      <c r="W18" s="3551"/>
      <c r="X18" s="3551"/>
      <c r="Y18" s="3551"/>
      <c r="Z18" s="3551"/>
      <c r="AA18" s="3551"/>
      <c r="AB18" s="3551"/>
      <c r="AC18" s="3551"/>
      <c r="AD18" s="3551"/>
      <c r="AE18" s="3551"/>
      <c r="AF18" s="3551"/>
      <c r="AG18" s="3551"/>
    </row>
    <row r="19" spans="1:33" ht="18" customHeight="1">
      <c r="A19" s="3537" t="s">
        <v>1799</v>
      </c>
      <c r="B19" s="3486" t="s">
        <v>640</v>
      </c>
      <c r="C19" s="3539">
        <f ca="1">SUM(C14:C18)</f>
        <v>6913</v>
      </c>
      <c r="D19" s="3561" t="s">
        <v>641</v>
      </c>
      <c r="E19" s="3562"/>
      <c r="F19" s="3557"/>
      <c r="G19" s="3476"/>
      <c r="H19" s="3532" t="s">
        <v>1807</v>
      </c>
      <c r="I19" s="3486" t="s">
        <v>642</v>
      </c>
      <c r="J19" s="3539">
        <f ca="1">IF(K19="按租金收入计税",ROUND(J6*M19/(1+'[1]数据-取费表'!C42),1),ROUND(C29*F33*0.7,1))</f>
        <v>867.8</v>
      </c>
      <c r="K19" s="3563" t="s">
        <v>643</v>
      </c>
      <c r="L19" s="3486" t="s">
        <v>627</v>
      </c>
      <c r="M19" s="3554">
        <f>IF(K19="按租金收入计税",'[1]数据-取费表'!B51,'[1]数据-取费表'!B50)</f>
        <v>1.2E-2</v>
      </c>
    </row>
    <row r="20" spans="1:33" s="3553" customFormat="1" ht="18" customHeight="1">
      <c r="A20" s="3537" t="s">
        <v>1858</v>
      </c>
      <c r="B20" s="3486" t="s">
        <v>644</v>
      </c>
      <c r="C20" s="3539">
        <f ca="1">ROUND(C19*F20,0)</f>
        <v>138</v>
      </c>
      <c r="D20" s="3564" t="s">
        <v>645</v>
      </c>
      <c r="E20" s="3486" t="s">
        <v>627</v>
      </c>
      <c r="F20" s="3554">
        <f>'[1]数据-取费表'!B37</f>
        <v>0.02</v>
      </c>
      <c r="G20" s="3545"/>
      <c r="H20" s="3565" t="s">
        <v>1808</v>
      </c>
      <c r="I20" s="3489" t="s">
        <v>646</v>
      </c>
      <c r="J20" s="3566">
        <f ca="1">ROUND(M20*M21/10000,0)</f>
        <v>1</v>
      </c>
      <c r="K20" s="3567" t="s">
        <v>647</v>
      </c>
      <c r="L20" s="3486" t="s">
        <v>648</v>
      </c>
      <c r="M20" s="3568">
        <f>'[1]数据-取费表'!B52</f>
        <v>1.5</v>
      </c>
      <c r="N20" s="3551"/>
      <c r="O20" s="3551"/>
      <c r="P20" s="3551"/>
      <c r="Q20" s="3552"/>
      <c r="R20" s="3551"/>
      <c r="S20" s="3551"/>
      <c r="T20" s="3551"/>
      <c r="U20" s="3551"/>
      <c r="V20" s="3551"/>
      <c r="W20" s="3551"/>
      <c r="X20" s="3551"/>
      <c r="Y20" s="3551"/>
      <c r="Z20" s="3551"/>
      <c r="AA20" s="3551"/>
      <c r="AB20" s="3551"/>
      <c r="AC20" s="3551"/>
      <c r="AD20" s="3551"/>
      <c r="AE20" s="3551"/>
      <c r="AF20" s="3551"/>
      <c r="AG20" s="3551"/>
    </row>
    <row r="21" spans="1:33" s="3553" customFormat="1" ht="18" customHeight="1">
      <c r="A21" s="3537" t="s">
        <v>1859</v>
      </c>
      <c r="B21" s="3486" t="s">
        <v>649</v>
      </c>
      <c r="C21" s="3539" t="s">
        <v>1</v>
      </c>
      <c r="D21" s="3564" t="s">
        <v>2263</v>
      </c>
      <c r="E21" s="3486" t="s">
        <v>651</v>
      </c>
      <c r="F21" s="3569">
        <f>'[1]数据-取费表'!B38</f>
        <v>0.02</v>
      </c>
      <c r="G21" s="3545"/>
      <c r="H21" s="3570"/>
      <c r="I21" s="3571"/>
      <c r="J21" s="3572"/>
      <c r="K21" s="3573"/>
      <c r="L21" s="3486" t="s">
        <v>652</v>
      </c>
      <c r="M21" s="3487">
        <f ca="1">INDIRECT("'数据-取费表'!r"&amp;$G$1)</f>
        <v>3580.29</v>
      </c>
      <c r="N21" s="3551"/>
      <c r="O21" s="3551"/>
      <c r="P21" s="3551"/>
      <c r="Q21" s="3552"/>
      <c r="R21" s="3551"/>
      <c r="S21" s="3551"/>
      <c r="T21" s="3551"/>
      <c r="U21" s="3551"/>
      <c r="V21" s="3551"/>
      <c r="W21" s="3551"/>
      <c r="X21" s="3551"/>
      <c r="Y21" s="3551"/>
      <c r="Z21" s="3551"/>
      <c r="AA21" s="3551"/>
      <c r="AB21" s="3551"/>
      <c r="AC21" s="3551"/>
      <c r="AD21" s="3551"/>
      <c r="AE21" s="3551"/>
      <c r="AF21" s="3551"/>
      <c r="AG21" s="3551"/>
    </row>
    <row r="22" spans="1:33" ht="18" customHeight="1">
      <c r="A22" s="3537" t="s">
        <v>1860</v>
      </c>
      <c r="B22" s="3486" t="s">
        <v>653</v>
      </c>
      <c r="C22" s="3539"/>
      <c r="D22" s="3574" t="str">
        <f>IF(F23&lt;=1,"单利计息。","复利计息。")&amp;"建造成本、管理费用、销售费用产生的利息。"</f>
        <v>复利计息。建造成本、管理费用、销售费用产生的利息。</v>
      </c>
      <c r="E22" s="3562"/>
      <c r="F22" s="3557"/>
      <c r="G22" s="3476"/>
      <c r="H22" s="3537" t="s">
        <v>1858</v>
      </c>
      <c r="I22" s="3486" t="s">
        <v>654</v>
      </c>
      <c r="J22" s="3539">
        <f ca="1">ROUND(J14*M22,0)</f>
        <v>103</v>
      </c>
      <c r="K22" s="3559" t="s">
        <v>655</v>
      </c>
      <c r="L22" s="3486" t="s">
        <v>627</v>
      </c>
      <c r="M22" s="3575">
        <f ca="1">INDIRECT("'数据-取费表'!Ak"&amp;$G$1)</f>
        <v>0.01</v>
      </c>
    </row>
    <row r="23" spans="1:33" s="3553" customFormat="1" ht="18" customHeight="1">
      <c r="A23" s="3532" t="s">
        <v>1806</v>
      </c>
      <c r="B23" s="3486" t="s">
        <v>2393</v>
      </c>
      <c r="C23" s="3539">
        <f ca="1">ROUND(IF('[1]数据-取费表'!B22&lt;=1,(C19+C20)*F24*F23/2,(C19+C20)*(POWER((1+F24),F23/2)-1)),0)</f>
        <v>335</v>
      </c>
      <c r="D23" s="3576" t="str">
        <f>IF(F23&lt;=1,"(建造成本+管理费用)×利率×(建设周期÷2)","(建造成本+管理费用)×((1+利率)^(建设周期÷2)-1)")</f>
        <v>(建造成本+管理费用)×((1+利率)^(建设周期÷2)-1)</v>
      </c>
      <c r="E23" s="3486" t="s">
        <v>656</v>
      </c>
      <c r="F23" s="3568">
        <f>'[1]数据-取费表'!B20</f>
        <v>2</v>
      </c>
      <c r="G23" s="3545"/>
      <c r="H23" s="3537" t="s">
        <v>1859</v>
      </c>
      <c r="I23" s="3486" t="s">
        <v>657</v>
      </c>
      <c r="J23" s="3539">
        <f ca="1">ROUND(J13*M23,0)</f>
        <v>0</v>
      </c>
      <c r="K23" s="3559" t="s">
        <v>658</v>
      </c>
      <c r="L23" s="3486" t="s">
        <v>627</v>
      </c>
      <c r="M23" s="3577">
        <f ca="1">INDIRECT("'数据-取费表'!Al"&amp;$G$1)</f>
        <v>1E-3</v>
      </c>
      <c r="N23" s="3551"/>
      <c r="O23" s="3551"/>
      <c r="P23" s="3551"/>
      <c r="Q23" s="3552"/>
      <c r="R23" s="3551"/>
      <c r="S23" s="3551"/>
      <c r="T23" s="3551"/>
      <c r="U23" s="3551"/>
      <c r="V23" s="3551"/>
      <c r="W23" s="3551"/>
      <c r="X23" s="3551"/>
      <c r="Y23" s="3551"/>
      <c r="Z23" s="3551"/>
      <c r="AA23" s="3551"/>
      <c r="AB23" s="3551"/>
      <c r="AC23" s="3551"/>
      <c r="AD23" s="3551"/>
      <c r="AE23" s="3551"/>
      <c r="AF23" s="3551"/>
      <c r="AG23" s="3551"/>
    </row>
    <row r="24" spans="1:33" s="3553" customFormat="1" ht="18" customHeight="1" thickBot="1">
      <c r="A24" s="3532" t="s">
        <v>1807</v>
      </c>
      <c r="B24" s="3486" t="s">
        <v>659</v>
      </c>
      <c r="C24" s="3539">
        <f>ROUND(IF('[1]数据-取费表'!B22&lt;=1,F21*F24*F23/2,F21*(POWER((1+F24),F23/2)-1)),4)</f>
        <v>1E-3</v>
      </c>
      <c r="D24" s="3576" t="str">
        <f>IF(F23&lt;=1,"销售费用×利率×(建设周期÷2)","销售费用×((1+利率)^(建设周期÷2)-1)")</f>
        <v>销售费用×((1+利率)^(建设周期÷2)-1)</v>
      </c>
      <c r="E24" s="3486" t="s">
        <v>660</v>
      </c>
      <c r="F24" s="3578">
        <f>'[1]数据-取费表'!B40</f>
        <v>4.7500000000000001E-2</v>
      </c>
      <c r="G24" s="3545"/>
      <c r="H24" s="3519" t="s">
        <v>1860</v>
      </c>
      <c r="I24" s="3546" t="s">
        <v>644</v>
      </c>
      <c r="J24" s="3579">
        <f ca="1">ROUND(J5*M24,0)</f>
        <v>0</v>
      </c>
      <c r="K24" s="3580" t="s">
        <v>661</v>
      </c>
      <c r="L24" s="3546" t="s">
        <v>627</v>
      </c>
      <c r="M24" s="3518">
        <f ca="1">INDIRECT("'数据-取费表'!Am"&amp;$G$1)</f>
        <v>0.01</v>
      </c>
      <c r="N24" s="3551"/>
      <c r="O24" s="3551"/>
      <c r="P24" s="3551"/>
      <c r="Q24" s="3552"/>
      <c r="R24" s="3551"/>
      <c r="S24" s="3551"/>
      <c r="T24" s="3551"/>
      <c r="U24" s="3551"/>
      <c r="V24" s="3551"/>
      <c r="W24" s="3551"/>
      <c r="X24" s="3551"/>
      <c r="Y24" s="3551"/>
      <c r="Z24" s="3551"/>
      <c r="AA24" s="3551"/>
      <c r="AB24" s="3551"/>
      <c r="AC24" s="3551"/>
      <c r="AD24" s="3551"/>
      <c r="AE24" s="3551"/>
      <c r="AF24" s="3551"/>
      <c r="AG24" s="3551"/>
    </row>
    <row r="25" spans="1:33" ht="18" customHeight="1" thickTop="1">
      <c r="A25" s="3581" t="s">
        <v>1815</v>
      </c>
      <c r="B25" s="3486" t="s">
        <v>662</v>
      </c>
      <c r="C25" s="3539"/>
      <c r="D25" s="3561" t="s">
        <v>663</v>
      </c>
      <c r="E25" s="3562"/>
      <c r="F25" s="3557"/>
      <c r="G25" s="3476"/>
      <c r="H25" s="3523" t="s">
        <v>1751</v>
      </c>
      <c r="I25" s="3582" t="s">
        <v>2774</v>
      </c>
      <c r="J25" s="3525">
        <f ca="1">J5-J16</f>
        <v>-972</v>
      </c>
      <c r="K25" s="3583" t="s">
        <v>678</v>
      </c>
      <c r="L25" s="3584"/>
      <c r="M25" s="3585"/>
    </row>
    <row r="26" spans="1:33" ht="18" customHeight="1">
      <c r="A26" s="3532" t="s">
        <v>1806</v>
      </c>
      <c r="B26" s="3486" t="s">
        <v>2394</v>
      </c>
      <c r="C26" s="3539">
        <f ca="1">ROUND((C19+C20)*F26,0)</f>
        <v>2115</v>
      </c>
      <c r="D26" s="3564" t="s">
        <v>679</v>
      </c>
      <c r="E26" s="3498" t="s">
        <v>680</v>
      </c>
      <c r="F26" s="3496">
        <f ca="1">INDIRECT("'数据-取费表'!q"&amp;$G$1)</f>
        <v>0.3</v>
      </c>
      <c r="G26" s="3476"/>
      <c r="H26" s="3586" t="s">
        <v>1755</v>
      </c>
      <c r="I26" s="3587" t="s">
        <v>2779</v>
      </c>
      <c r="J26" s="3484">
        <f ca="1">IF(J5&lt;&gt;0,ROUND(J25*(1-((1+M28)/(1+M26))^M27)/(M26-M28),0),0)</f>
        <v>0</v>
      </c>
      <c r="K26" s="3567" t="s">
        <v>682</v>
      </c>
      <c r="L26" s="3486" t="s">
        <v>2381</v>
      </c>
      <c r="M26" s="3496">
        <f ca="1">INDIRECT("'数据-取费表'!I"&amp;$G$1)</f>
        <v>4.4999999999999998E-2</v>
      </c>
    </row>
    <row r="27" spans="1:33" ht="18" customHeight="1">
      <c r="A27" s="3532" t="s">
        <v>1807</v>
      </c>
      <c r="B27" s="3486" t="s">
        <v>664</v>
      </c>
      <c r="C27" s="3539">
        <f ca="1">ROUND(F21*F26,4)</f>
        <v>6.0000000000000001E-3</v>
      </c>
      <c r="D27" s="3564" t="s">
        <v>684</v>
      </c>
      <c r="E27" s="3543"/>
      <c r="F27" s="3544"/>
      <c r="G27" s="3476"/>
      <c r="H27" s="3588"/>
      <c r="I27" s="3589"/>
      <c r="J27" s="3491"/>
      <c r="K27" s="3590" t="s">
        <v>685</v>
      </c>
      <c r="L27" s="3486" t="s">
        <v>686</v>
      </c>
      <c r="M27" s="3591">
        <f ca="1">INDIRECT("'数据-取费表'!ag"&amp;$G$1)</f>
        <v>0</v>
      </c>
    </row>
    <row r="28" spans="1:33" s="3553" customFormat="1" ht="18" customHeight="1">
      <c r="A28" s="3581" t="s">
        <v>1816</v>
      </c>
      <c r="B28" s="3486" t="s">
        <v>665</v>
      </c>
      <c r="C28" s="3539">
        <f>ROUND(F28/(1+'[1]数据-取费表'!C42),4)</f>
        <v>5.33E-2</v>
      </c>
      <c r="D28" s="3564" t="s">
        <v>2264</v>
      </c>
      <c r="E28" s="3486" t="s">
        <v>627</v>
      </c>
      <c r="F28" s="3554">
        <f>'[1]数据-取费表'!B41</f>
        <v>5.6000000000000001E-2</v>
      </c>
      <c r="G28" s="3545"/>
      <c r="H28" s="3523"/>
      <c r="I28" s="3592"/>
      <c r="J28" s="3525"/>
      <c r="K28" s="3573"/>
      <c r="L28" s="3486" t="s">
        <v>688</v>
      </c>
      <c r="M28" s="3496">
        <f ca="1">INDIRECT("'数据-取费表'!aa"&amp;$G$1)</f>
        <v>0</v>
      </c>
      <c r="N28" s="3551"/>
      <c r="O28" s="3551"/>
      <c r="P28" s="3551"/>
      <c r="Q28" s="3552"/>
      <c r="R28" s="3551"/>
      <c r="S28" s="3551"/>
      <c r="T28" s="3551"/>
      <c r="U28" s="3551"/>
      <c r="V28" s="3551"/>
      <c r="W28" s="3551"/>
      <c r="X28" s="3551"/>
      <c r="Y28" s="3551"/>
      <c r="Z28" s="3551"/>
      <c r="AA28" s="3551"/>
      <c r="AB28" s="3551"/>
      <c r="AC28" s="3551"/>
      <c r="AD28" s="3551"/>
      <c r="AE28" s="3551"/>
      <c r="AF28" s="3551"/>
      <c r="AG28" s="3551"/>
    </row>
    <row r="29" spans="1:33" s="3553" customFormat="1" ht="18" customHeight="1" thickBot="1">
      <c r="A29" s="3593" t="s">
        <v>1861</v>
      </c>
      <c r="B29" s="3517" t="s">
        <v>2265</v>
      </c>
      <c r="C29" s="3579">
        <f ca="1">ROUND((C19+C20+C23+C26)/(1-F21-C24-C27-C28),0)</f>
        <v>10331</v>
      </c>
      <c r="D29" s="3580"/>
      <c r="E29" s="3546"/>
      <c r="F29" s="3594"/>
      <c r="G29" s="3545"/>
      <c r="H29" s="3595" t="s">
        <v>1762</v>
      </c>
      <c r="I29" s="3596" t="s">
        <v>1763</v>
      </c>
      <c r="J29" s="3597">
        <f ca="1">ROUND(J26/(1+F40)^F41,0)</f>
        <v>0</v>
      </c>
      <c r="K29" s="3598" t="s">
        <v>666</v>
      </c>
      <c r="L29" s="3599"/>
      <c r="M29" s="3600">
        <f ca="1">INDIRECT("'数据-取费表'!k"&amp;$G$1)</f>
        <v>8950.7250000000022</v>
      </c>
      <c r="N29" s="3551"/>
      <c r="O29" s="3551"/>
      <c r="P29" s="3551"/>
      <c r="Q29" s="3552"/>
      <c r="R29" s="3551"/>
      <c r="S29" s="3551"/>
      <c r="T29" s="3551"/>
      <c r="U29" s="3551"/>
      <c r="V29" s="3551"/>
      <c r="W29" s="3551"/>
      <c r="X29" s="3551"/>
      <c r="Y29" s="3551"/>
      <c r="Z29" s="3551"/>
      <c r="AA29" s="3551"/>
      <c r="AB29" s="3551"/>
      <c r="AC29" s="3551"/>
      <c r="AD29" s="3551"/>
      <c r="AE29" s="3551"/>
      <c r="AF29" s="3551"/>
      <c r="AG29" s="3551"/>
    </row>
    <row r="30" spans="1:33" ht="18" customHeight="1" thickTop="1">
      <c r="A30" s="3523" t="s">
        <v>7</v>
      </c>
      <c r="B30" s="3524" t="s">
        <v>629</v>
      </c>
      <c r="C30" s="3525">
        <f ca="1">ROUND(C31+C36+C37+C38,0)</f>
        <v>361</v>
      </c>
      <c r="D30" s="3529" t="s">
        <v>630</v>
      </c>
      <c r="E30" s="3555"/>
      <c r="F30" s="3482"/>
      <c r="G30" s="3476"/>
      <c r="H30" s="3601"/>
      <c r="I30" s="3602"/>
      <c r="J30" s="3603"/>
      <c r="K30" s="3604"/>
      <c r="L30" s="3605"/>
      <c r="M30" s="3606"/>
    </row>
    <row r="31" spans="1:33" ht="18" customHeight="1">
      <c r="A31" s="3537" t="s">
        <v>1799</v>
      </c>
      <c r="B31" s="3486" t="s">
        <v>634</v>
      </c>
      <c r="C31" s="3558">
        <f ca="1">ROUND(IF(AND([1]项目基本情况!B11="自然人",[1]项目基本情况!B10="北京市"),C6*F31/(1+'[1]数据-取费表'!C42),C32+C33+C34),0)</f>
        <v>234</v>
      </c>
      <c r="D31" s="3534" t="s">
        <v>635</v>
      </c>
      <c r="E31" s="3559" t="s">
        <v>636</v>
      </c>
      <c r="F31" s="3560" t="str">
        <f>IF([1]项目基本情况!B11="企业","——",IF('[1]数据-取费表'!B10="住宅",IF(F6*F7*F8/12/(1+'[1]数据-取费表'!F30)&gt;100000,4%,2.5%),IF(F6*F7*F8/12/(1+'[1]数据-取费表'!F30)&gt;100000,12%,7%)))</f>
        <v>——</v>
      </c>
      <c r="G31" s="3476"/>
      <c r="H31" s="3607" t="s">
        <v>2961</v>
      </c>
      <c r="I31" s="3602"/>
      <c r="J31" s="3603"/>
      <c r="K31" s="3604"/>
      <c r="L31" s="3605"/>
      <c r="M31" s="3606"/>
    </row>
    <row r="32" spans="1:33" ht="18" customHeight="1">
      <c r="A32" s="3532" t="s">
        <v>1806</v>
      </c>
      <c r="B32" s="3486" t="s">
        <v>638</v>
      </c>
      <c r="C32" s="3539">
        <f ca="1">ROUND(C6*F32/(1+'[1]数据-取费表'!C42),1)</f>
        <v>71.2</v>
      </c>
      <c r="D32" s="3559" t="s">
        <v>639</v>
      </c>
      <c r="E32" s="3486" t="s">
        <v>627</v>
      </c>
      <c r="F32" s="3554">
        <f>'[1]数据-取费表'!B41</f>
        <v>5.6000000000000001E-2</v>
      </c>
      <c r="G32" s="3476"/>
      <c r="H32" s="3608"/>
      <c r="I32" s="3609"/>
      <c r="J32" s="3610"/>
      <c r="K32" s="3611"/>
      <c r="L32" s="3612"/>
      <c r="M32" s="3613"/>
    </row>
    <row r="33" spans="1:18" ht="18" customHeight="1">
      <c r="A33" s="3532" t="s">
        <v>1807</v>
      </c>
      <c r="B33" s="3486" t="s">
        <v>642</v>
      </c>
      <c r="C33" s="3539">
        <f ca="1">IF(D33="按租金收入计税",ROUND(C6*F33/(1+'[1]数据-取费表'!C42),1),IF(D33="按房产原值计税",ROUND(C29*F33*0.7,1),INDIRECT("'数据-取费表'!Aj"&amp;$G$1)))</f>
        <v>152.6</v>
      </c>
      <c r="D33" s="3563" t="s">
        <v>3141</v>
      </c>
      <c r="E33" s="3486" t="s">
        <v>627</v>
      </c>
      <c r="F33" s="3554">
        <f>IF(D33="按租金收入计税",'[1]数据-取费表'!B51,'[1]数据-取费表'!B50)</f>
        <v>0.12</v>
      </c>
      <c r="G33" s="3476"/>
      <c r="H33" s="3614"/>
      <c r="I33" s="3614"/>
      <c r="J33" s="3614"/>
      <c r="K33" s="3615"/>
      <c r="L33" s="3614"/>
      <c r="M33" s="3614"/>
    </row>
    <row r="34" spans="1:18" ht="18" customHeight="1">
      <c r="A34" s="3565" t="s">
        <v>1808</v>
      </c>
      <c r="B34" s="3489" t="s">
        <v>646</v>
      </c>
      <c r="C34" s="3566">
        <f>ROUND(F34*F35/10000,1)</f>
        <v>10</v>
      </c>
      <c r="D34" s="3567" t="s">
        <v>647</v>
      </c>
      <c r="E34" s="3486" t="s">
        <v>648</v>
      </c>
      <c r="F34" s="3568">
        <f>'[1]数据-取费表'!B52</f>
        <v>1.5</v>
      </c>
      <c r="G34" s="3476"/>
      <c r="H34" s="3601"/>
      <c r="I34" s="3616" t="s">
        <v>1788</v>
      </c>
      <c r="J34" s="3617"/>
      <c r="K34" s="3618"/>
      <c r="L34" s="3619"/>
      <c r="M34" s="3619"/>
    </row>
    <row r="35" spans="1:18" ht="18" customHeight="1">
      <c r="A35" s="3620"/>
      <c r="B35" s="3571"/>
      <c r="C35" s="3572"/>
      <c r="D35" s="3573"/>
      <c r="E35" s="3486" t="s">
        <v>652</v>
      </c>
      <c r="F35" s="3487">
        <f>[1]面积信息!F2/([1]面积信息!F15-[1]面积信息!F12)*[1]面积信息!E18</f>
        <v>66387.842668560115</v>
      </c>
      <c r="G35" s="3476"/>
      <c r="H35" s="3601"/>
      <c r="I35" s="3621" t="s">
        <v>1789</v>
      </c>
      <c r="J35" s="3622">
        <f ca="1">ROUND(C13*J36,0)</f>
        <v>672</v>
      </c>
      <c r="K35" s="3615"/>
      <c r="L35" s="3614"/>
      <c r="M35" s="3614"/>
    </row>
    <row r="36" spans="1:18" ht="18" customHeight="1">
      <c r="A36" s="3537" t="s">
        <v>1858</v>
      </c>
      <c r="B36" s="3486" t="s">
        <v>654</v>
      </c>
      <c r="C36" s="3539">
        <f ca="1">ROUND(C29*F36,1)</f>
        <v>103.3</v>
      </c>
      <c r="D36" s="3559" t="s">
        <v>669</v>
      </c>
      <c r="E36" s="3486" t="s">
        <v>627</v>
      </c>
      <c r="F36" s="3575">
        <f ca="1">INDIRECT("'数据-取费表'!Ak"&amp;$G$1)</f>
        <v>0.01</v>
      </c>
      <c r="G36" s="3476"/>
      <c r="H36" s="3614"/>
      <c r="I36" s="3623" t="s">
        <v>1790</v>
      </c>
      <c r="J36" s="3624">
        <f ca="1">INDIRECT("'数据-取费表'!j"&amp;$G$1)</f>
        <v>6.5000000000000002E-2</v>
      </c>
      <c r="K36" s="3625"/>
      <c r="L36" s="3614"/>
      <c r="M36" s="3614"/>
    </row>
    <row r="37" spans="1:18" ht="18" customHeight="1">
      <c r="A37" s="3537" t="s">
        <v>1859</v>
      </c>
      <c r="B37" s="3486" t="s">
        <v>657</v>
      </c>
      <c r="C37" s="3539">
        <f ca="1">ROUND(C13*F37,1)</f>
        <v>10.3</v>
      </c>
      <c r="D37" s="3559" t="s">
        <v>658</v>
      </c>
      <c r="E37" s="3486" t="s">
        <v>627</v>
      </c>
      <c r="F37" s="3577">
        <f ca="1">INDIRECT("'数据-取费表'!Al"&amp;$G$1)</f>
        <v>1E-3</v>
      </c>
      <c r="G37" s="3476"/>
      <c r="H37" s="3614"/>
      <c r="I37" s="3626" t="s">
        <v>1791</v>
      </c>
      <c r="J37" s="3627"/>
      <c r="K37" s="3625"/>
      <c r="L37" s="3614"/>
      <c r="M37" s="3614"/>
    </row>
    <row r="38" spans="1:18" ht="18" customHeight="1" thickBot="1">
      <c r="A38" s="3519" t="s">
        <v>1860</v>
      </c>
      <c r="B38" s="3546" t="s">
        <v>644</v>
      </c>
      <c r="C38" s="3579">
        <f ca="1">ROUND(C5*F38,1)</f>
        <v>13.4</v>
      </c>
      <c r="D38" s="3580" t="s">
        <v>661</v>
      </c>
      <c r="E38" s="3546" t="s">
        <v>627</v>
      </c>
      <c r="F38" s="3518">
        <f ca="1">INDIRECT("'数据-取费表'!Am"&amp;$G$1)</f>
        <v>0.01</v>
      </c>
      <c r="G38" s="3476"/>
      <c r="H38" s="3614"/>
      <c r="I38" s="3628" t="s">
        <v>1792</v>
      </c>
      <c r="J38" s="3629"/>
      <c r="K38" s="3630"/>
      <c r="L38" s="3614"/>
      <c r="M38" s="3614"/>
    </row>
    <row r="39" spans="1:18" ht="24.6" customHeight="1" thickTop="1">
      <c r="A39" s="3523" t="s">
        <v>1751</v>
      </c>
      <c r="B39" s="3582" t="s">
        <v>2774</v>
      </c>
      <c r="C39" s="3525">
        <f ca="1">C5-C30</f>
        <v>976</v>
      </c>
      <c r="D39" s="3583" t="s">
        <v>678</v>
      </c>
      <c r="E39" s="3584"/>
      <c r="F39" s="3585"/>
      <c r="G39" s="3476"/>
      <c r="H39" s="3614"/>
      <c r="I39" s="3621" t="s">
        <v>1793</v>
      </c>
      <c r="J39" s="3631">
        <f ca="1">ROUND(J35/C39,3)</f>
        <v>0.68899999999999995</v>
      </c>
      <c r="K39" s="3630"/>
      <c r="L39" s="3614"/>
      <c r="M39" s="3614"/>
    </row>
    <row r="40" spans="1:18" ht="18" customHeight="1">
      <c r="A40" s="3477" t="s">
        <v>1755</v>
      </c>
      <c r="B40" s="3587" t="s">
        <v>2266</v>
      </c>
      <c r="C40" s="3484">
        <f ca="1">ROUND(C39*(1-((1+F42)/(1+F40))^F41)/(F40-F42),0)</f>
        <v>17960</v>
      </c>
      <c r="D40" s="3567" t="s">
        <v>682</v>
      </c>
      <c r="E40" s="3486" t="s">
        <v>2381</v>
      </c>
      <c r="F40" s="3496">
        <f ca="1">INDIRECT("'数据-取费表'!I"&amp;$G$1)</f>
        <v>4.4999999999999998E-2</v>
      </c>
      <c r="G40" s="3476"/>
      <c r="H40" s="3476"/>
      <c r="I40" s="3621" t="s">
        <v>1794</v>
      </c>
      <c r="J40" s="3631">
        <f ca="1">1-J39</f>
        <v>0.31100000000000005</v>
      </c>
      <c r="K40" s="3630">
        <f>26914/25727</f>
        <v>1.0461382982858476</v>
      </c>
      <c r="L40" s="3476"/>
      <c r="M40" s="3476"/>
    </row>
    <row r="41" spans="1:18" ht="18" customHeight="1">
      <c r="A41" s="3495"/>
      <c r="B41" s="3589"/>
      <c r="C41" s="3491"/>
      <c r="D41" s="3590" t="s">
        <v>685</v>
      </c>
      <c r="E41" s="3486" t="s">
        <v>686</v>
      </c>
      <c r="F41" s="3632">
        <f ca="1">IF(INDIRECT("'数据-取费表'!af"&amp;$G$1)=0,INDIRECT("'数据-取费表'!ae"&amp;$G$1),INDIRECT("'数据-取费表'!af"&amp;$G$1))</f>
        <v>40</v>
      </c>
      <c r="G41" s="3476"/>
      <c r="H41" s="3604"/>
      <c r="I41" s="3628" t="s">
        <v>1795</v>
      </c>
      <c r="J41" s="3633"/>
      <c r="K41" s="3625"/>
      <c r="L41" s="3604"/>
      <c r="M41" s="3604"/>
    </row>
    <row r="42" spans="1:18" ht="18" customHeight="1">
      <c r="A42" s="3507"/>
      <c r="B42" s="3592"/>
      <c r="C42" s="3525"/>
      <c r="D42" s="3573"/>
      <c r="E42" s="3486" t="s">
        <v>688</v>
      </c>
      <c r="F42" s="3634">
        <f ca="1">INDIRECT("'数据-取费表'!v"&amp;$G$1)</f>
        <v>0</v>
      </c>
      <c r="G42" s="3476"/>
      <c r="H42" s="3604"/>
      <c r="I42" s="3635" t="s">
        <v>1796</v>
      </c>
      <c r="J42" s="3631">
        <f ca="1">ROUND(C13/C40,3)</f>
        <v>0.57499999999999996</v>
      </c>
      <c r="K42" s="3625"/>
      <c r="L42" s="3604"/>
      <c r="M42" s="3604"/>
    </row>
    <row r="43" spans="1:18" ht="18" customHeight="1" thickBot="1">
      <c r="A43" s="3595" t="s">
        <v>1762</v>
      </c>
      <c r="B43" s="3596" t="s">
        <v>1785</v>
      </c>
      <c r="C43" s="3597">
        <f ca="1">ROUND(C40*10000/F43,0)</f>
        <v>20065</v>
      </c>
      <c r="D43" s="3598" t="s">
        <v>1786</v>
      </c>
      <c r="E43" s="3599" t="s">
        <v>1787</v>
      </c>
      <c r="F43" s="3600">
        <f ca="1">INDIRECT("'数据-取费表'!k"&amp;$G$1)</f>
        <v>8950.7250000000022</v>
      </c>
      <c r="G43" s="3476"/>
      <c r="H43" s="3604"/>
      <c r="I43" s="3635" t="s">
        <v>1797</v>
      </c>
      <c r="J43" s="3636">
        <f ca="1">1-J42</f>
        <v>0.42500000000000004</v>
      </c>
      <c r="K43" s="3625"/>
      <c r="L43" s="3604"/>
      <c r="M43" s="3604"/>
    </row>
    <row r="44" spans="1:18" s="3464" customFormat="1" ht="18" customHeight="1">
      <c r="A44" s="3637"/>
      <c r="B44" s="3637"/>
      <c r="C44" s="3638"/>
      <c r="D44" s="3637"/>
      <c r="E44" s="3637"/>
      <c r="F44" s="3637"/>
      <c r="K44" s="3639"/>
      <c r="Q44" s="3465"/>
    </row>
    <row r="45" spans="1:18" s="3464" customFormat="1" ht="18" customHeight="1" thickBot="1">
      <c r="A45" s="3637"/>
      <c r="B45" s="3637"/>
      <c r="C45" s="3638"/>
      <c r="D45" s="3637"/>
      <c r="E45" s="3637"/>
      <c r="F45" s="3637"/>
      <c r="K45" s="3639"/>
      <c r="Q45" s="3465"/>
    </row>
    <row r="46" spans="1:18" s="3464" customFormat="1" ht="18" customHeight="1" thickBot="1">
      <c r="A46" s="3640" t="s">
        <v>2260</v>
      </c>
      <c r="B46" s="3637"/>
      <c r="C46" s="3641">
        <f ca="1">C67-C40</f>
        <v>-20242</v>
      </c>
      <c r="D46" s="3642"/>
      <c r="E46" s="3642"/>
      <c r="F46" s="3642"/>
      <c r="I46" s="3643" t="s">
        <v>2305</v>
      </c>
      <c r="J46" s="3644"/>
      <c r="K46" s="3645"/>
      <c r="L46" s="3646" t="str">
        <f ca="1">IF(OR(M47="住宅",D1="土地（套用方法）"),0,IF(L48&gt;J51,L60,J60))</f>
        <v>0</v>
      </c>
      <c r="M46" s="3459"/>
      <c r="O46" s="3647" t="s">
        <v>2372</v>
      </c>
      <c r="P46" s="3648"/>
      <c r="Q46" s="3649"/>
      <c r="R46" s="3648"/>
    </row>
    <row r="47" spans="1:18" s="3464" customFormat="1" ht="18" customHeight="1" thickBot="1">
      <c r="A47" s="3650">
        <v>1</v>
      </c>
      <c r="B47" s="3651" t="s">
        <v>613</v>
      </c>
      <c r="C47" s="3641">
        <f ca="1">C48+C52+C54</f>
        <v>0</v>
      </c>
      <c r="D47" s="3642"/>
      <c r="E47" s="3642"/>
      <c r="F47" s="3642"/>
      <c r="I47" s="3652" t="s">
        <v>2306</v>
      </c>
      <c r="J47" s="3653" t="s">
        <v>3142</v>
      </c>
      <c r="K47" s="3654" t="s">
        <v>2311</v>
      </c>
      <c r="L47" s="3655">
        <f ca="1">INDIRECT("'数据-取费表'!d"&amp;$G$1)</f>
        <v>40</v>
      </c>
      <c r="M47" s="3649" t="str">
        <f>IF(ISNUMBER(FIND("住宅",C1)),"住宅","非住宅")</f>
        <v>非住宅</v>
      </c>
      <c r="O47" s="3656" t="s">
        <v>2337</v>
      </c>
      <c r="P47" s="3657" t="s">
        <v>2338</v>
      </c>
      <c r="Q47" s="3658" t="s">
        <v>2339</v>
      </c>
      <c r="R47" s="3657" t="s">
        <v>2340</v>
      </c>
    </row>
    <row r="48" spans="1:18" s="3464" customFormat="1" ht="18" customHeight="1" thickBot="1">
      <c r="A48" s="3659" t="s">
        <v>1839</v>
      </c>
      <c r="B48" s="3660" t="s">
        <v>2492</v>
      </c>
      <c r="C48" s="3661">
        <f ca="1">ROUND(F48*F50*F49*(1-F51)/10000,0)</f>
        <v>0</v>
      </c>
      <c r="D48" s="3662" t="s">
        <v>614</v>
      </c>
      <c r="E48" s="3663" t="s">
        <v>2261</v>
      </c>
      <c r="F48" s="3664"/>
      <c r="G48" s="3665"/>
      <c r="I48" s="3666" t="s">
        <v>2307</v>
      </c>
      <c r="J48" s="3667" t="s">
        <v>2312</v>
      </c>
      <c r="K48" s="3668" t="s">
        <v>2313</v>
      </c>
      <c r="L48" s="3669">
        <f ca="1">INDIRECT("'数据-取费表'!f"&amp;$G$1)</f>
        <v>40</v>
      </c>
      <c r="M48" s="3459"/>
      <c r="O48" s="3670" t="s">
        <v>2341</v>
      </c>
      <c r="P48" s="3671" t="s">
        <v>2367</v>
      </c>
      <c r="Q48" s="3672">
        <f ca="1">C40+J29</f>
        <v>17960</v>
      </c>
      <c r="R48" s="3671" t="s">
        <v>2342</v>
      </c>
    </row>
    <row r="49" spans="1:18" s="3464" customFormat="1" ht="18" customHeight="1" thickBot="1">
      <c r="A49" s="3495"/>
      <c r="B49" s="3589"/>
      <c r="C49" s="3491"/>
      <c r="D49" s="3492"/>
      <c r="E49" s="3486" t="s">
        <v>616</v>
      </c>
      <c r="F49" s="3487">
        <f ca="1">F7</f>
        <v>8950.7250000000022</v>
      </c>
      <c r="G49" s="3665"/>
      <c r="H49" s="3673"/>
      <c r="I49" s="3666" t="s">
        <v>2308</v>
      </c>
      <c r="J49" s="3674">
        <v>2022</v>
      </c>
      <c r="K49" s="3675" t="s">
        <v>2314</v>
      </c>
      <c r="L49" s="3676"/>
      <c r="M49" s="3459"/>
      <c r="O49" s="3670" t="s">
        <v>2343</v>
      </c>
      <c r="P49" s="3671" t="s">
        <v>2368</v>
      </c>
      <c r="Q49" s="3672" t="str">
        <f ca="1">J60</f>
        <v>0</v>
      </c>
      <c r="R49" s="3671" t="s">
        <v>2344</v>
      </c>
    </row>
    <row r="50" spans="1:18" s="3464" customFormat="1" ht="18" customHeight="1" thickBot="1">
      <c r="A50" s="3495"/>
      <c r="B50" s="3589"/>
      <c r="C50" s="3491"/>
      <c r="D50" s="3492"/>
      <c r="E50" s="3486" t="s">
        <v>617</v>
      </c>
      <c r="F50" s="3487">
        <f ca="1">F8</f>
        <v>365</v>
      </c>
      <c r="H50" s="3673"/>
      <c r="I50" s="3666" t="s">
        <v>2309</v>
      </c>
      <c r="J50" s="3677">
        <f>SUMPRODUCT((I63:I65=J47)*(J62:L62=J48)*(J63:L65))</f>
        <v>60</v>
      </c>
      <c r="K50" s="3675" t="s">
        <v>2315</v>
      </c>
      <c r="L50" s="3676"/>
      <c r="M50" s="3459"/>
      <c r="O50" s="3678" t="s">
        <v>2345</v>
      </c>
      <c r="P50" s="3671" t="s">
        <v>2369</v>
      </c>
      <c r="Q50" s="3672">
        <f ca="1">C29</f>
        <v>10331</v>
      </c>
      <c r="R50" s="3671" t="s">
        <v>2342</v>
      </c>
    </row>
    <row r="51" spans="1:18" s="3464" customFormat="1" ht="18" customHeight="1" thickBot="1">
      <c r="A51" s="3495"/>
      <c r="B51" s="3589"/>
      <c r="C51" s="3491"/>
      <c r="D51" s="3492"/>
      <c r="E51" s="3486" t="s">
        <v>618</v>
      </c>
      <c r="F51" s="3679"/>
      <c r="H51" s="3673"/>
      <c r="I51" s="3680" t="s">
        <v>2310</v>
      </c>
      <c r="J51" s="3669">
        <f>IF(J49="",J50,J49+J50-YEAR('[1]数据-取费表'!B2))</f>
        <v>61</v>
      </c>
      <c r="K51" s="3666" t="s">
        <v>2316</v>
      </c>
      <c r="L51" s="3681">
        <f ca="1">ROUND(-PV(INDIRECT("'数据-取费表'!h"&amp;$G$1),J51,(C39-C13*J36),0),0)</f>
        <v>5411</v>
      </c>
      <c r="M51" s="3459"/>
      <c r="O51" s="3678" t="s">
        <v>2346</v>
      </c>
      <c r="P51" s="3671" t="s">
        <v>2347</v>
      </c>
      <c r="Q51" s="3682" t="e">
        <f ca="1">J58</f>
        <v>#VALUE!</v>
      </c>
      <c r="R51" s="3683"/>
    </row>
    <row r="52" spans="1:18" s="3464" customFormat="1" ht="18" customHeight="1" thickBot="1">
      <c r="A52" s="3477" t="s">
        <v>2490</v>
      </c>
      <c r="B52" s="3500" t="s">
        <v>2413</v>
      </c>
      <c r="C52" s="3501">
        <f>ROUND(IF(F52="押一",C48/12*F11,IF(F52="押二",C48/12*2*F11,IF(F52="押三",C48/12*3*F11,C53*F11))),0)</f>
        <v>0</v>
      </c>
      <c r="D52" s="3502" t="s">
        <v>2907</v>
      </c>
      <c r="E52" s="3503" t="s">
        <v>2418</v>
      </c>
      <c r="F52" s="3504"/>
      <c r="I52" s="3684" t="s">
        <v>2383</v>
      </c>
      <c r="J52" s="3685">
        <v>6.5000000000000002E-2</v>
      </c>
      <c r="K52" s="3684" t="s">
        <v>2382</v>
      </c>
      <c r="L52" s="3685"/>
      <c r="M52" s="3459"/>
      <c r="O52" s="3678" t="s">
        <v>2348</v>
      </c>
      <c r="P52" s="3671" t="s">
        <v>2349</v>
      </c>
      <c r="Q52" s="3682">
        <f>J52</f>
        <v>6.5000000000000002E-2</v>
      </c>
      <c r="R52" s="3683"/>
    </row>
    <row r="53" spans="1:18" s="3464" customFormat="1" ht="39.75" customHeight="1" thickBot="1">
      <c r="A53" s="3495"/>
      <c r="B53" s="3508" t="s">
        <v>2527</v>
      </c>
      <c r="C53" s="3509"/>
      <c r="D53" s="3502"/>
      <c r="E53" s="3503"/>
      <c r="F53" s="3686"/>
      <c r="I53" s="3687" t="s">
        <v>2911</v>
      </c>
      <c r="J53" s="3688">
        <f ca="1">IF(M47="住宅",IF(D1="——",MAX(J51,L48),MAX(J51,L48-'[1]数据-取费表'!B20)),IF(D1="——",MIN(J51,L48),MIN(J51,L48-'[1]数据-取费表'!B20)))</f>
        <v>40</v>
      </c>
      <c r="K53" s="4342" t="s">
        <v>2901</v>
      </c>
      <c r="L53" s="4343"/>
      <c r="M53" s="3459"/>
      <c r="O53" s="3678" t="s">
        <v>2350</v>
      </c>
      <c r="P53" s="3671" t="s">
        <v>2351</v>
      </c>
      <c r="Q53" s="3672">
        <f ca="1">J53</f>
        <v>40</v>
      </c>
      <c r="R53" s="3671" t="s">
        <v>2352</v>
      </c>
    </row>
    <row r="54" spans="1:18" s="3464" customFormat="1" ht="18" customHeight="1" thickBot="1">
      <c r="A54" s="3513" t="s">
        <v>2421</v>
      </c>
      <c r="B54" s="3514" t="s">
        <v>2414</v>
      </c>
      <c r="C54" s="3515"/>
      <c r="D54" s="3502"/>
      <c r="E54" s="3503"/>
      <c r="F54" s="3686"/>
      <c r="I54" s="34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639"/>
      <c r="M54" s="3459"/>
      <c r="O54" s="3670" t="s">
        <v>2353</v>
      </c>
      <c r="P54" s="3671" t="s">
        <v>2370</v>
      </c>
      <c r="Q54" s="3672">
        <f ca="1">Q48+Q49</f>
        <v>17960</v>
      </c>
      <c r="R54" s="3683" t="s">
        <v>2354</v>
      </c>
    </row>
    <row r="55" spans="1:18" s="3464" customFormat="1" ht="18" customHeight="1" thickTop="1" thickBot="1">
      <c r="A55" s="3689">
        <v>2</v>
      </c>
      <c r="B55" s="3690" t="s">
        <v>622</v>
      </c>
      <c r="C55" s="3501">
        <f ca="1">C13</f>
        <v>10331</v>
      </c>
      <c r="D55" s="3498"/>
      <c r="E55" s="3498"/>
      <c r="F55" s="3686"/>
      <c r="I55" s="3691" t="s">
        <v>2317</v>
      </c>
      <c r="J55" s="3692" t="e">
        <f ca="1">ROUND(IF(J47="钢混",J57/J50,1-(1-2%)*(J50-J57)/J50),3)</f>
        <v>#VALUE!</v>
      </c>
      <c r="K55" s="3693" t="s">
        <v>2318</v>
      </c>
      <c r="L55" s="3694"/>
      <c r="M55" s="3459"/>
      <c r="O55" s="3695" t="s">
        <v>2373</v>
      </c>
      <c r="P55" s="3648"/>
      <c r="Q55" s="3649"/>
      <c r="R55" s="3648"/>
    </row>
    <row r="56" spans="1:18" s="3464" customFormat="1" ht="42.75" customHeight="1" thickBot="1">
      <c r="A56" s="3581"/>
      <c r="B56" s="3538" t="s">
        <v>2265</v>
      </c>
      <c r="C56" s="3539">
        <f ca="1">C29</f>
        <v>10331</v>
      </c>
      <c r="D56" s="3559"/>
      <c r="E56" s="3486"/>
      <c r="F56" s="3554"/>
      <c r="I56" s="3696" t="s">
        <v>2319</v>
      </c>
      <c r="J56" s="3697" t="s">
        <v>1653</v>
      </c>
      <c r="K56" s="3666" t="s">
        <v>2324</v>
      </c>
      <c r="L56" s="3669" t="str">
        <f ca="1">IF(L48&lt;J51,"——",L48-J51)</f>
        <v>——</v>
      </c>
      <c r="M56" s="3459"/>
      <c r="O56" s="3656" t="s">
        <v>2337</v>
      </c>
      <c r="P56" s="3657" t="s">
        <v>2338</v>
      </c>
      <c r="Q56" s="3658" t="s">
        <v>2339</v>
      </c>
      <c r="R56" s="3657" t="s">
        <v>2340</v>
      </c>
    </row>
    <row r="57" spans="1:18" s="3464" customFormat="1" ht="28.5" customHeight="1" thickBot="1">
      <c r="A57" s="3689" t="s">
        <v>7</v>
      </c>
      <c r="B57" s="3690" t="s">
        <v>629</v>
      </c>
      <c r="C57" s="3501">
        <f ca="1">ROUND(C58+C63+C64+C65,0)</f>
        <v>124</v>
      </c>
      <c r="D57" s="3540" t="s">
        <v>630</v>
      </c>
      <c r="E57" s="3562"/>
      <c r="F57" s="3557"/>
      <c r="I57" s="3698" t="s">
        <v>2320</v>
      </c>
      <c r="J57" s="3699" t="str">
        <f ca="1">IF(OR(M47="住宅",J51&lt;L48,J56="是"),"——",J51-L48)</f>
        <v>——</v>
      </c>
      <c r="K57" s="3666" t="s">
        <v>2325</v>
      </c>
      <c r="L57" s="3669" t="str">
        <f ca="1">IF(L48&lt;J51,"——",IF(L55="比较法",L49,IF(L55="基准地价",L50,L51)))</f>
        <v>——</v>
      </c>
      <c r="M57" s="3459"/>
      <c r="O57" s="3670" t="s">
        <v>2341</v>
      </c>
      <c r="P57" s="3671" t="s">
        <v>2367</v>
      </c>
      <c r="Q57" s="3672">
        <f ca="1">C40+J29</f>
        <v>17960</v>
      </c>
      <c r="R57" s="3671" t="s">
        <v>2342</v>
      </c>
    </row>
    <row r="58" spans="1:18" s="3464" customFormat="1" ht="28.5" customHeight="1" thickBot="1">
      <c r="A58" s="3537" t="s">
        <v>1799</v>
      </c>
      <c r="B58" s="3486" t="s">
        <v>634</v>
      </c>
      <c r="C58" s="3558">
        <f ca="1">ROUND(IF(AND([1]项目基本情况!B11="自然人",[1]项目基本情况!B10="北京市"),C48*F58/(1+'[1]数据-取费表'!C42),C59+C60+C61),0)</f>
        <v>10</v>
      </c>
      <c r="D58" s="3534" t="s">
        <v>635</v>
      </c>
      <c r="E58" s="3559" t="s">
        <v>636</v>
      </c>
      <c r="F58" s="3560" t="str">
        <f>IF([1]项目基本情况!B11="企业","——",IF('[1]数据-取费表'!B10="住宅",IF(F48*F49*F50/12/(1+'[1]数据-取费表'!F30)&gt;100000,4%,2.5%),IF(F48*F49*F50/12/(1+'[1]数据-取费表'!F30)&gt;100000,12%,7%)))</f>
        <v>——</v>
      </c>
      <c r="I58" s="3698" t="s">
        <v>2321</v>
      </c>
      <c r="J58" s="3700" t="e">
        <f ca="1">IF(J55&lt;0.4,0.4,J55)</f>
        <v>#VALUE!</v>
      </c>
      <c r="K58" s="3666" t="s">
        <v>2326</v>
      </c>
      <c r="L58" s="3669" t="e">
        <f ca="1">ROUND(POWER(1+L52,L47-L48)*(POWER(1+L52,L48)-1)/(POWER(1+L52,L47)-1),4)</f>
        <v>#DIV/0!</v>
      </c>
      <c r="M58" s="3459"/>
      <c r="O58" s="3670" t="s">
        <v>2343</v>
      </c>
      <c r="P58" s="3671" t="s">
        <v>2374</v>
      </c>
      <c r="Q58" s="3672">
        <f ca="1">L60</f>
        <v>0</v>
      </c>
      <c r="R58" s="3683" t="s">
        <v>2376</v>
      </c>
    </row>
    <row r="59" spans="1:18" s="3464" customFormat="1" ht="28.5" customHeight="1" thickBot="1">
      <c r="A59" s="3532" t="s">
        <v>1806</v>
      </c>
      <c r="B59" s="3486" t="s">
        <v>638</v>
      </c>
      <c r="C59" s="3539">
        <f ca="1">ROUND(C47*F59/1.05,1)</f>
        <v>0</v>
      </c>
      <c r="D59" s="3559" t="s">
        <v>639</v>
      </c>
      <c r="E59" s="3486" t="s">
        <v>627</v>
      </c>
      <c r="F59" s="3554">
        <f t="shared" ref="F59:F65" si="0">F32</f>
        <v>5.6000000000000001E-2</v>
      </c>
      <c r="I59" s="3698" t="s">
        <v>2322</v>
      </c>
      <c r="J59" s="3699" t="str">
        <f ca="1">IF(OR(M47="住宅",J51&lt;L48,J56="是"),"——",ROUND(C29*J58,0))</f>
        <v>——</v>
      </c>
      <c r="K59" s="3666" t="str">
        <f>IF(D1="——","建筑物剩余耐用年限下的土地年期修正系数Kn","建设期及建筑物耐用年限下的土地年期修正系数Kn")</f>
        <v>建筑物剩余耐用年限下的土地年期修正系数Kn</v>
      </c>
      <c r="L59" s="3669" t="e">
        <f ca="1">ROUND(IF(D1="土地（套用方法）",POWER(1+L52,L47-(J51+'[1]数据-取费表'!B20))*(POWER(1+L52,(J51+'[1]数据-取费表'!B20))-1)/(POWER(1+L52,L47)-1),POWER(1+L52,L47-J51)*(POWER(1+L52,J51)-1)/(POWER(1+L52,L47)-1)),4)</f>
        <v>#DIV/0!</v>
      </c>
      <c r="M59" s="3459"/>
      <c r="O59" s="3678" t="s">
        <v>2345</v>
      </c>
      <c r="P59" s="3671" t="s">
        <v>2375</v>
      </c>
      <c r="Q59" s="3672">
        <f>IF(L55="比较法",L49,IF(L55="基准地价",L50,0))</f>
        <v>0</v>
      </c>
      <c r="R59" s="3671" t="s">
        <v>2342</v>
      </c>
    </row>
    <row r="60" spans="1:18" s="3464" customFormat="1" ht="18" customHeight="1" thickBot="1">
      <c r="A60" s="3532" t="s">
        <v>1807</v>
      </c>
      <c r="B60" s="3486" t="s">
        <v>642</v>
      </c>
      <c r="C60" s="3539">
        <f ca="1">IF(D60="按租金收入计税",ROUND(C48*F60/(1+'[1]数据-取费表'!C42),1),IF(D60="按房产原值计税",ROUND(C56*F60*0.7,1),INDIRECT("'数据-取费表'!Aj"&amp;$G$1)))</f>
        <v>0</v>
      </c>
      <c r="D60" s="3559" t="str">
        <f>D33</f>
        <v>按租金收入计税</v>
      </c>
      <c r="E60" s="3486" t="s">
        <v>627</v>
      </c>
      <c r="F60" s="3554">
        <f t="shared" si="0"/>
        <v>0.12</v>
      </c>
      <c r="I60" s="3701" t="s">
        <v>2323</v>
      </c>
      <c r="J60" s="3702" t="str">
        <f ca="1">IF(OR(M47="住宅",J51&lt;L48,J56="是"),"0",ROUND(J59/(1+J52)^J53,0))</f>
        <v>0</v>
      </c>
      <c r="K60" s="3703" t="s">
        <v>2328</v>
      </c>
      <c r="L60" s="3702">
        <f ca="1">IF(OR(M47="住宅",L48&lt;J51),0,ROUND(L57*(L58/L59-1),0))</f>
        <v>0</v>
      </c>
      <c r="M60" s="3459"/>
      <c r="O60" s="3678" t="s">
        <v>2346</v>
      </c>
      <c r="P60" s="3671" t="s">
        <v>2355</v>
      </c>
      <c r="Q60" s="3682">
        <f>L52</f>
        <v>0</v>
      </c>
      <c r="R60" s="3683"/>
    </row>
    <row r="61" spans="1:18" s="3464" customFormat="1" ht="18" customHeight="1" thickBot="1">
      <c r="A61" s="3565" t="s">
        <v>1808</v>
      </c>
      <c r="B61" s="3489" t="s">
        <v>646</v>
      </c>
      <c r="C61" s="3566">
        <f>ROUND(F61*F62/10000,1)</f>
        <v>10</v>
      </c>
      <c r="D61" s="3567" t="s">
        <v>647</v>
      </c>
      <c r="E61" s="3486" t="s">
        <v>648</v>
      </c>
      <c r="F61" s="3568">
        <f t="shared" si="0"/>
        <v>1.5</v>
      </c>
      <c r="K61" s="3639"/>
      <c r="O61" s="3678" t="s">
        <v>2348</v>
      </c>
      <c r="P61" s="3671" t="s">
        <v>2356</v>
      </c>
      <c r="Q61" s="3672" t="e">
        <f ca="1">L58</f>
        <v>#DIV/0!</v>
      </c>
      <c r="R61" s="3683" t="s">
        <v>2357</v>
      </c>
    </row>
    <row r="62" spans="1:18" s="3464" customFormat="1" ht="15.75" thickBot="1">
      <c r="A62" s="3620"/>
      <c r="B62" s="3571"/>
      <c r="C62" s="3572"/>
      <c r="D62" s="3573"/>
      <c r="E62" s="3486" t="s">
        <v>652</v>
      </c>
      <c r="F62" s="3487">
        <f t="shared" si="0"/>
        <v>66387.842668560115</v>
      </c>
      <c r="I62" s="3704" t="s">
        <v>2329</v>
      </c>
      <c r="J62" s="3705" t="s">
        <v>2330</v>
      </c>
      <c r="K62" s="3705" t="s">
        <v>2331</v>
      </c>
      <c r="L62" s="3705" t="s">
        <v>2312</v>
      </c>
      <c r="M62" s="3706" t="s">
        <v>2880</v>
      </c>
      <c r="O62" s="3678" t="s">
        <v>2350</v>
      </c>
      <c r="P62" s="3671" t="str">
        <f>K59</f>
        <v>建筑物剩余耐用年限下的土地年期修正系数Kn</v>
      </c>
      <c r="Q62" s="3672" t="e">
        <f ca="1">L59</f>
        <v>#DIV/0!</v>
      </c>
      <c r="R62" s="3683" t="s">
        <v>2359</v>
      </c>
    </row>
    <row r="63" spans="1:18" s="3464" customFormat="1" ht="15.75" thickBot="1">
      <c r="A63" s="3537" t="s">
        <v>1858</v>
      </c>
      <c r="B63" s="3486" t="s">
        <v>654</v>
      </c>
      <c r="C63" s="3539">
        <f ca="1">ROUND(C56*F63,1)</f>
        <v>103.3</v>
      </c>
      <c r="D63" s="3559" t="s">
        <v>669</v>
      </c>
      <c r="E63" s="3486" t="s">
        <v>627</v>
      </c>
      <c r="F63" s="3575">
        <f t="shared" ca="1" si="0"/>
        <v>0.01</v>
      </c>
      <c r="I63" s="3704" t="s">
        <v>2332</v>
      </c>
      <c r="J63" s="3705">
        <v>70</v>
      </c>
      <c r="K63" s="3705">
        <v>50</v>
      </c>
      <c r="L63" s="3705">
        <v>80</v>
      </c>
      <c r="M63" s="3707">
        <v>0.02</v>
      </c>
      <c r="O63" s="3670" t="s">
        <v>2353</v>
      </c>
      <c r="P63" s="3671" t="s">
        <v>2370</v>
      </c>
      <c r="Q63" s="3672">
        <f ca="1">Q57+Q58</f>
        <v>17960</v>
      </c>
      <c r="R63" s="3683" t="s">
        <v>2354</v>
      </c>
    </row>
    <row r="64" spans="1:18" s="3464" customFormat="1" ht="16.5" thickBot="1">
      <c r="A64" s="3537" t="s">
        <v>1859</v>
      </c>
      <c r="B64" s="3486" t="s">
        <v>657</v>
      </c>
      <c r="C64" s="3539">
        <f ca="1">ROUND(C55*F64,1)</f>
        <v>10.3</v>
      </c>
      <c r="D64" s="3559" t="s">
        <v>658</v>
      </c>
      <c r="E64" s="3486" t="s">
        <v>627</v>
      </c>
      <c r="F64" s="3577">
        <f t="shared" ca="1" si="0"/>
        <v>1E-3</v>
      </c>
      <c r="I64" s="3704" t="s">
        <v>2333</v>
      </c>
      <c r="J64" s="3705">
        <v>50</v>
      </c>
      <c r="K64" s="3705">
        <v>35</v>
      </c>
      <c r="L64" s="3705">
        <v>60</v>
      </c>
      <c r="M64" s="3633">
        <v>0</v>
      </c>
      <c r="O64" s="3695" t="s">
        <v>2377</v>
      </c>
      <c r="P64" s="3648"/>
      <c r="Q64" s="3649"/>
      <c r="R64" s="3648"/>
    </row>
    <row r="65" spans="1:18" s="3464" customFormat="1" ht="15.75" thickBot="1">
      <c r="A65" s="3537" t="s">
        <v>1860</v>
      </c>
      <c r="B65" s="3486" t="s">
        <v>644</v>
      </c>
      <c r="C65" s="3539">
        <f ca="1">ROUND(C47*F65,1)</f>
        <v>0</v>
      </c>
      <c r="D65" s="3559" t="s">
        <v>661</v>
      </c>
      <c r="E65" s="3486" t="s">
        <v>627</v>
      </c>
      <c r="F65" s="3496">
        <f t="shared" ca="1" si="0"/>
        <v>0.01</v>
      </c>
      <c r="I65" s="3704" t="s">
        <v>2334</v>
      </c>
      <c r="J65" s="3705">
        <v>40</v>
      </c>
      <c r="K65" s="3705">
        <v>30</v>
      </c>
      <c r="L65" s="3705">
        <v>50</v>
      </c>
      <c r="M65" s="3707">
        <v>0.02</v>
      </c>
      <c r="O65" s="3656" t="s">
        <v>2337</v>
      </c>
      <c r="P65" s="3657" t="s">
        <v>2338</v>
      </c>
      <c r="Q65" s="3658" t="s">
        <v>2339</v>
      </c>
      <c r="R65" s="3657" t="s">
        <v>2340</v>
      </c>
    </row>
    <row r="66" spans="1:18" s="3464" customFormat="1" ht="24.75" thickBot="1">
      <c r="A66" s="3689" t="s">
        <v>1751</v>
      </c>
      <c r="B66" s="3708" t="s">
        <v>2774</v>
      </c>
      <c r="C66" s="3501">
        <f ca="1">C47-C57</f>
        <v>-124</v>
      </c>
      <c r="D66" s="3534" t="s">
        <v>678</v>
      </c>
      <c r="E66" s="3709"/>
      <c r="F66" s="3710"/>
      <c r="K66" s="3639"/>
      <c r="O66" s="3670" t="s">
        <v>2341</v>
      </c>
      <c r="P66" s="3671" t="s">
        <v>2367</v>
      </c>
      <c r="Q66" s="3672">
        <f ca="1">C40+J29</f>
        <v>17960</v>
      </c>
      <c r="R66" s="3671" t="s">
        <v>2342</v>
      </c>
    </row>
    <row r="67" spans="1:18" s="3464" customFormat="1" ht="20.25" thickBot="1">
      <c r="A67" s="3477" t="s">
        <v>1755</v>
      </c>
      <c r="B67" s="3587" t="s">
        <v>2266</v>
      </c>
      <c r="C67" s="3484">
        <f ca="1">ROUND(C66*(1-((1+F69)/(1+F67))^F68)/(F67-F69),0)</f>
        <v>-2282</v>
      </c>
      <c r="D67" s="3567" t="s">
        <v>682</v>
      </c>
      <c r="E67" s="3486" t="s">
        <v>683</v>
      </c>
      <c r="F67" s="3496">
        <f ca="1">F40</f>
        <v>4.4999999999999998E-2</v>
      </c>
      <c r="K67" s="3639"/>
      <c r="O67" s="3670" t="s">
        <v>2343</v>
      </c>
      <c r="P67" s="3671" t="s">
        <v>2374</v>
      </c>
      <c r="Q67" s="3672">
        <f ca="1">L60</f>
        <v>0</v>
      </c>
      <c r="R67" s="3683" t="s">
        <v>2376</v>
      </c>
    </row>
    <row r="68" spans="1:18" ht="21.75" thickBot="1">
      <c r="A68" s="3495"/>
      <c r="B68" s="3589"/>
      <c r="C68" s="3491"/>
      <c r="D68" s="3590" t="s">
        <v>685</v>
      </c>
      <c r="E68" s="3486" t="s">
        <v>686</v>
      </c>
      <c r="F68" s="3591">
        <f ca="1">F41</f>
        <v>40</v>
      </c>
      <c r="O68" s="3678" t="s">
        <v>2345</v>
      </c>
      <c r="P68" s="3671" t="s">
        <v>2375</v>
      </c>
      <c r="Q68" s="3712">
        <f ca="1">L51</f>
        <v>5411</v>
      </c>
      <c r="R68" s="3713" t="s">
        <v>2378</v>
      </c>
    </row>
    <row r="69" spans="1:18" ht="20.25" thickBot="1">
      <c r="A69" s="3507"/>
      <c r="B69" s="3592"/>
      <c r="C69" s="3525"/>
      <c r="D69" s="3573"/>
      <c r="E69" s="3486" t="s">
        <v>688</v>
      </c>
      <c r="F69" s="3679"/>
      <c r="O69" s="3678" t="s">
        <v>2346</v>
      </c>
      <c r="P69" s="3714" t="s">
        <v>2360</v>
      </c>
      <c r="Q69" s="3672">
        <f ca="1">ROUND(Q70-Q71*Q72,0)</f>
        <v>304</v>
      </c>
      <c r="R69" s="3683"/>
    </row>
    <row r="70" spans="1:18" ht="15.75" thickBot="1">
      <c r="A70" s="3595" t="s">
        <v>1762</v>
      </c>
      <c r="B70" s="3596" t="s">
        <v>1785</v>
      </c>
      <c r="C70" s="3597">
        <f ca="1">ROUND(C67*10000/F70,0)</f>
        <v>-2550</v>
      </c>
      <c r="D70" s="3598" t="s">
        <v>1786</v>
      </c>
      <c r="E70" s="3599" t="s">
        <v>1787</v>
      </c>
      <c r="F70" s="3600">
        <f ca="1">F43</f>
        <v>8950.7250000000022</v>
      </c>
      <c r="O70" s="3678" t="s">
        <v>2361</v>
      </c>
      <c r="P70" s="3714" t="s">
        <v>2362</v>
      </c>
      <c r="Q70" s="3672">
        <f ca="1">C39</f>
        <v>976</v>
      </c>
      <c r="R70" s="3671" t="s">
        <v>2342</v>
      </c>
    </row>
    <row r="71" spans="1:18" ht="15.75" thickBot="1">
      <c r="O71" s="3678" t="s">
        <v>2363</v>
      </c>
      <c r="P71" s="3714" t="s">
        <v>2364</v>
      </c>
      <c r="Q71" s="3672">
        <f ca="1">C13</f>
        <v>10331</v>
      </c>
      <c r="R71" s="3671" t="s">
        <v>2342</v>
      </c>
    </row>
    <row r="72" spans="1:18" ht="15.75" thickBot="1">
      <c r="O72" s="3678" t="s">
        <v>2365</v>
      </c>
      <c r="P72" s="3714" t="s">
        <v>2366</v>
      </c>
      <c r="Q72" s="3682">
        <f ca="1">J36</f>
        <v>6.5000000000000002E-2</v>
      </c>
      <c r="R72" s="3683"/>
    </row>
    <row r="73" spans="1:18" ht="15.75" thickBot="1">
      <c r="O73" s="3678" t="s">
        <v>2348</v>
      </c>
      <c r="P73" s="3671" t="s">
        <v>2355</v>
      </c>
      <c r="Q73" s="3682">
        <f>L52</f>
        <v>0</v>
      </c>
      <c r="R73" s="3683"/>
    </row>
    <row r="74" spans="1:18" ht="20.25" thickBot="1">
      <c r="O74" s="3678" t="s">
        <v>2350</v>
      </c>
      <c r="P74" s="3671" t="s">
        <v>2356</v>
      </c>
      <c r="Q74" s="3672" t="e">
        <f ca="1">L58</f>
        <v>#DIV/0!</v>
      </c>
      <c r="R74" s="3683" t="s">
        <v>2357</v>
      </c>
    </row>
    <row r="75" spans="1:18" ht="15.75" thickBot="1">
      <c r="O75" s="3678" t="s">
        <v>2379</v>
      </c>
      <c r="P75" s="3671" t="str">
        <f>K59</f>
        <v>建筑物剩余耐用年限下的土地年期修正系数Kn</v>
      </c>
      <c r="Q75" s="3672" t="e">
        <f ca="1">L59</f>
        <v>#DIV/0!</v>
      </c>
      <c r="R75" s="3683" t="s">
        <v>2359</v>
      </c>
    </row>
    <row r="76" spans="1:18" ht="15.75" thickBot="1">
      <c r="O76" s="3670" t="s">
        <v>2353</v>
      </c>
      <c r="P76" s="3671" t="s">
        <v>2370</v>
      </c>
      <c r="Q76" s="3672">
        <f ca="1">Q66+Q67</f>
        <v>17960</v>
      </c>
      <c r="R76" s="3683" t="s">
        <v>2354</v>
      </c>
    </row>
  </sheetData>
  <sheetProtection formatCells="0" formatColumns="0" formatRows="0"/>
  <mergeCells count="3">
    <mergeCell ref="B6:B9"/>
    <mergeCell ref="I6:I9"/>
    <mergeCell ref="K53:L53"/>
  </mergeCells>
  <phoneticPr fontId="225" type="noConversion"/>
  <conditionalFormatting sqref="K55">
    <cfRule type="expression" dxfId="161" priority="6">
      <formula>$L$48&gt;$J$51</formula>
    </cfRule>
  </conditionalFormatting>
  <conditionalFormatting sqref="I55">
    <cfRule type="expression" dxfId="160" priority="7">
      <formula>$J$51&gt;$L$48</formula>
    </cfRule>
  </conditionalFormatting>
  <conditionalFormatting sqref="I60">
    <cfRule type="expression" dxfId="159" priority="5">
      <formula>$J$51&gt;$L$48</formula>
    </cfRule>
  </conditionalFormatting>
  <conditionalFormatting sqref="K60">
    <cfRule type="expression" dxfId="158" priority="4">
      <formula>$L$48&gt;$J$51</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3">
    <cfRule type="expression" dxfId="155" priority="1">
      <formula>$F$52="自定义"</formula>
    </cfRule>
  </conditionalFormatting>
  <dataValidations count="8">
    <dataValidation type="list" allowBlank="1" showInputMessage="1" showErrorMessage="1" sqref="D1" xr:uid="{4C266877-BC10-409E-86D4-4D89FE65FDAB}">
      <formula1>"土地（套用方法）,——"</formula1>
    </dataValidation>
    <dataValidation type="list" allowBlank="1" showInputMessage="1" showErrorMessage="1" sqref="F10 M10 F52" xr:uid="{B81463E6-A903-4B74-8154-D35E3D9F4482}">
      <formula1>"押一,押二,押三,自定义"</formula1>
    </dataValidation>
    <dataValidation type="list" allowBlank="1" showInputMessage="1" showErrorMessage="1" sqref="J48" xr:uid="{956088F9-A91F-491D-A689-5E63FD186F56}">
      <formula1>"非生产用房,生产用房,受腐蚀的生产用房"</formula1>
    </dataValidation>
    <dataValidation type="list" allowBlank="1" showInputMessage="1" showErrorMessage="1" sqref="J47" xr:uid="{B17C1921-13E3-40C7-A5F1-0623512127E2}">
      <formula1>"钢,钢混,砖混"</formula1>
    </dataValidation>
    <dataValidation type="list" allowBlank="1" showInputMessage="1" showErrorMessage="1" sqref="J56" xr:uid="{E7DAA8F8-2A57-47A3-9F64-F0602A9B79D9}">
      <formula1>判定</formula1>
    </dataValidation>
    <dataValidation type="list" allowBlank="1" showInputMessage="1" showErrorMessage="1" sqref="D33" xr:uid="{C75F8844-1524-4AF2-B81B-1896320F767D}">
      <formula1>"按租金收入计税,按房产原值计税,按票据"</formula1>
    </dataValidation>
    <dataValidation type="list" allowBlank="1" showInputMessage="1" showErrorMessage="1" sqref="K19" xr:uid="{2FF77C02-9795-407E-BF19-F403D0FE4781}">
      <formula1>"按租金收入计税,按房产原值计税"</formula1>
    </dataValidation>
    <dataValidation type="list" allowBlank="1" showInputMessage="1" showErrorMessage="1" sqref="C1:C3" xr:uid="{8CE32B85-56FC-4ACA-93A2-22FCBF639DC9}">
      <formula1>项目类型</formula1>
    </dataValidation>
  </dataValidations>
  <pageMargins left="0.7" right="0.7" top="0.75" bottom="0.75" header="0.3" footer="0.3"/>
  <pageSetup paperSize="9" scale="62"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4" zoomScale="80" zoomScaleNormal="60" zoomScaleSheetLayoutView="80" workbookViewId="0">
      <selection activeCell="L14" sqref="L14"/>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8950.7250000000022</v>
      </c>
      <c r="E1" s="1329" t="s">
        <v>2389</v>
      </c>
      <c r="F1" s="2278">
        <f>'数据-基础表'!A3</f>
        <v>3580.2900000000009</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75">
      <c r="A2" s="1329" t="s">
        <v>895</v>
      </c>
      <c r="B2" s="1007">
        <f ca="1">C26</f>
        <v>12611</v>
      </c>
      <c r="C2" s="1330" t="s">
        <v>896</v>
      </c>
      <c r="D2" s="1331" t="s">
        <v>897</v>
      </c>
      <c r="E2" s="1332" t="s">
        <v>3126</v>
      </c>
      <c r="F2" s="1331" t="s">
        <v>899</v>
      </c>
      <c r="G2" s="1554" t="str">
        <f>IF(E2="商业",项目基本情况!B43,IF(E2="办公",项目基本情况!C43,IF(E2="住宅",项目基本情况!D43,项目基本情况!E43)))</f>
        <v>六级</v>
      </c>
      <c r="H2" s="1331" t="s">
        <v>901</v>
      </c>
      <c r="I2" s="1555" t="str">
        <f>IF(E2="商业",项目基本情况!B44,IF(E2="办公",项目基本情况!C44,IF(E2="住宅",项目基本情况!D44,项目基本情况!E44)))</f>
        <v>Ⅵ-02</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26246</v>
      </c>
      <c r="U2" s="2611"/>
      <c r="V2" s="2622">
        <f ca="1">ROUND(T2*U2/10000,0)</f>
        <v>0</v>
      </c>
      <c r="W2" s="2041"/>
      <c r="X2" s="2041"/>
      <c r="Y2" s="2041"/>
      <c r="Z2" s="2041"/>
      <c r="AA2" s="2041"/>
      <c r="AB2" s="2041"/>
      <c r="AC2" s="2042"/>
    </row>
    <row r="3" spans="1:39" ht="15.75">
      <c r="A3" s="1334" t="s">
        <v>1662</v>
      </c>
      <c r="B3" s="1007">
        <f ca="1">ROUND(B2*10000/D1,0)</f>
        <v>14089</v>
      </c>
      <c r="C3" s="1330" t="s">
        <v>902</v>
      </c>
      <c r="D3" s="1331" t="s">
        <v>903</v>
      </c>
      <c r="E3" s="1335" t="s">
        <v>3136</v>
      </c>
      <c r="F3" s="1336" t="s">
        <v>3135</v>
      </c>
      <c r="G3" s="1008">
        <f>IF(F3="宗地容积率",'数据-汇总表'!I4,IF(F3="估价对象容积率",'数据-汇总表'!I6,'数据-汇总表'!I7))</f>
        <v>2.5</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18839</v>
      </c>
      <c r="U3" s="2611"/>
      <c r="V3" s="2622">
        <f t="shared" ref="V3:V16" ca="1" si="1">ROUND(T3*U3/10000,0)</f>
        <v>0</v>
      </c>
      <c r="W3" s="2041"/>
      <c r="X3" s="2041"/>
      <c r="Y3" s="2041"/>
      <c r="Z3" s="2041"/>
      <c r="AA3" s="2041"/>
      <c r="AB3" s="2041"/>
      <c r="AC3" s="2042"/>
    </row>
    <row r="4" spans="1:39" ht="28.5">
      <c r="A4" s="1778" t="s">
        <v>2246</v>
      </c>
      <c r="B4" s="2279">
        <f ca="1">ROUND(B2*10000/F1,0)</f>
        <v>35223</v>
      </c>
      <c r="C4" s="1781" t="s">
        <v>2221</v>
      </c>
      <c r="D4" s="1781">
        <f ca="1">ROUND(B2/(F1/666.67),0)</f>
        <v>2348</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15199</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10090</v>
      </c>
      <c r="D5" s="2759">
        <f>ROUND(C6+C16,0)</f>
        <v>10090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12195</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SUMIF(L1:L12,基准地价!G2,M1:M12)</f>
        <v>10090</v>
      </c>
      <c r="D6" s="1346" t="s">
        <v>1670</v>
      </c>
      <c r="E6" s="1347"/>
      <c r="F6" s="1347"/>
      <c r="G6" s="1348"/>
      <c r="H6" s="1348"/>
      <c r="I6" s="1348"/>
      <c r="J6" s="1349"/>
      <c r="K6" s="3200"/>
      <c r="L6" s="1772" t="s">
        <v>2210</v>
      </c>
      <c r="M6" s="1773">
        <f>SUMPRODUCT((区片价!B110:B157=I2)*(区片价!C3:F3=E2)*(区片价!C110:F157))</f>
        <v>10090</v>
      </c>
      <c r="N6" s="1774">
        <f>SUMPRODUCT((因素修正幅度!B110:B157=I2)*(因素修正幅度!C3:F3=E2)*(因素修正幅度!C110:F157))</f>
        <v>0.11</v>
      </c>
      <c r="O6" s="3200"/>
      <c r="P6" s="3203"/>
      <c r="Q6" s="2041"/>
      <c r="R6" s="2622">
        <v>5</v>
      </c>
      <c r="S6" s="2622">
        <f>ROUND(IF(G3&gt;1,IF(R6&lt;7,SUMPRODUCT((B93:B98=R6)*(C92:N92=G2)*(C93:N98)),SUMIF(C92:N92,G2,C100:N100)),IF(R6&lt;7,SUMPRODUCT((B102:B107=R6)*(C92:N92=G2)*(C102:N107)),SUMIF(C92:N92,G2,C109:N109))),4)</f>
        <v>0.73709999999999998</v>
      </c>
      <c r="T6" s="2622">
        <f t="shared" ca="1" si="0"/>
        <v>10385</v>
      </c>
      <c r="U6" s="2611"/>
      <c r="V6" s="2622">
        <f t="shared" ca="1" si="1"/>
        <v>0</v>
      </c>
      <c r="W6" s="2041"/>
      <c r="X6" s="2041"/>
      <c r="Y6" s="2041"/>
      <c r="Z6" s="2041"/>
      <c r="AA6" s="2041"/>
      <c r="AB6" s="2041"/>
      <c r="AC6" s="2043"/>
      <c r="AD6" s="1342"/>
      <c r="AE6" s="1342"/>
      <c r="AF6" s="1342"/>
      <c r="AG6" s="1342"/>
      <c r="AH6" s="1342"/>
      <c r="AI6" s="1342"/>
      <c r="AJ6" s="1343"/>
    </row>
    <row r="7" spans="1:39" ht="24">
      <c r="A7" s="4345" t="str">
        <f>IF(E2="商业",IF(C8="不临58条商业街","",2),"")</f>
        <v/>
      </c>
      <c r="B7" s="1350" t="s">
        <v>907</v>
      </c>
      <c r="C7" s="1012">
        <f>IF(C8="不临58条商业街",1,ROUND(1+(1.6*E8+1.2*E9+0.8*E10+0.4*E11)*C9,4))</f>
        <v>1</v>
      </c>
      <c r="D7" s="1351" t="s">
        <v>908</v>
      </c>
      <c r="E7" s="1013"/>
      <c r="F7" s="1352"/>
      <c r="G7" s="1353"/>
      <c r="H7" s="1353"/>
      <c r="I7" s="1353"/>
      <c r="J7" s="1354"/>
      <c r="K7" s="3200"/>
      <c r="L7" s="1772" t="s">
        <v>2211</v>
      </c>
      <c r="M7" s="1773">
        <f>SUMPRODUCT((区片价!B158:B205=I2)*(区片价!C3:F3=E2)*(区片价!C158:F205))</f>
        <v>0</v>
      </c>
      <c r="N7" s="1774">
        <f>SUMPRODUCT((因素修正幅度!B158:B205=I2)*(因素修正幅度!C3:F3=E2)*(因素修正幅度!C158:F205))</f>
        <v>0</v>
      </c>
      <c r="O7" s="3200"/>
      <c r="P7" s="3203"/>
      <c r="Q7" s="2041"/>
      <c r="R7" s="2622">
        <v>6</v>
      </c>
      <c r="S7" s="2622">
        <f>ROUND(IF(G3&gt;1,IF(R7&lt;7,SUMPRODUCT((B93:B98=R7)*(C92:N92=G2)*(C93:N98)),SUMIF(C92:N92,G2,C100:N100)),IF(R7&lt;7,SUMPRODUCT((B102:B107=R7)*(C92:N92=G2)*(C102:N107)),SUMIF(C92:N92,G2,C109:N109))),4)</f>
        <v>0.6482</v>
      </c>
      <c r="T7" s="2622">
        <f t="shared" ca="1" si="0"/>
        <v>9132</v>
      </c>
      <c r="U7" s="2611"/>
      <c r="V7" s="2622">
        <f t="shared" ca="1" si="1"/>
        <v>0</v>
      </c>
      <c r="W7" s="2620" t="s">
        <v>2717</v>
      </c>
      <c r="X7" s="2612" t="str">
        <f>G2</f>
        <v>六级</v>
      </c>
      <c r="Y7" s="2612" t="s">
        <v>2718</v>
      </c>
      <c r="Z7" s="2613">
        <f>G3</f>
        <v>2.5</v>
      </c>
      <c r="AA7" s="2044"/>
      <c r="AB7" s="2044"/>
      <c r="AC7" s="2045"/>
      <c r="AD7" s="2614"/>
      <c r="AE7" s="2614"/>
      <c r="AF7" s="2614"/>
      <c r="AG7" s="2614"/>
      <c r="AH7" s="2614"/>
      <c r="AI7" s="2614"/>
      <c r="AJ7" s="2615"/>
    </row>
    <row r="8" spans="1:39" ht="25.5">
      <c r="A8" s="4346"/>
      <c r="B8" s="1337" t="s">
        <v>909</v>
      </c>
      <c r="C8" s="1443" t="s">
        <v>3131</v>
      </c>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4356" t="s">
        <v>2735</v>
      </c>
      <c r="X8" s="4357"/>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4346"/>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4355"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4346"/>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4355"/>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4346"/>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4355" t="s">
        <v>2733</v>
      </c>
      <c r="X11" s="1017" t="s">
        <v>2718</v>
      </c>
      <c r="Y11" s="1555">
        <f>$G$3</f>
        <v>2.5</v>
      </c>
      <c r="Z11" s="1555">
        <f t="shared" ref="Z11:AJ11" si="3">$G$3</f>
        <v>2.5</v>
      </c>
      <c r="AA11" s="1555">
        <f t="shared" si="3"/>
        <v>2.5</v>
      </c>
      <c r="AB11" s="1555">
        <f t="shared" si="3"/>
        <v>2.5</v>
      </c>
      <c r="AC11" s="1555">
        <f t="shared" si="3"/>
        <v>2.5</v>
      </c>
      <c r="AD11" s="1555">
        <f t="shared" si="3"/>
        <v>2.5</v>
      </c>
      <c r="AE11" s="1555">
        <f t="shared" si="3"/>
        <v>2.5</v>
      </c>
      <c r="AF11" s="1555">
        <f t="shared" si="3"/>
        <v>2.5</v>
      </c>
      <c r="AG11" s="1555">
        <f t="shared" si="3"/>
        <v>2.5</v>
      </c>
      <c r="AH11" s="1555">
        <f t="shared" si="3"/>
        <v>2.5</v>
      </c>
      <c r="AI11" s="1555">
        <f t="shared" si="3"/>
        <v>2.5</v>
      </c>
      <c r="AJ11" s="1555">
        <f t="shared" si="3"/>
        <v>2.5</v>
      </c>
    </row>
    <row r="12" spans="1:39" ht="25.5" thickBot="1">
      <c r="A12" s="4345"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4355"/>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4347"/>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4355"/>
      <c r="X13" s="2619"/>
      <c r="Y13" s="2618">
        <f>(-0.163*(Y12^2)-0.59*Y12+7617)*(10^(-4))/Y11</f>
        <v>0.30468000000000001</v>
      </c>
      <c r="Z13" s="2618">
        <f t="shared" ref="Z13:AJ13" si="5">(-0.163*(Z12^2)-0.59*Z12+7617)*(10^(-4))/Z11</f>
        <v>0.30468000000000001</v>
      </c>
      <c r="AA13" s="2618">
        <f t="shared" si="5"/>
        <v>0.30468000000000001</v>
      </c>
      <c r="AB13" s="2618">
        <f t="shared" si="5"/>
        <v>0.30468000000000001</v>
      </c>
      <c r="AC13" s="2618">
        <f t="shared" si="5"/>
        <v>0.30468000000000001</v>
      </c>
      <c r="AD13" s="2618">
        <f t="shared" si="5"/>
        <v>0.30468000000000001</v>
      </c>
      <c r="AE13" s="2618">
        <f t="shared" si="5"/>
        <v>0.30468000000000001</v>
      </c>
      <c r="AF13" s="2618">
        <f t="shared" si="5"/>
        <v>0.30468000000000001</v>
      </c>
      <c r="AG13" s="2618">
        <f t="shared" si="5"/>
        <v>0.30468000000000001</v>
      </c>
      <c r="AH13" s="2618">
        <f t="shared" si="5"/>
        <v>0.30468000000000001</v>
      </c>
      <c r="AI13" s="2618">
        <f t="shared" si="5"/>
        <v>0.30468000000000001</v>
      </c>
      <c r="AJ13" s="2618">
        <f t="shared" si="5"/>
        <v>0.30468000000000001</v>
      </c>
    </row>
    <row r="14" spans="1:39" ht="12.75" customHeight="1">
      <c r="A14" s="4347"/>
      <c r="B14" s="1374"/>
      <c r="C14" s="1375"/>
      <c r="D14" s="1376"/>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4348"/>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4345" t="s">
        <v>1813</v>
      </c>
      <c r="B16" s="1350" t="s">
        <v>925</v>
      </c>
      <c r="C16" s="1021">
        <f>ROUND(IF(F17="与级别开发程度一致",0,(G17-E17)/C17),0)</f>
        <v>0</v>
      </c>
      <c r="D16" s="4363" t="s">
        <v>929</v>
      </c>
      <c r="E16" s="4364"/>
      <c r="F16" s="4363" t="s">
        <v>926</v>
      </c>
      <c r="G16" s="4364"/>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4349"/>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3132</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1804</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ROUND(IF(H19="按公示增长率计算",SUMPRODUCT((地价!A3:A36=YEAR(G19)&amp;"-"&amp;ROUNDUP(MONTH(G19)/3,0))*(地价!X2:AB2=E2)*(地价!X3:AB36)),IF(H19="地价指数",M20/M19,(1+I19)^O19)),4)</f>
        <v>1.3963000000000001</v>
      </c>
      <c r="D19" s="1389" t="s">
        <v>932</v>
      </c>
      <c r="E19" s="1023">
        <v>41640</v>
      </c>
      <c r="F19" s="1389" t="s">
        <v>933</v>
      </c>
      <c r="G19" s="1024">
        <f>'数据-取费表'!B2</f>
        <v>44550</v>
      </c>
      <c r="H19" s="1390" t="s">
        <v>3133</v>
      </c>
      <c r="I19" s="2471" t="str">
        <f>IF(H19="季度增幅（自定义）",SUMIF(N21:N24,E2,O21:O24),"")</f>
        <v/>
      </c>
      <c r="J19" s="1386"/>
      <c r="K19" s="3199"/>
      <c r="L19" s="2719" t="s">
        <v>2790</v>
      </c>
      <c r="M19" s="2720">
        <f>ROUND(SUMIF(地价!B2:F2,E2,地价!B36:F36),0)</f>
        <v>258</v>
      </c>
      <c r="N19" s="2473" t="s">
        <v>1651</v>
      </c>
      <c r="O19" s="2472">
        <f>ROUNDDOWN(DATEDIF(E19,G19,"M")/3,0)</f>
        <v>31</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f>SUMIF('数据-取费表'!C6:C15,E2,'数据-取费表'!F6:F15)/COUNTIF('数据-取费表'!C6:C15,E2)</f>
        <v>40</v>
      </c>
      <c r="J20" s="2470">
        <f>IF(E2="住宅",70,IF(E2="商业",40,50))</f>
        <v>40</v>
      </c>
      <c r="K20" s="2810"/>
      <c r="L20" s="2721" t="s">
        <v>2791</v>
      </c>
      <c r="M20" s="2803">
        <f>ROUND(SUMPRODUCT((地价!A4:A36=YEAR(G19)&amp;"-"&amp;ROUNDUP(MONTH(G19)/3,0))*(地价!B2:F2=E2)*(地价!B4:F36)),0)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3134</v>
      </c>
      <c r="C21" s="1123">
        <f>IF(B21="容积率修正",IF(G3&lt;=10,D22,J22),C23)</f>
        <v>1</v>
      </c>
      <c r="D21" s="1396"/>
      <c r="E21" s="1396"/>
      <c r="F21" s="1396"/>
      <c r="G21" s="1396"/>
      <c r="H21" s="1396"/>
      <c r="I21" s="1396"/>
      <c r="J21" s="1397"/>
      <c r="K21" s="3199"/>
      <c r="L21" s="1396"/>
      <c r="M21" s="1396"/>
      <c r="N21" s="1393" t="s">
        <v>950</v>
      </c>
      <c r="O21" s="1456"/>
      <c r="P21" s="2463">
        <f>SUMPRODUCT((地价!A3:A36=YEAR(G19)&amp;"-"&amp;ROUNDUP(MONTH(G19)/3,0))*(地价!AD2:AH2=N21)*(地价!AD3:AH36))</f>
        <v>1.0500000000000001E-2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v>
      </c>
      <c r="E22" s="1008">
        <f>ROUNDDOWN(G3,1)</f>
        <v>2.5</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952</v>
      </c>
      <c r="J22" s="1025" t="str">
        <f>IF(G3&gt;10,D113,"——")</f>
        <v>——</v>
      </c>
      <c r="K22" s="3205"/>
      <c r="L22" s="1396"/>
      <c r="M22" s="1396"/>
      <c r="N22" s="1393" t="s">
        <v>953</v>
      </c>
      <c r="O22" s="1456"/>
      <c r="P22" s="2463">
        <f>SUMPRODUCT((地价!A3:A36=YEAR(G19)&amp;"-"&amp;ROUNDUP(MONTH(G19)/3,0))*(地价!AD2:AH2=N22)*(地价!AD3:AH36))</f>
        <v>1.0500000000000001E-2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SUMPRODUCT((地价!A3:A36=YEAR(G19)&amp;"-"&amp;ROUNDUP(MONTH(G19)/3,0))*(地价!AD2:AH2=N23)*(地价!AD3:AH36))</f>
        <v>1.83E-2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SUMPRODUCT((地价!A3:A36=YEAR(G19)&amp;"-"&amp;ROUNDUP(MONTH(G19)/3,0))*(地价!AD2:AH2=N24)*(地价!AD3:AH36))</f>
        <v>1.2200000000000001E-2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200"/>
      <c r="L25" s="2047"/>
      <c r="M25" s="2047"/>
      <c r="N25" s="2804" t="s">
        <v>2601</v>
      </c>
      <c r="O25" s="2805"/>
      <c r="P25" s="2273">
        <f>SUMPRODUCT((地价!A3:A36=YEAR(G19)&amp;"-"&amp;ROUNDUP(MONTH(G19)/3,0))*(地价!AD2:AH2=N25)*(地价!AD3:AH36))</f>
        <v>1.66E-2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12611</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14089</v>
      </c>
      <c r="D29" s="1418">
        <f>'数据-基础表'!I13</f>
        <v>8950.7250000000022</v>
      </c>
      <c r="E29" s="1736">
        <f ca="1">ROUND(C29*D29/10000,0)</f>
        <v>12611</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3522</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4352"/>
      <c r="B33" s="1438" t="s">
        <v>974</v>
      </c>
      <c r="C33" s="1028">
        <f ca="1">ROUND(D5*C19*C20*C24*F33,0)</f>
        <v>9862</v>
      </c>
      <c r="D33" s="1451"/>
      <c r="E33" s="1017">
        <f ca="1">ROUND(C33*D33/10000,0)</f>
        <v>0</v>
      </c>
      <c r="F33" s="1017">
        <f>SUMIF(修正!A45:A56,G2,修正!B45:B56)</f>
        <v>0.7</v>
      </c>
      <c r="G33" s="1017">
        <f t="shared" ref="G33" ca="1" si="6">ROUND(IF(E2="工业",C33*$M$39,C33*$M$38),0)</f>
        <v>2466</v>
      </c>
      <c r="H33" s="1017">
        <f>D33</f>
        <v>0</v>
      </c>
      <c r="I33" s="1017">
        <f ca="1">ROUND(G33*H33/10000,0)</f>
        <v>0</v>
      </c>
      <c r="J33" s="4352"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4353"/>
      <c r="B34" s="1368" t="s">
        <v>975</v>
      </c>
      <c r="C34" s="1028">
        <f ca="1">ROUND(D5*C19*C20*C24*F34,0)</f>
        <v>5635</v>
      </c>
      <c r="D34" s="1451"/>
      <c r="E34" s="1017">
        <f t="shared" ref="E34:E39" ca="1" si="7">ROUND(C34*D34/10000,0)</f>
        <v>0</v>
      </c>
      <c r="F34" s="1017">
        <f>SUMIF(修正!A45:A56,G2,修正!C45:C56)</f>
        <v>0.4</v>
      </c>
      <c r="G34" s="1017">
        <f ca="1">ROUND(IF(E2="工业",C34*$M$39,C34*$M$38),0)</f>
        <v>1409</v>
      </c>
      <c r="H34" s="1017">
        <f t="shared" ref="H34:H39" si="8">D34</f>
        <v>0</v>
      </c>
      <c r="I34" s="1017">
        <f t="shared" ref="I34:I39" ca="1" si="9">ROUND(G34*H34/10000,0)</f>
        <v>0</v>
      </c>
      <c r="J34" s="4353"/>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4353"/>
      <c r="B35" s="1368" t="s">
        <v>976</v>
      </c>
      <c r="C35" s="1028">
        <f ca="1">ROUND(D5*C19*C20*C24*F35,0)</f>
        <v>3945</v>
      </c>
      <c r="D35" s="1451"/>
      <c r="E35" s="1017">
        <f t="shared" ca="1" si="7"/>
        <v>0</v>
      </c>
      <c r="F35" s="1017">
        <f>SUMIF(修正!A45:A56,G2,修正!D45:D56)</f>
        <v>0.28000000000000003</v>
      </c>
      <c r="G35" s="1017">
        <f ca="1">ROUND(IF(E2="工业",C35*$M$39,C35*$M$38),0)</f>
        <v>986</v>
      </c>
      <c r="H35" s="1017">
        <f t="shared" si="8"/>
        <v>0</v>
      </c>
      <c r="I35" s="1017">
        <f t="shared" ca="1" si="9"/>
        <v>0</v>
      </c>
      <c r="J35" s="4353"/>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4354"/>
      <c r="B36" s="1368" t="s">
        <v>977</v>
      </c>
      <c r="C36" s="1028">
        <f ca="1">ROUND(D5*C19*C20*C24*F36,0)</f>
        <v>3522</v>
      </c>
      <c r="D36" s="1451"/>
      <c r="E36" s="1017">
        <f t="shared" ca="1" si="7"/>
        <v>0</v>
      </c>
      <c r="F36" s="1017">
        <f>SUMIF(修正!A45:A56,G2,修正!E45:E56)</f>
        <v>0.25</v>
      </c>
      <c r="G36" s="1017">
        <f ca="1">ROUND(IF(E2="工业",C36*$M$39,C36*$M$38),0)</f>
        <v>881</v>
      </c>
      <c r="H36" s="1017">
        <f t="shared" si="8"/>
        <v>0</v>
      </c>
      <c r="I36" s="1017">
        <f t="shared" ca="1" si="9"/>
        <v>0</v>
      </c>
      <c r="J36" s="4354"/>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3522</v>
      </c>
      <c r="D37" s="1451"/>
      <c r="E37" s="1017">
        <f t="shared" ca="1" si="7"/>
        <v>0</v>
      </c>
      <c r="F37" s="1028">
        <f>SUMIF(修正!A45:A56,G2,修正!F45:F56)</f>
        <v>0.25</v>
      </c>
      <c r="G37" s="1017">
        <f ca="1">ROUND(IF(E2="工业",C37*$M$39,C37*$M$38),0)</f>
        <v>881</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2918</v>
      </c>
      <c r="C41" s="810">
        <f ca="1">ROUND(POWER(1+E41,H41-G41)*(POWER(1+E41,G41)-1)/(POWER(1+E41,H41)-1),4)</f>
        <v>0</v>
      </c>
      <c r="D41" s="372" t="s">
        <v>2916</v>
      </c>
      <c r="E41" s="2798">
        <f ca="1">G20</f>
        <v>5.3999999999999999E-2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t="s">
        <v>3159</v>
      </c>
      <c r="D47" s="2243">
        <f t="shared" ref="D47:D55" si="10">SUMIF($J$46:$N$46,C47,J47:N47)</f>
        <v>0</v>
      </c>
      <c r="E47" s="2262">
        <f>ROUND(SUM(D47:D55),4)</f>
        <v>0</v>
      </c>
      <c r="F47" s="2263">
        <f>IF(E2="商业",SUMIF(L1:L12,G2,N1:N12),"——")</f>
        <v>0.11</v>
      </c>
      <c r="G47" s="2241">
        <v>1.8100000000000002E-2</v>
      </c>
      <c r="H47" s="2286">
        <f t="shared" ref="H47:H55" si="11">IFERROR(ROUNDDOWN(($F$47*I47/2),4),"——")</f>
        <v>1.8100000000000002E-2</v>
      </c>
      <c r="I47" s="2261">
        <v>0.33</v>
      </c>
      <c r="J47" s="2264">
        <f t="shared" ref="J47:J55" si="12">K47+$G47</f>
        <v>3.6200000000000003E-2</v>
      </c>
      <c r="K47" s="2264">
        <f t="shared" ref="K47:K55" si="13">$L47+$G47</f>
        <v>1.8100000000000002E-2</v>
      </c>
      <c r="L47" s="2264">
        <v>0</v>
      </c>
      <c r="M47" s="2264">
        <f t="shared" ref="M47:N55" si="14">L47-$G47</f>
        <v>-1.8100000000000002E-2</v>
      </c>
      <c r="N47" s="2264">
        <f t="shared" si="14"/>
        <v>-3.6200000000000003E-2</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t="s">
        <v>3159</v>
      </c>
      <c r="D48" s="2243">
        <f t="shared" si="10"/>
        <v>0</v>
      </c>
      <c r="E48" s="2265"/>
      <c r="F48" s="2263"/>
      <c r="G48" s="2241">
        <v>1.37E-2</v>
      </c>
      <c r="H48" s="2286">
        <f t="shared" si="11"/>
        <v>1.37E-2</v>
      </c>
      <c r="I48" s="2261">
        <v>0.25</v>
      </c>
      <c r="J48" s="2264">
        <f t="shared" si="12"/>
        <v>2.7400000000000001E-2</v>
      </c>
      <c r="K48" s="2264">
        <f t="shared" si="13"/>
        <v>1.37E-2</v>
      </c>
      <c r="L48" s="2264">
        <v>0</v>
      </c>
      <c r="M48" s="2264">
        <f t="shared" si="14"/>
        <v>-1.37E-2</v>
      </c>
      <c r="N48" s="2264">
        <f t="shared" si="14"/>
        <v>-2.7400000000000001E-2</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t="s">
        <v>3159</v>
      </c>
      <c r="D49" s="2243">
        <f t="shared" si="10"/>
        <v>0</v>
      </c>
      <c r="E49" s="2265"/>
      <c r="F49" s="2263"/>
      <c r="G49" s="2241">
        <v>2.7000000000000001E-3</v>
      </c>
      <c r="H49" s="2286">
        <f t="shared" si="11"/>
        <v>2.7000000000000001E-3</v>
      </c>
      <c r="I49" s="2261">
        <v>0.05</v>
      </c>
      <c r="J49" s="2264">
        <f t="shared" si="12"/>
        <v>5.4000000000000003E-3</v>
      </c>
      <c r="K49" s="2264">
        <f t="shared" si="13"/>
        <v>2.7000000000000001E-3</v>
      </c>
      <c r="L49" s="2264">
        <v>0</v>
      </c>
      <c r="M49" s="2264">
        <f t="shared" si="14"/>
        <v>-2.7000000000000001E-3</v>
      </c>
      <c r="N49" s="2264">
        <f t="shared" si="14"/>
        <v>-5.4000000000000003E-3</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2875</v>
      </c>
      <c r="C50" s="1019" t="s">
        <v>3159</v>
      </c>
      <c r="D50" s="2243">
        <f t="shared" si="10"/>
        <v>0</v>
      </c>
      <c r="E50" s="2265"/>
      <c r="F50" s="2263"/>
      <c r="G50" s="2241">
        <v>2.7000000000000001E-3</v>
      </c>
      <c r="H50" s="2286">
        <f t="shared" si="11"/>
        <v>2.7000000000000001E-3</v>
      </c>
      <c r="I50" s="2261">
        <v>0.05</v>
      </c>
      <c r="J50" s="2264">
        <f t="shared" si="12"/>
        <v>5.4000000000000003E-3</v>
      </c>
      <c r="K50" s="2264">
        <f t="shared" si="13"/>
        <v>2.7000000000000001E-3</v>
      </c>
      <c r="L50" s="2264">
        <v>0</v>
      </c>
      <c r="M50" s="2264">
        <f t="shared" si="14"/>
        <v>-2.7000000000000001E-3</v>
      </c>
      <c r="N50" s="2264">
        <f t="shared" si="14"/>
        <v>-5.4000000000000003E-3</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t="s">
        <v>3159</v>
      </c>
      <c r="D51" s="2243">
        <f t="shared" si="10"/>
        <v>0</v>
      </c>
      <c r="E51" s="2265"/>
      <c r="F51" s="2263"/>
      <c r="G51" s="2241">
        <v>4.4000000000000003E-3</v>
      </c>
      <c r="H51" s="2286">
        <f t="shared" si="11"/>
        <v>4.4000000000000003E-3</v>
      </c>
      <c r="I51" s="2261">
        <v>0.08</v>
      </c>
      <c r="J51" s="2264">
        <f t="shared" si="12"/>
        <v>8.8000000000000005E-3</v>
      </c>
      <c r="K51" s="2264">
        <f t="shared" si="13"/>
        <v>4.4000000000000003E-3</v>
      </c>
      <c r="L51" s="2264">
        <v>0</v>
      </c>
      <c r="M51" s="2264">
        <f t="shared" si="14"/>
        <v>-4.4000000000000003E-3</v>
      </c>
      <c r="N51" s="2264">
        <f t="shared" si="14"/>
        <v>-8.8000000000000005E-3</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2874</v>
      </c>
      <c r="C52" s="1019" t="s">
        <v>3159</v>
      </c>
      <c r="D52" s="2243">
        <f t="shared" si="10"/>
        <v>0</v>
      </c>
      <c r="E52" s="2265"/>
      <c r="F52" s="2263"/>
      <c r="G52" s="2241">
        <v>1.6000000000000001E-3</v>
      </c>
      <c r="H52" s="2286">
        <f t="shared" si="11"/>
        <v>1.6000000000000001E-3</v>
      </c>
      <c r="I52" s="2261">
        <v>0.03</v>
      </c>
      <c r="J52" s="2264">
        <f t="shared" si="12"/>
        <v>3.2000000000000002E-3</v>
      </c>
      <c r="K52" s="2264">
        <f t="shared" si="13"/>
        <v>1.6000000000000001E-3</v>
      </c>
      <c r="L52" s="2264">
        <v>0</v>
      </c>
      <c r="M52" s="2264">
        <f t="shared" si="14"/>
        <v>-1.6000000000000001E-3</v>
      </c>
      <c r="N52" s="2264">
        <f t="shared" si="14"/>
        <v>-3.2000000000000002E-3</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t="s">
        <v>3159</v>
      </c>
      <c r="D53" s="2243">
        <f t="shared" si="10"/>
        <v>0</v>
      </c>
      <c r="E53" s="2265"/>
      <c r="F53" s="2263"/>
      <c r="G53" s="2241">
        <v>2.7000000000000001E-3</v>
      </c>
      <c r="H53" s="2286">
        <f t="shared" si="11"/>
        <v>2.7000000000000001E-3</v>
      </c>
      <c r="I53" s="2261">
        <v>0.05</v>
      </c>
      <c r="J53" s="2264">
        <f t="shared" si="12"/>
        <v>5.4000000000000003E-3</v>
      </c>
      <c r="K53" s="2264">
        <f t="shared" si="13"/>
        <v>2.7000000000000001E-3</v>
      </c>
      <c r="L53" s="2264">
        <v>0</v>
      </c>
      <c r="M53" s="2264">
        <f t="shared" si="14"/>
        <v>-2.7000000000000001E-3</v>
      </c>
      <c r="N53" s="2264">
        <f t="shared" si="14"/>
        <v>-5.4000000000000003E-3</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t="s">
        <v>3159</v>
      </c>
      <c r="D54" s="2243">
        <f t="shared" si="10"/>
        <v>0</v>
      </c>
      <c r="E54" s="2265"/>
      <c r="F54" s="2263"/>
      <c r="G54" s="2241">
        <v>5.4999999999999997E-3</v>
      </c>
      <c r="H54" s="2286">
        <f t="shared" si="11"/>
        <v>5.4999999999999997E-3</v>
      </c>
      <c r="I54" s="2261">
        <v>0.1</v>
      </c>
      <c r="J54" s="2264">
        <f t="shared" si="12"/>
        <v>1.0999999999999999E-2</v>
      </c>
      <c r="K54" s="2264">
        <f t="shared" si="13"/>
        <v>5.4999999999999997E-3</v>
      </c>
      <c r="L54" s="2264">
        <v>0</v>
      </c>
      <c r="M54" s="2264">
        <f t="shared" si="14"/>
        <v>-5.4999999999999997E-3</v>
      </c>
      <c r="N54" s="2264">
        <f t="shared" si="14"/>
        <v>-1.0999999999999999E-2</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t="s">
        <v>3159</v>
      </c>
      <c r="D55" s="2243">
        <f t="shared" si="10"/>
        <v>0</v>
      </c>
      <c r="E55" s="2269"/>
      <c r="F55" s="2263"/>
      <c r="G55" s="2241">
        <v>3.3E-3</v>
      </c>
      <c r="H55" s="2286">
        <f t="shared" si="11"/>
        <v>3.3E-3</v>
      </c>
      <c r="I55" s="2268">
        <v>0.06</v>
      </c>
      <c r="J55" s="2264">
        <f t="shared" si="12"/>
        <v>6.6E-3</v>
      </c>
      <c r="K55" s="2264">
        <f t="shared" si="13"/>
        <v>3.3E-3</v>
      </c>
      <c r="L55" s="2264">
        <v>0</v>
      </c>
      <c r="M55" s="2264">
        <f t="shared" si="14"/>
        <v>-3.3E-3</v>
      </c>
      <c r="N55" s="2264">
        <f t="shared" si="14"/>
        <v>-6.6E-3</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2874</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4350" t="s">
        <v>1608</v>
      </c>
      <c r="B90" s="4350"/>
      <c r="C90" s="4350"/>
      <c r="D90" s="4350"/>
      <c r="E90" s="4350"/>
      <c r="F90" s="4350"/>
      <c r="G90" s="4350"/>
      <c r="H90" s="4350"/>
      <c r="I90" s="4350"/>
      <c r="J90" s="4350"/>
      <c r="K90" s="2276"/>
      <c r="L90" s="2276"/>
      <c r="M90" s="2276"/>
      <c r="N90" s="2276"/>
    </row>
    <row r="91" spans="1:40">
      <c r="A91" s="4351" t="s">
        <v>1418</v>
      </c>
      <c r="B91" s="4351" t="s">
        <v>1609</v>
      </c>
      <c r="C91" s="1105" t="s">
        <v>1610</v>
      </c>
      <c r="D91" s="1106"/>
      <c r="E91" s="1106"/>
      <c r="F91" s="1106"/>
      <c r="G91" s="1106"/>
      <c r="H91" s="1106"/>
      <c r="I91" s="1106"/>
      <c r="J91" s="1107"/>
      <c r="K91" s="1099"/>
      <c r="L91" s="1099"/>
      <c r="M91" s="1099"/>
      <c r="N91" s="1099"/>
    </row>
    <row r="92" spans="1:40">
      <c r="A92" s="4351"/>
      <c r="B92" s="4351"/>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4358"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4359"/>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4359"/>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4359"/>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4359"/>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4359"/>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4359"/>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4360"/>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4358" t="s">
        <v>1612</v>
      </c>
      <c r="B101" s="1112" t="s">
        <v>881</v>
      </c>
      <c r="C101" s="1113">
        <f>$G$3</f>
        <v>2.5</v>
      </c>
      <c r="D101" s="1113">
        <f t="shared" ref="D101:N101" si="31">$G$3</f>
        <v>2.5</v>
      </c>
      <c r="E101" s="1113">
        <f t="shared" si="31"/>
        <v>2.5</v>
      </c>
      <c r="F101" s="1113">
        <f t="shared" si="31"/>
        <v>2.5</v>
      </c>
      <c r="G101" s="1113">
        <f t="shared" si="31"/>
        <v>2.5</v>
      </c>
      <c r="H101" s="1113">
        <f t="shared" si="31"/>
        <v>2.5</v>
      </c>
      <c r="I101" s="1113">
        <f t="shared" si="31"/>
        <v>2.5</v>
      </c>
      <c r="J101" s="1113">
        <f t="shared" si="31"/>
        <v>2.5</v>
      </c>
      <c r="K101" s="1113">
        <f t="shared" si="31"/>
        <v>2.5</v>
      </c>
      <c r="L101" s="1113">
        <f t="shared" si="31"/>
        <v>2.5</v>
      </c>
      <c r="M101" s="1113">
        <f t="shared" si="31"/>
        <v>2.5</v>
      </c>
      <c r="N101" s="1113">
        <f t="shared" si="31"/>
        <v>2.5</v>
      </c>
    </row>
    <row r="102" spans="1:14">
      <c r="A102" s="4359"/>
      <c r="B102" s="1108">
        <v>1</v>
      </c>
      <c r="C102" s="1109">
        <f>1.9362/C101</f>
        <v>0.77447999999999995</v>
      </c>
      <c r="D102" s="1109">
        <f>1.9362/D101</f>
        <v>0.77447999999999995</v>
      </c>
      <c r="E102" s="1109">
        <f>1.8629/E101</f>
        <v>0.74516000000000004</v>
      </c>
      <c r="F102" s="1109">
        <f>1.8629/F101</f>
        <v>0.74516000000000004</v>
      </c>
      <c r="G102" s="1109">
        <f>1.8629/G101</f>
        <v>0.74516000000000004</v>
      </c>
      <c r="H102" s="1109">
        <f>1.8629/H101</f>
        <v>0.74516000000000004</v>
      </c>
      <c r="I102" s="1109">
        <f>1.8629/I101</f>
        <v>0.74516000000000004</v>
      </c>
      <c r="J102" s="1109">
        <f>1.942/J101</f>
        <v>0.77679999999999993</v>
      </c>
      <c r="K102" s="1109">
        <f>1.942/K101</f>
        <v>0.77679999999999993</v>
      </c>
      <c r="L102" s="1109">
        <f>1.942/L101</f>
        <v>0.77679999999999993</v>
      </c>
      <c r="M102" s="1109">
        <f>1.942/M101</f>
        <v>0.77679999999999993</v>
      </c>
      <c r="N102" s="1109">
        <f>1.942/N101</f>
        <v>0.77679999999999993</v>
      </c>
    </row>
    <row r="103" spans="1:14">
      <c r="A103" s="4359"/>
      <c r="B103" s="1108">
        <v>2</v>
      </c>
      <c r="C103" s="1109">
        <f>1.4198/C101</f>
        <v>0.56791999999999998</v>
      </c>
      <c r="D103" s="1109">
        <f>1.4198/D101</f>
        <v>0.56791999999999998</v>
      </c>
      <c r="E103" s="1109">
        <f>1.3372/E101</f>
        <v>0.53488000000000002</v>
      </c>
      <c r="F103" s="1109">
        <f>1.3372/F101</f>
        <v>0.53488000000000002</v>
      </c>
      <c r="G103" s="1109">
        <f>1.3372/G101</f>
        <v>0.53488000000000002</v>
      </c>
      <c r="H103" s="1109">
        <f>1.3372/H101</f>
        <v>0.53488000000000002</v>
      </c>
      <c r="I103" s="1109">
        <f>1.3372/I101</f>
        <v>0.53488000000000002</v>
      </c>
      <c r="J103" s="1109">
        <f>1.2799/J101</f>
        <v>0.51195999999999997</v>
      </c>
      <c r="K103" s="1109">
        <f>1.2799/K101</f>
        <v>0.51195999999999997</v>
      </c>
      <c r="L103" s="1109">
        <f>1.2799/L101</f>
        <v>0.51195999999999997</v>
      </c>
      <c r="M103" s="1109">
        <f>1.2799/M101</f>
        <v>0.51195999999999997</v>
      </c>
      <c r="N103" s="1109">
        <f>1.2799/N101</f>
        <v>0.51195999999999997</v>
      </c>
    </row>
    <row r="104" spans="1:14">
      <c r="A104" s="4359"/>
      <c r="B104" s="1108">
        <v>3</v>
      </c>
      <c r="C104" s="1109">
        <f>1.1594/C101</f>
        <v>0.46376000000000001</v>
      </c>
      <c r="D104" s="1109">
        <f>1.1594/D101</f>
        <v>0.46376000000000001</v>
      </c>
      <c r="E104" s="1109">
        <f>1.0788/E101</f>
        <v>0.43152000000000001</v>
      </c>
      <c r="F104" s="1109">
        <f>1.0788/F101</f>
        <v>0.43152000000000001</v>
      </c>
      <c r="G104" s="1109">
        <f>1.0788/G101</f>
        <v>0.43152000000000001</v>
      </c>
      <c r="H104" s="1109">
        <f>1.0788/H101</f>
        <v>0.43152000000000001</v>
      </c>
      <c r="I104" s="1109">
        <f>1.0788/I101</f>
        <v>0.43152000000000001</v>
      </c>
      <c r="J104" s="1109">
        <f>1.0072/J101</f>
        <v>0.40288000000000002</v>
      </c>
      <c r="K104" s="1109">
        <f>1.0072/K101</f>
        <v>0.40288000000000002</v>
      </c>
      <c r="L104" s="1109">
        <f>1.0072/L101</f>
        <v>0.40288000000000002</v>
      </c>
      <c r="M104" s="1109">
        <f>1.0072/M101</f>
        <v>0.40288000000000002</v>
      </c>
      <c r="N104" s="1109">
        <f>1.0072/N101</f>
        <v>0.40288000000000002</v>
      </c>
    </row>
    <row r="105" spans="1:14">
      <c r="A105" s="4359"/>
      <c r="B105" s="1108">
        <v>4</v>
      </c>
      <c r="C105" s="1109">
        <f>0.9622/C101</f>
        <v>0.38488</v>
      </c>
      <c r="D105" s="1109">
        <f>0.9622/D101</f>
        <v>0.38488</v>
      </c>
      <c r="E105" s="1109">
        <f>0.8656/E101</f>
        <v>0.34623999999999999</v>
      </c>
      <c r="F105" s="1109">
        <f>0.8656/F101</f>
        <v>0.34623999999999999</v>
      </c>
      <c r="G105" s="1109">
        <f>0.8656/G101</f>
        <v>0.34623999999999999</v>
      </c>
      <c r="H105" s="1109">
        <f>0.8656/H101</f>
        <v>0.34623999999999999</v>
      </c>
      <c r="I105" s="1109">
        <f>0.8656/I101</f>
        <v>0.34623999999999999</v>
      </c>
      <c r="J105" s="1109">
        <f>0.7525/J101</f>
        <v>0.30099999999999999</v>
      </c>
      <c r="K105" s="1109">
        <f>0.7525/K101</f>
        <v>0.30099999999999999</v>
      </c>
      <c r="L105" s="1109">
        <f>0.7525/L101</f>
        <v>0.30099999999999999</v>
      </c>
      <c r="M105" s="1109">
        <f>0.7525/M101</f>
        <v>0.30099999999999999</v>
      </c>
      <c r="N105" s="1109">
        <f>0.7525/N101</f>
        <v>0.30099999999999999</v>
      </c>
    </row>
    <row r="106" spans="1:14">
      <c r="A106" s="4359"/>
      <c r="B106" s="1108">
        <v>5</v>
      </c>
      <c r="C106" s="1109">
        <f>0.8417/C101</f>
        <v>0.33667999999999998</v>
      </c>
      <c r="D106" s="1109">
        <f>0.8417/D101</f>
        <v>0.33667999999999998</v>
      </c>
      <c r="E106" s="1109">
        <f>0.7371/E101</f>
        <v>0.29483999999999999</v>
      </c>
      <c r="F106" s="1109">
        <f>0.7371/F101</f>
        <v>0.29483999999999999</v>
      </c>
      <c r="G106" s="1109">
        <f>0.7371/G101</f>
        <v>0.29483999999999999</v>
      </c>
      <c r="H106" s="1109">
        <f>0.7371/H101</f>
        <v>0.29483999999999999</v>
      </c>
      <c r="I106" s="1109">
        <f>0.7371/I101</f>
        <v>0.29483999999999999</v>
      </c>
      <c r="J106" s="1109">
        <f>0.5659/J101</f>
        <v>0.22635999999999998</v>
      </c>
      <c r="K106" s="1109">
        <f>0.5659/K101</f>
        <v>0.22635999999999998</v>
      </c>
      <c r="L106" s="1109">
        <f>0.5659/L101</f>
        <v>0.22635999999999998</v>
      </c>
      <c r="M106" s="1109">
        <f>0.5659/M101</f>
        <v>0.22635999999999998</v>
      </c>
      <c r="N106" s="1109">
        <f>0.5659/N101</f>
        <v>0.22635999999999998</v>
      </c>
    </row>
    <row r="107" spans="1:14">
      <c r="A107" s="4359"/>
      <c r="B107" s="1108">
        <v>6</v>
      </c>
      <c r="C107" s="1109">
        <f>0.7608/C101</f>
        <v>0.30432000000000003</v>
      </c>
      <c r="D107" s="1109">
        <f>0.7608/D101</f>
        <v>0.30432000000000003</v>
      </c>
      <c r="E107" s="1109">
        <f>0.6482/E101</f>
        <v>0.25928000000000001</v>
      </c>
      <c r="F107" s="1109">
        <f>0.6482/F101</f>
        <v>0.25928000000000001</v>
      </c>
      <c r="G107" s="1109">
        <f>0.6482/G101</f>
        <v>0.25928000000000001</v>
      </c>
      <c r="H107" s="1109">
        <f>0.6482/H101</f>
        <v>0.25928000000000001</v>
      </c>
      <c r="I107" s="1109">
        <f>0.6482/I101</f>
        <v>0.25928000000000001</v>
      </c>
      <c r="J107" s="1109">
        <f>0.4525/J101</f>
        <v>0.18099999999999999</v>
      </c>
      <c r="K107" s="1109">
        <f>0.4525/K101</f>
        <v>0.18099999999999999</v>
      </c>
      <c r="L107" s="1109">
        <f>0.4525/L101</f>
        <v>0.18099999999999999</v>
      </c>
      <c r="M107" s="1109">
        <f>0.4525/M101</f>
        <v>0.18099999999999999</v>
      </c>
      <c r="N107" s="1109">
        <f>0.4525/N101</f>
        <v>0.18099999999999999</v>
      </c>
    </row>
    <row r="108" spans="1:14">
      <c r="A108" s="4359"/>
      <c r="B108" s="4361"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4360"/>
      <c r="B109" s="4362"/>
      <c r="C109" s="1111">
        <f>(-0.163*(C108^2)-0.59*C108+7617)*(10^(-4))/C101</f>
        <v>0.30468000000000001</v>
      </c>
      <c r="D109" s="1111">
        <f>(-0.163*(D108^2)-0.59*D108+7617)*(10^(-4))/D101</f>
        <v>0.30468000000000001</v>
      </c>
      <c r="E109" s="1111">
        <f>(-0.161*(E108^2)-7.509*E108+6533)*(10^(-4))/E101</f>
        <v>0.26132</v>
      </c>
      <c r="F109" s="1111">
        <f>(-0.161*(F108^2)-7.509*F108+6533)*(10^(-4))/F101</f>
        <v>0.26132</v>
      </c>
      <c r="G109" s="1111">
        <f>(-0.161*(G108^2)-7.509*G108+6533)*(10^(-4))/G101</f>
        <v>0.26132</v>
      </c>
      <c r="H109" s="1111">
        <f>(-0.161*(H108^2)-7.509*H108+6533)*(10^(-4))/H101</f>
        <v>0.26132</v>
      </c>
      <c r="I109" s="1111">
        <f>(-0.161*(I108^2)-7.509*I108+6533)*(10^(-4))/I101</f>
        <v>0.26132</v>
      </c>
      <c r="J109" s="1111">
        <f>(-0.214*(J108^2)-21.991*J108+4665)*(10^(-4))/J101</f>
        <v>0.18660000000000002</v>
      </c>
      <c r="K109" s="1111">
        <f>(-0.214*(K108^2)-21.991*K108+4665)*(10^(-4))/K101</f>
        <v>0.18660000000000002</v>
      </c>
      <c r="L109" s="1111">
        <f>(-0.214*(L108^2)-21.991*L108+4665)*(10^(-4))/L101</f>
        <v>0.18660000000000002</v>
      </c>
      <c r="M109" s="1111">
        <f>(-0.214*(M108^2)-21.991*M108+4665)*(10^(-4))/M101</f>
        <v>0.18660000000000002</v>
      </c>
      <c r="N109" s="1111">
        <f>(-0.214*(N108^2)-21.991*N108+4665)*(10^(-4))/N101</f>
        <v>0.18660000000000002</v>
      </c>
    </row>
    <row r="110" spans="1:14">
      <c r="A110" s="4344" t="s">
        <v>1614</v>
      </c>
      <c r="B110" s="4344"/>
      <c r="C110" s="4344"/>
      <c r="D110" s="4344"/>
      <c r="E110" s="4344"/>
      <c r="F110" s="4344"/>
      <c r="G110" s="4344"/>
      <c r="H110" s="4344"/>
      <c r="I110" s="4344"/>
      <c r="J110" s="4344"/>
      <c r="K110" s="2274"/>
      <c r="L110" s="2274"/>
      <c r="M110" s="2274"/>
      <c r="N110" s="2274"/>
    </row>
    <row r="112" spans="1:14" ht="12.75" thickBot="1"/>
    <row r="113" spans="1:13" ht="25.5" thickBot="1">
      <c r="A113" s="985" t="s">
        <v>871</v>
      </c>
      <c r="B113" s="2277">
        <f>G3</f>
        <v>2.5</v>
      </c>
      <c r="C113" s="986" t="s">
        <v>872</v>
      </c>
      <c r="D113" s="987">
        <f>SUMPRODUCT((A115:A118=F113)*(B114:M114=H113)*B115:M118)</f>
        <v>0.80589999999999995</v>
      </c>
      <c r="E113" s="988" t="s">
        <v>873</v>
      </c>
      <c r="F113" s="989" t="str">
        <f>E2</f>
        <v>商业</v>
      </c>
      <c r="G113" s="988" t="s">
        <v>874</v>
      </c>
      <c r="H113" s="989" t="str">
        <f>G2</f>
        <v>六级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876</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877</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878</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4" priority="5" stopIfTrue="1" operator="notEqual">
      <formula>"——"</formula>
    </cfRule>
  </conditionalFormatting>
  <conditionalFormatting sqref="F58">
    <cfRule type="cellIs" dxfId="153" priority="4" stopIfTrue="1" operator="notEqual">
      <formula>"——"</formula>
    </cfRule>
  </conditionalFormatting>
  <conditionalFormatting sqref="F69">
    <cfRule type="cellIs" dxfId="152" priority="3" stopIfTrue="1" operator="notEqual">
      <formula>"——"</formula>
    </cfRule>
  </conditionalFormatting>
  <conditionalFormatting sqref="F80">
    <cfRule type="cellIs" dxfId="151" priority="2" stopIfTrue="1" operator="notEqual">
      <formula>"——"</formula>
    </cfRule>
  </conditionalFormatting>
  <conditionalFormatting sqref="H58:H66 H47:H55 H69:H77 H80:H87">
    <cfRule type="cellIs" dxfId="150"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4351" t="s">
        <v>982</v>
      </c>
      <c r="B18" s="1119" t="s">
        <v>1421</v>
      </c>
      <c r="C18" s="1096" t="s">
        <v>1422</v>
      </c>
      <c r="D18" s="1097"/>
      <c r="E18" s="1119">
        <v>1</v>
      </c>
      <c r="F18" s="1098" t="s">
        <v>1423</v>
      </c>
      <c r="G18" s="1099"/>
      <c r="H18" s="1070"/>
      <c r="I18" s="1070"/>
    </row>
    <row r="19" spans="1:9" s="1504" customFormat="1" ht="19.5" customHeight="1">
      <c r="A19" s="4351"/>
      <c r="B19" s="4351" t="s">
        <v>1424</v>
      </c>
      <c r="C19" s="1096" t="s">
        <v>1425</v>
      </c>
      <c r="D19" s="1097"/>
      <c r="E19" s="1119">
        <v>0.9</v>
      </c>
      <c r="F19" s="1098" t="s">
        <v>1426</v>
      </c>
      <c r="G19" s="1099"/>
      <c r="H19" s="1070"/>
      <c r="I19" s="1070"/>
    </row>
    <row r="20" spans="1:9" s="1504" customFormat="1" ht="19.5" customHeight="1">
      <c r="A20" s="4351"/>
      <c r="B20" s="4351"/>
      <c r="C20" s="1096" t="s">
        <v>1427</v>
      </c>
      <c r="D20" s="1097"/>
      <c r="E20" s="1119">
        <v>1.1000000000000001</v>
      </c>
      <c r="F20" s="1098" t="s">
        <v>1428</v>
      </c>
      <c r="G20" s="1099"/>
      <c r="H20" s="1070"/>
      <c r="I20" s="1070"/>
    </row>
    <row r="21" spans="1:9" s="1504" customFormat="1" ht="19.5" customHeight="1">
      <c r="A21" s="4351"/>
      <c r="B21" s="4351"/>
      <c r="C21" s="1096" t="s">
        <v>1429</v>
      </c>
      <c r="D21" s="1097"/>
      <c r="E21" s="1119">
        <v>0.8</v>
      </c>
      <c r="F21" s="1098" t="s">
        <v>1430</v>
      </c>
      <c r="G21" s="1099"/>
      <c r="H21" s="1070"/>
      <c r="I21" s="1070"/>
    </row>
    <row r="22" spans="1:9" s="1504" customFormat="1" ht="19.5" customHeight="1">
      <c r="A22" s="4351"/>
      <c r="B22" s="4351"/>
      <c r="C22" s="1096" t="s">
        <v>1431</v>
      </c>
      <c r="D22" s="1097"/>
      <c r="E22" s="1119">
        <v>0.5</v>
      </c>
      <c r="F22" s="1098"/>
      <c r="G22" s="1099"/>
      <c r="H22" s="1070"/>
      <c r="I22" s="1070"/>
    </row>
    <row r="23" spans="1:9" s="1504" customFormat="1" ht="19.5" customHeight="1">
      <c r="A23" s="4351" t="s">
        <v>1004</v>
      </c>
      <c r="B23" s="1119" t="s">
        <v>1421</v>
      </c>
      <c r="C23" s="1096" t="s">
        <v>1432</v>
      </c>
      <c r="D23" s="1097"/>
      <c r="E23" s="1119">
        <v>1</v>
      </c>
      <c r="F23" s="1098" t="s">
        <v>1433</v>
      </c>
      <c r="G23" s="1099"/>
      <c r="H23" s="1070"/>
      <c r="I23" s="1070"/>
    </row>
    <row r="24" spans="1:9" s="1504" customFormat="1" ht="19.5" customHeight="1">
      <c r="A24" s="4351"/>
      <c r="B24" s="4351" t="s">
        <v>1424</v>
      </c>
      <c r="C24" s="1096" t="s">
        <v>1434</v>
      </c>
      <c r="D24" s="1097"/>
      <c r="E24" s="1119">
        <v>0.5</v>
      </c>
      <c r="F24" s="1098"/>
      <c r="G24" s="1099"/>
      <c r="H24" s="1070"/>
      <c r="I24" s="1070"/>
    </row>
    <row r="25" spans="1:9" s="1504" customFormat="1" ht="19.5" customHeight="1">
      <c r="A25" s="4351"/>
      <c r="B25" s="4351"/>
      <c r="C25" s="1096" t="s">
        <v>1435</v>
      </c>
      <c r="D25" s="1097"/>
      <c r="E25" s="1119">
        <v>1.1000000000000001</v>
      </c>
      <c r="F25" s="1098"/>
      <c r="G25" s="1099"/>
      <c r="H25" s="1070"/>
      <c r="I25" s="1070"/>
    </row>
    <row r="26" spans="1:9" s="1504" customFormat="1" ht="19.5" customHeight="1">
      <c r="A26" s="4351"/>
      <c r="B26" s="4351"/>
      <c r="C26" s="1096" t="s">
        <v>1436</v>
      </c>
      <c r="D26" s="1097"/>
      <c r="E26" s="1119">
        <v>1.1000000000000001</v>
      </c>
      <c r="F26" s="1098"/>
      <c r="G26" s="1099"/>
      <c r="H26" s="1070"/>
      <c r="I26" s="1070"/>
    </row>
    <row r="27" spans="1:9" s="1504" customFormat="1" ht="19.5" customHeight="1">
      <c r="A27" s="4351"/>
      <c r="B27" s="4351"/>
      <c r="C27" s="1096" t="s">
        <v>1437</v>
      </c>
      <c r="D27" s="1097"/>
      <c r="E27" s="1119">
        <v>0.9</v>
      </c>
      <c r="F27" s="1098" t="s">
        <v>1438</v>
      </c>
      <c r="G27" s="1099"/>
      <c r="H27" s="1070"/>
      <c r="I27" s="1070"/>
    </row>
    <row r="28" spans="1:9" s="1504" customFormat="1" ht="19.5" customHeight="1">
      <c r="A28" s="4351"/>
      <c r="B28" s="4351"/>
      <c r="C28" s="1096" t="s">
        <v>1439</v>
      </c>
      <c r="D28" s="1097"/>
      <c r="E28" s="1119">
        <v>0.9</v>
      </c>
      <c r="F28" s="1098" t="s">
        <v>1440</v>
      </c>
      <c r="G28" s="1099"/>
      <c r="H28" s="1070"/>
      <c r="I28" s="1070"/>
    </row>
    <row r="29" spans="1:9" s="1504" customFormat="1" ht="19.5" customHeight="1">
      <c r="A29" s="4351"/>
      <c r="B29" s="4351"/>
      <c r="C29" s="1096" t="s">
        <v>1441</v>
      </c>
      <c r="D29" s="1097"/>
      <c r="E29" s="1119">
        <v>0.9</v>
      </c>
      <c r="F29" s="1098" t="s">
        <v>1442</v>
      </c>
      <c r="G29" s="1099"/>
      <c r="H29" s="1070"/>
      <c r="I29" s="1070"/>
    </row>
    <row r="30" spans="1:9" s="1504" customFormat="1" ht="19.5" customHeight="1">
      <c r="A30" s="4351"/>
      <c r="B30" s="4351"/>
      <c r="C30" s="1096" t="s">
        <v>1443</v>
      </c>
      <c r="D30" s="1097"/>
      <c r="E30" s="1119">
        <v>0.9</v>
      </c>
      <c r="F30" s="1098" t="s">
        <v>1444</v>
      </c>
      <c r="G30" s="1099"/>
      <c r="H30" s="1070"/>
      <c r="I30" s="1070"/>
    </row>
    <row r="31" spans="1:9" s="1504" customFormat="1" ht="19.5" customHeight="1">
      <c r="A31" s="4351"/>
      <c r="B31" s="4351"/>
      <c r="C31" s="1096" t="s">
        <v>1445</v>
      </c>
      <c r="D31" s="1097"/>
      <c r="E31" s="1119">
        <v>0.8</v>
      </c>
      <c r="F31" s="1098" t="s">
        <v>1446</v>
      </c>
      <c r="G31" s="1099"/>
      <c r="H31" s="1070"/>
      <c r="I31" s="1070"/>
    </row>
    <row r="32" spans="1:9" s="1504" customFormat="1" ht="19.5" customHeight="1">
      <c r="A32" s="4351"/>
      <c r="B32" s="4351"/>
      <c r="C32" s="1096" t="s">
        <v>1447</v>
      </c>
      <c r="D32" s="1097"/>
      <c r="E32" s="1119">
        <v>0.8</v>
      </c>
      <c r="F32" s="1098" t="s">
        <v>1448</v>
      </c>
      <c r="G32" s="1099"/>
      <c r="H32" s="1070"/>
      <c r="I32" s="1070"/>
    </row>
    <row r="33" spans="1:9" s="1504" customFormat="1" ht="19.5" customHeight="1">
      <c r="A33" s="4351" t="s">
        <v>1449</v>
      </c>
      <c r="B33" s="1119" t="s">
        <v>1421</v>
      </c>
      <c r="C33" s="1096" t="s">
        <v>1450</v>
      </c>
      <c r="D33" s="1097"/>
      <c r="E33" s="1119">
        <v>1</v>
      </c>
      <c r="F33" s="1098" t="s">
        <v>1451</v>
      </c>
      <c r="G33" s="1099"/>
      <c r="H33" s="1070"/>
      <c r="I33" s="1070"/>
    </row>
    <row r="34" spans="1:9" s="1504" customFormat="1" ht="19.5" customHeight="1">
      <c r="A34" s="4351"/>
      <c r="B34" s="1119" t="s">
        <v>1424</v>
      </c>
      <c r="C34" s="1096" t="s">
        <v>1452</v>
      </c>
      <c r="D34" s="1097"/>
      <c r="E34" s="1119">
        <v>1.5</v>
      </c>
      <c r="F34" s="1098" t="s">
        <v>1453</v>
      </c>
      <c r="G34" s="1099"/>
      <c r="H34" s="1070"/>
      <c r="I34" s="1070"/>
    </row>
    <row r="35" spans="1:9" s="1504" customFormat="1" ht="19.5" customHeight="1">
      <c r="A35" s="4351" t="s">
        <v>1407</v>
      </c>
      <c r="B35" s="1119" t="s">
        <v>1421</v>
      </c>
      <c r="C35" s="1096" t="s">
        <v>1454</v>
      </c>
      <c r="D35" s="1097"/>
      <c r="E35" s="1119">
        <v>1</v>
      </c>
      <c r="F35" s="1098" t="s">
        <v>1455</v>
      </c>
      <c r="G35" s="1099"/>
      <c r="H35" s="1070"/>
      <c r="I35" s="1070"/>
    </row>
    <row r="36" spans="1:9" s="1504" customFormat="1" ht="19.5" customHeight="1">
      <c r="A36" s="4351"/>
      <c r="B36" s="4351" t="s">
        <v>1424</v>
      </c>
      <c r="C36" s="1096" t="s">
        <v>1456</v>
      </c>
      <c r="D36" s="1097"/>
      <c r="E36" s="1119">
        <v>1</v>
      </c>
      <c r="F36" s="1098" t="s">
        <v>1457</v>
      </c>
      <c r="G36" s="1099"/>
      <c r="H36" s="1070"/>
      <c r="I36" s="1070"/>
    </row>
    <row r="37" spans="1:9" s="1504" customFormat="1" ht="19.5" customHeight="1">
      <c r="A37" s="4351"/>
      <c r="B37" s="4351"/>
      <c r="C37" s="1096" t="s">
        <v>1458</v>
      </c>
      <c r="D37" s="1097"/>
      <c r="E37" s="1119">
        <v>1.5</v>
      </c>
      <c r="F37" s="1098" t="s">
        <v>1459</v>
      </c>
      <c r="G37" s="1099"/>
      <c r="H37" s="1070"/>
      <c r="I37" s="1070"/>
    </row>
    <row r="38" spans="1:9" s="1504" customFormat="1" ht="19.5" customHeight="1">
      <c r="A38" s="4351"/>
      <c r="B38" s="4351"/>
      <c r="C38" s="1096" t="s">
        <v>1460</v>
      </c>
      <c r="D38" s="1097"/>
      <c r="E38" s="1119">
        <v>1</v>
      </c>
      <c r="F38" s="1098" t="s">
        <v>1461</v>
      </c>
      <c r="G38" s="1099"/>
      <c r="H38" s="1070"/>
      <c r="I38" s="1070"/>
    </row>
    <row r="39" spans="1:9" s="1504" customFormat="1" ht="19.5" customHeight="1">
      <c r="A39" s="4351"/>
      <c r="B39" s="4351"/>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4351" t="s">
        <v>1476</v>
      </c>
      <c r="C61" s="1033" t="s">
        <v>1477</v>
      </c>
      <c r="D61" s="1033" t="s">
        <v>1478</v>
      </c>
      <c r="E61" s="1104">
        <v>0.5</v>
      </c>
      <c r="F61" s="1119">
        <v>80</v>
      </c>
      <c r="H61" s="1070">
        <f>SUMIF(C59:C119,基准地价!C8,E59:E119)</f>
        <v>0</v>
      </c>
    </row>
    <row r="62" spans="1:8" s="1070" customFormat="1" ht="24">
      <c r="A62" s="1119">
        <v>2</v>
      </c>
      <c r="B62" s="4351"/>
      <c r="C62" s="1033" t="s">
        <v>1479</v>
      </c>
      <c r="D62" s="1033" t="s">
        <v>1480</v>
      </c>
      <c r="E62" s="1104">
        <v>0.5</v>
      </c>
      <c r="F62" s="1119">
        <v>80</v>
      </c>
    </row>
    <row r="63" spans="1:8" s="1070" customFormat="1" ht="36">
      <c r="A63" s="1119">
        <v>3</v>
      </c>
      <c r="B63" s="4351"/>
      <c r="C63" s="1033" t="s">
        <v>1481</v>
      </c>
      <c r="D63" s="1033" t="s">
        <v>1482</v>
      </c>
      <c r="E63" s="1104">
        <v>0.5</v>
      </c>
      <c r="F63" s="1119">
        <v>80</v>
      </c>
    </row>
    <row r="64" spans="1:8" s="1070" customFormat="1" ht="36">
      <c r="A64" s="1119">
        <v>4</v>
      </c>
      <c r="B64" s="4351"/>
      <c r="C64" s="1033" t="s">
        <v>1483</v>
      </c>
      <c r="D64" s="1033" t="s">
        <v>1484</v>
      </c>
      <c r="E64" s="1104">
        <v>0.4</v>
      </c>
      <c r="F64" s="1119">
        <v>60</v>
      </c>
    </row>
    <row r="65" spans="1:6" s="1070" customFormat="1" ht="36">
      <c r="A65" s="1119">
        <v>5</v>
      </c>
      <c r="B65" s="4351"/>
      <c r="C65" s="1033" t="s">
        <v>1485</v>
      </c>
      <c r="D65" s="1033" t="s">
        <v>1486</v>
      </c>
      <c r="E65" s="1104">
        <v>0.2</v>
      </c>
      <c r="F65" s="1119">
        <v>30</v>
      </c>
    </row>
    <row r="66" spans="1:6" s="1070" customFormat="1" ht="36">
      <c r="A66" s="1119">
        <v>6</v>
      </c>
      <c r="B66" s="4351"/>
      <c r="C66" s="1033" t="s">
        <v>1487</v>
      </c>
      <c r="D66" s="1033" t="s">
        <v>1488</v>
      </c>
      <c r="E66" s="1104">
        <v>0.3</v>
      </c>
      <c r="F66" s="1119">
        <v>50</v>
      </c>
    </row>
    <row r="67" spans="1:6" s="1070" customFormat="1" ht="36">
      <c r="A67" s="1119">
        <v>7</v>
      </c>
      <c r="B67" s="4351"/>
      <c r="C67" s="1033" t="s">
        <v>1489</v>
      </c>
      <c r="D67" s="1033" t="s">
        <v>1490</v>
      </c>
      <c r="E67" s="1104">
        <v>0.2</v>
      </c>
      <c r="F67" s="1119">
        <v>30</v>
      </c>
    </row>
    <row r="68" spans="1:6" s="1070" customFormat="1" ht="36">
      <c r="A68" s="1119">
        <v>8</v>
      </c>
      <c r="B68" s="4351"/>
      <c r="C68" s="1033" t="s">
        <v>1491</v>
      </c>
      <c r="D68" s="1033" t="s">
        <v>1492</v>
      </c>
      <c r="E68" s="1104">
        <v>0.2</v>
      </c>
      <c r="F68" s="1119">
        <v>30</v>
      </c>
    </row>
    <row r="69" spans="1:6" s="1070" customFormat="1" ht="36">
      <c r="A69" s="1119">
        <v>9</v>
      </c>
      <c r="B69" s="4351"/>
      <c r="C69" s="1033" t="s">
        <v>1493</v>
      </c>
      <c r="D69" s="1033" t="s">
        <v>1494</v>
      </c>
      <c r="E69" s="1104">
        <v>0.2</v>
      </c>
      <c r="F69" s="1119">
        <v>30</v>
      </c>
    </row>
    <row r="70" spans="1:6" s="1070" customFormat="1" ht="48">
      <c r="A70" s="1119">
        <v>10</v>
      </c>
      <c r="B70" s="4351"/>
      <c r="C70" s="1033" t="s">
        <v>1495</v>
      </c>
      <c r="D70" s="1033" t="s">
        <v>1496</v>
      </c>
      <c r="E70" s="1104">
        <v>0.2</v>
      </c>
      <c r="F70" s="1119">
        <v>30</v>
      </c>
    </row>
    <row r="71" spans="1:6" s="1070" customFormat="1" ht="48">
      <c r="A71" s="1119">
        <v>11</v>
      </c>
      <c r="B71" s="4351"/>
      <c r="C71" s="1033" t="s">
        <v>1497</v>
      </c>
      <c r="D71" s="1033" t="s">
        <v>1498</v>
      </c>
      <c r="E71" s="1104">
        <v>0.2</v>
      </c>
      <c r="F71" s="1119">
        <v>30</v>
      </c>
    </row>
    <row r="72" spans="1:6" s="1070" customFormat="1" ht="36">
      <c r="A72" s="1119">
        <v>12</v>
      </c>
      <c r="B72" s="4351"/>
      <c r="C72" s="1033" t="s">
        <v>1499</v>
      </c>
      <c r="D72" s="1033" t="s">
        <v>1500</v>
      </c>
      <c r="E72" s="1104">
        <v>0.5</v>
      </c>
      <c r="F72" s="1119">
        <v>80</v>
      </c>
    </row>
    <row r="73" spans="1:6" s="1070" customFormat="1" ht="24">
      <c r="A73" s="1119">
        <v>13</v>
      </c>
      <c r="B73" s="4351"/>
      <c r="C73" s="1033" t="s">
        <v>1501</v>
      </c>
      <c r="D73" s="1033" t="s">
        <v>1502</v>
      </c>
      <c r="E73" s="1104">
        <v>0.4</v>
      </c>
      <c r="F73" s="1119">
        <v>60</v>
      </c>
    </row>
    <row r="74" spans="1:6" s="1070" customFormat="1" ht="24">
      <c r="A74" s="1119">
        <v>14</v>
      </c>
      <c r="B74" s="4351"/>
      <c r="C74" s="1033" t="s">
        <v>1503</v>
      </c>
      <c r="D74" s="1033" t="s">
        <v>1504</v>
      </c>
      <c r="E74" s="1104">
        <v>0.2</v>
      </c>
      <c r="F74" s="1119">
        <v>30</v>
      </c>
    </row>
    <row r="75" spans="1:6" s="1070" customFormat="1" ht="24">
      <c r="A75" s="1119">
        <v>15</v>
      </c>
      <c r="B75" s="4351"/>
      <c r="C75" s="1033" t="s">
        <v>1505</v>
      </c>
      <c r="D75" s="1033" t="s">
        <v>1506</v>
      </c>
      <c r="E75" s="1104">
        <v>0.2</v>
      </c>
      <c r="F75" s="1119">
        <v>30</v>
      </c>
    </row>
    <row r="76" spans="1:6" s="1070" customFormat="1" ht="24">
      <c r="A76" s="1119">
        <v>16</v>
      </c>
      <c r="B76" s="4351" t="s">
        <v>1507</v>
      </c>
      <c r="C76" s="1033" t="s">
        <v>1508</v>
      </c>
      <c r="D76" s="1033" t="s">
        <v>1509</v>
      </c>
      <c r="E76" s="1104">
        <v>0.5</v>
      </c>
      <c r="F76" s="1119">
        <v>80</v>
      </c>
    </row>
    <row r="77" spans="1:6" s="1070" customFormat="1" ht="24">
      <c r="A77" s="1119">
        <v>17</v>
      </c>
      <c r="B77" s="4351"/>
      <c r="C77" s="1033" t="s">
        <v>1510</v>
      </c>
      <c r="D77" s="1033" t="s">
        <v>1511</v>
      </c>
      <c r="E77" s="1104">
        <v>0.5</v>
      </c>
      <c r="F77" s="1119">
        <v>80</v>
      </c>
    </row>
    <row r="78" spans="1:6" s="1070" customFormat="1" ht="24">
      <c r="A78" s="1119">
        <v>18</v>
      </c>
      <c r="B78" s="4351"/>
      <c r="C78" s="1033" t="s">
        <v>1512</v>
      </c>
      <c r="D78" s="1033" t="s">
        <v>1513</v>
      </c>
      <c r="E78" s="1104">
        <v>0.2</v>
      </c>
      <c r="F78" s="1119">
        <v>30</v>
      </c>
    </row>
    <row r="79" spans="1:6" s="1070" customFormat="1" ht="24">
      <c r="A79" s="1119">
        <v>19</v>
      </c>
      <c r="B79" s="4351"/>
      <c r="C79" s="1033" t="s">
        <v>1514</v>
      </c>
      <c r="D79" s="1033" t="s">
        <v>1515</v>
      </c>
      <c r="E79" s="1104">
        <v>0.5</v>
      </c>
      <c r="F79" s="1119">
        <v>80</v>
      </c>
    </row>
    <row r="80" spans="1:6" s="1070" customFormat="1" ht="36">
      <c r="A80" s="1119">
        <v>20</v>
      </c>
      <c r="B80" s="4351"/>
      <c r="C80" s="1033" t="s">
        <v>1516</v>
      </c>
      <c r="D80" s="1033" t="s">
        <v>1517</v>
      </c>
      <c r="E80" s="1104">
        <v>0.2</v>
      </c>
      <c r="F80" s="1119">
        <v>30</v>
      </c>
    </row>
    <row r="81" spans="1:6" s="1070" customFormat="1" ht="36">
      <c r="A81" s="1119">
        <v>21</v>
      </c>
      <c r="B81" s="4351"/>
      <c r="C81" s="1033" t="s">
        <v>1518</v>
      </c>
      <c r="D81" s="1033" t="s">
        <v>1519</v>
      </c>
      <c r="E81" s="1104">
        <v>0.2</v>
      </c>
      <c r="F81" s="1119">
        <v>30</v>
      </c>
    </row>
    <row r="82" spans="1:6" s="1070" customFormat="1" ht="48">
      <c r="A82" s="1119">
        <v>22</v>
      </c>
      <c r="B82" s="4351"/>
      <c r="C82" s="1033" t="s">
        <v>1520</v>
      </c>
      <c r="D82" s="1033" t="s">
        <v>1521</v>
      </c>
      <c r="E82" s="1104">
        <v>0.2</v>
      </c>
      <c r="F82" s="1119">
        <v>30</v>
      </c>
    </row>
    <row r="83" spans="1:6" s="1070" customFormat="1" ht="48">
      <c r="A83" s="1119">
        <v>23</v>
      </c>
      <c r="B83" s="4351"/>
      <c r="C83" s="1033" t="s">
        <v>1522</v>
      </c>
      <c r="D83" s="1033" t="s">
        <v>1523</v>
      </c>
      <c r="E83" s="1104">
        <v>0.2</v>
      </c>
      <c r="F83" s="1119">
        <v>30</v>
      </c>
    </row>
    <row r="84" spans="1:6" s="1070" customFormat="1" ht="36">
      <c r="A84" s="1119">
        <v>24</v>
      </c>
      <c r="B84" s="4351"/>
      <c r="C84" s="1033" t="s">
        <v>1524</v>
      </c>
      <c r="D84" s="1033" t="s">
        <v>1525</v>
      </c>
      <c r="E84" s="1104">
        <v>0.2</v>
      </c>
      <c r="F84" s="1119">
        <v>30</v>
      </c>
    </row>
    <row r="85" spans="1:6" s="1070" customFormat="1" ht="36">
      <c r="A85" s="1119">
        <v>25</v>
      </c>
      <c r="B85" s="4351"/>
      <c r="C85" s="1033" t="s">
        <v>1526</v>
      </c>
      <c r="D85" s="1033" t="s">
        <v>1527</v>
      </c>
      <c r="E85" s="1104">
        <v>0.5</v>
      </c>
      <c r="F85" s="1119">
        <v>80</v>
      </c>
    </row>
    <row r="86" spans="1:6" s="1070" customFormat="1" ht="36">
      <c r="A86" s="1119">
        <v>26</v>
      </c>
      <c r="B86" s="4351"/>
      <c r="C86" s="1033" t="s">
        <v>1528</v>
      </c>
      <c r="D86" s="1033" t="s">
        <v>1529</v>
      </c>
      <c r="E86" s="1104">
        <v>0.2</v>
      </c>
      <c r="F86" s="1119">
        <v>30</v>
      </c>
    </row>
    <row r="87" spans="1:6" s="1070" customFormat="1" ht="36">
      <c r="A87" s="1119">
        <v>27</v>
      </c>
      <c r="B87" s="4351"/>
      <c r="C87" s="1033" t="s">
        <v>1530</v>
      </c>
      <c r="D87" s="1033" t="s">
        <v>1531</v>
      </c>
      <c r="E87" s="1104">
        <v>0.2</v>
      </c>
      <c r="F87" s="1119">
        <v>30</v>
      </c>
    </row>
    <row r="88" spans="1:6" s="1070" customFormat="1" ht="36">
      <c r="A88" s="1119">
        <v>28</v>
      </c>
      <c r="B88" s="4351"/>
      <c r="C88" s="1033" t="s">
        <v>1532</v>
      </c>
      <c r="D88" s="1033" t="s">
        <v>1533</v>
      </c>
      <c r="E88" s="1104">
        <v>0.2</v>
      </c>
      <c r="F88" s="1119">
        <v>30</v>
      </c>
    </row>
    <row r="89" spans="1:6" s="1070" customFormat="1" ht="24">
      <c r="A89" s="1119">
        <v>29</v>
      </c>
      <c r="B89" s="4351"/>
      <c r="C89" s="1033" t="s">
        <v>1534</v>
      </c>
      <c r="D89" s="1033" t="s">
        <v>1535</v>
      </c>
      <c r="E89" s="1104">
        <v>0.2</v>
      </c>
      <c r="F89" s="1119">
        <v>30</v>
      </c>
    </row>
    <row r="90" spans="1:6" s="1070" customFormat="1" ht="24">
      <c r="A90" s="1119">
        <v>30</v>
      </c>
      <c r="B90" s="4351"/>
      <c r="C90" s="1033" t="s">
        <v>1536</v>
      </c>
      <c r="D90" s="1033" t="s">
        <v>1537</v>
      </c>
      <c r="E90" s="1104">
        <v>0.2</v>
      </c>
      <c r="F90" s="1119">
        <v>30</v>
      </c>
    </row>
    <row r="91" spans="1:6" s="1070" customFormat="1" ht="36">
      <c r="A91" s="1119">
        <v>31</v>
      </c>
      <c r="B91" s="4351"/>
      <c r="C91" s="1033" t="s">
        <v>1538</v>
      </c>
      <c r="D91" s="1033" t="s">
        <v>1539</v>
      </c>
      <c r="E91" s="1104">
        <v>0.2</v>
      </c>
      <c r="F91" s="1119">
        <v>30</v>
      </c>
    </row>
    <row r="92" spans="1:6" s="1070" customFormat="1" ht="24">
      <c r="A92" s="1119">
        <v>32</v>
      </c>
      <c r="B92" s="4351" t="s">
        <v>1540</v>
      </c>
      <c r="C92" s="1119" t="s">
        <v>1541</v>
      </c>
      <c r="D92" s="1033" t="s">
        <v>1542</v>
      </c>
      <c r="E92" s="1104">
        <v>0.2</v>
      </c>
      <c r="F92" s="1119">
        <v>30</v>
      </c>
    </row>
    <row r="93" spans="1:6" s="1070" customFormat="1" ht="36">
      <c r="A93" s="1119">
        <v>33</v>
      </c>
      <c r="B93" s="4351"/>
      <c r="C93" s="1119" t="s">
        <v>1543</v>
      </c>
      <c r="D93" s="1033" t="s">
        <v>1544</v>
      </c>
      <c r="E93" s="1104">
        <v>0.2</v>
      </c>
      <c r="F93" s="1119">
        <v>30</v>
      </c>
    </row>
    <row r="94" spans="1:6" s="1070" customFormat="1" ht="48">
      <c r="A94" s="1119">
        <v>34</v>
      </c>
      <c r="B94" s="4351"/>
      <c r="C94" s="1119" t="s">
        <v>1545</v>
      </c>
      <c r="D94" s="1033" t="s">
        <v>1546</v>
      </c>
      <c r="E94" s="1104">
        <v>0.2</v>
      </c>
      <c r="F94" s="1119">
        <v>30</v>
      </c>
    </row>
    <row r="95" spans="1:6" s="1070" customFormat="1" ht="36">
      <c r="A95" s="1119">
        <v>35</v>
      </c>
      <c r="B95" s="4351"/>
      <c r="C95" s="1119" t="s">
        <v>1547</v>
      </c>
      <c r="D95" s="1033" t="s">
        <v>1548</v>
      </c>
      <c r="E95" s="1104">
        <v>0.2</v>
      </c>
      <c r="F95" s="1119">
        <v>30</v>
      </c>
    </row>
    <row r="96" spans="1:6" s="1070" customFormat="1" ht="48">
      <c r="A96" s="1119">
        <v>36</v>
      </c>
      <c r="B96" s="4351"/>
      <c r="C96" s="1033" t="s">
        <v>1549</v>
      </c>
      <c r="D96" s="1033" t="s">
        <v>1550</v>
      </c>
      <c r="E96" s="1104">
        <v>0.2</v>
      </c>
      <c r="F96" s="1119">
        <v>30</v>
      </c>
    </row>
    <row r="97" spans="1:6" s="1070" customFormat="1" ht="36">
      <c r="A97" s="1119">
        <v>37</v>
      </c>
      <c r="B97" s="4351"/>
      <c r="C97" s="1119" t="s">
        <v>1551</v>
      </c>
      <c r="D97" s="1033" t="s">
        <v>1552</v>
      </c>
      <c r="E97" s="1104">
        <v>0.2</v>
      </c>
      <c r="F97" s="1119">
        <v>30</v>
      </c>
    </row>
    <row r="98" spans="1:6" s="1070" customFormat="1" ht="36">
      <c r="A98" s="1119">
        <v>38</v>
      </c>
      <c r="B98" s="4351"/>
      <c r="C98" s="1119" t="s">
        <v>1553</v>
      </c>
      <c r="D98" s="1033" t="s">
        <v>1554</v>
      </c>
      <c r="E98" s="1104">
        <v>0.2</v>
      </c>
      <c r="F98" s="1119">
        <v>30</v>
      </c>
    </row>
    <row r="99" spans="1:6" s="1070" customFormat="1" ht="36">
      <c r="A99" s="1119">
        <v>39</v>
      </c>
      <c r="B99" s="4351" t="s">
        <v>1555</v>
      </c>
      <c r="C99" s="1119" t="s">
        <v>1556</v>
      </c>
      <c r="D99" s="1033" t="s">
        <v>1557</v>
      </c>
      <c r="E99" s="1104">
        <v>0.3</v>
      </c>
      <c r="F99" s="1119">
        <v>50</v>
      </c>
    </row>
    <row r="100" spans="1:6" s="1070" customFormat="1" ht="24">
      <c r="A100" s="1119">
        <v>40</v>
      </c>
      <c r="B100" s="4351"/>
      <c r="C100" s="1119" t="s">
        <v>1558</v>
      </c>
      <c r="D100" s="1033" t="s">
        <v>1559</v>
      </c>
      <c r="E100" s="1104">
        <v>0.2</v>
      </c>
      <c r="F100" s="1119">
        <v>30</v>
      </c>
    </row>
    <row r="101" spans="1:6" s="1070" customFormat="1" ht="36">
      <c r="A101" s="1119">
        <v>41</v>
      </c>
      <c r="B101" s="4351"/>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4351" t="s">
        <v>1570</v>
      </c>
      <c r="C105" s="1119" t="s">
        <v>1571</v>
      </c>
      <c r="D105" s="1033" t="s">
        <v>1572</v>
      </c>
      <c r="E105" s="1104">
        <v>0.2</v>
      </c>
      <c r="F105" s="1119">
        <v>30</v>
      </c>
    </row>
    <row r="106" spans="1:6" s="1070" customFormat="1" ht="36">
      <c r="A106" s="1119">
        <v>46</v>
      </c>
      <c r="B106" s="4351"/>
      <c r="C106" s="1119" t="s">
        <v>1573</v>
      </c>
      <c r="D106" s="1033" t="s">
        <v>1574</v>
      </c>
      <c r="E106" s="1104">
        <v>0.2</v>
      </c>
      <c r="F106" s="1119">
        <v>30</v>
      </c>
    </row>
    <row r="107" spans="1:6" s="1070" customFormat="1" ht="36">
      <c r="A107" s="1119">
        <v>47</v>
      </c>
      <c r="B107" s="4351" t="s">
        <v>1575</v>
      </c>
      <c r="C107" s="1119" t="s">
        <v>1576</v>
      </c>
      <c r="D107" s="1033" t="s">
        <v>1577</v>
      </c>
      <c r="E107" s="1104">
        <v>0.3</v>
      </c>
      <c r="F107" s="1119">
        <v>50</v>
      </c>
    </row>
    <row r="108" spans="1:6" s="1070" customFormat="1" ht="36">
      <c r="A108" s="1119">
        <v>48</v>
      </c>
      <c r="B108" s="4351"/>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4351" t="s">
        <v>1586</v>
      </c>
      <c r="C111" s="1119" t="s">
        <v>1587</v>
      </c>
      <c r="D111" s="1033" t="s">
        <v>1588</v>
      </c>
      <c r="E111" s="1104">
        <v>0.2</v>
      </c>
      <c r="F111" s="1119">
        <v>30</v>
      </c>
    </row>
    <row r="112" spans="1:6" s="1070" customFormat="1" ht="24">
      <c r="A112" s="1119">
        <v>52</v>
      </c>
      <c r="B112" s="4351"/>
      <c r="C112" s="1119" t="s">
        <v>1589</v>
      </c>
      <c r="D112" s="1033" t="s">
        <v>1590</v>
      </c>
      <c r="E112" s="1104">
        <v>0.2</v>
      </c>
      <c r="F112" s="1119">
        <v>30</v>
      </c>
    </row>
    <row r="113" spans="1:14" s="1070" customFormat="1" ht="24">
      <c r="A113" s="1119">
        <v>53</v>
      </c>
      <c r="B113" s="4351"/>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4351" t="s">
        <v>1599</v>
      </c>
      <c r="C116" s="1119" t="s">
        <v>1600</v>
      </c>
      <c r="D116" s="1033" t="s">
        <v>1601</v>
      </c>
      <c r="E116" s="1104">
        <v>0.2</v>
      </c>
      <c r="F116" s="1119">
        <v>30</v>
      </c>
    </row>
    <row r="117" spans="1:14" ht="36">
      <c r="A117" s="1119">
        <v>57</v>
      </c>
      <c r="B117" s="4351"/>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4350" t="s">
        <v>1608</v>
      </c>
      <c r="B121" s="4350"/>
      <c r="C121" s="4350"/>
      <c r="D121" s="4350"/>
      <c r="E121" s="4350"/>
      <c r="F121" s="4350"/>
      <c r="G121" s="4350"/>
      <c r="H121" s="4350"/>
      <c r="I121" s="4350"/>
      <c r="J121" s="4350"/>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4365" t="s">
        <v>1014</v>
      </c>
      <c r="B1" s="4365"/>
      <c r="C1" s="4365"/>
      <c r="D1" s="4365"/>
      <c r="E1" s="4365"/>
      <c r="F1" s="4365"/>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4366" t="s">
        <v>1027</v>
      </c>
      <c r="B2" s="4366"/>
      <c r="C2" s="4366"/>
      <c r="D2" s="4366"/>
      <c r="E2" s="4366"/>
      <c r="F2" s="4366"/>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4367"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4368"/>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SUMPRODUCT((B5:B9=基准地价!I2)*(C3:F3=基准地价!E2)*(C5:F9))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SUMPRODUCT((B10:B28=基准地价!I2)*(C3:F3=基准地价!E2)*(C10:F28))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SUMPRODUCT((B29:B48=基准地价!I2)*(C3:F3=基准地价!E2)*(C29:F48))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SUMPRODUCT((B49:B75=基准地价!I2)*(C3:F3=基准地价!E2)*(C49:F75))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SUMPRODUCT((B76:B109=基准地价!I2)*(C3:F3=基准地价!E2)*(C76:F109))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SUMPRODUCT((B110:B157=基准地价!I2)*(C3:F3=基准地价!E2)*(C110:F157))</f>
        <v>10090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SUMPRODUCT((B158:B205=基准地价!I2)*(C3:F3=基准地价!E2)*(C158:F205))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SUMPRODUCT((B206:B244=基准地价!I2)*(C3:F3=基准地价!E2)*(C206:F244))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SUMPRODUCT((B245:B289=基准地价!I2)*(C3:F3=基准地价!E2)*(C245:F289))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SUMPRODUCT((B290:B316=基准地价!I2)*(C3:F3=基准地价!E2)*(C290:F316))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SUMPRODUCT((B317:B337=基准地价!I2)*(C3:F3=基准地价!E2)*(C317:F337))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SUMPRODUCT((B338:B344=基准地价!I2)*(C3:F3=基准地价!E2)*(C338:F344))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SUMPRODUCT((A105:A204=ROUNDDOWN(基准地价!G3,1))*(B104:M104=基准地价!G2)*(B105:M204))</f>
        <v>1</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4369" t="s">
        <v>2046</v>
      </c>
      <c r="B1" s="4369"/>
    </row>
    <row r="2" spans="1:6" ht="14.25" thickBot="1">
      <c r="A2" s="1738"/>
      <c r="B2" s="1738"/>
    </row>
    <row r="3" spans="1:6" ht="14.25" thickBot="1">
      <c r="A3" s="1738"/>
      <c r="B3" s="1738"/>
      <c r="C3" s="1739" t="s">
        <v>2047</v>
      </c>
      <c r="D3" s="1739" t="s">
        <v>2048</v>
      </c>
      <c r="E3" s="1739" t="s">
        <v>2049</v>
      </c>
      <c r="F3" s="1739" t="s">
        <v>2050</v>
      </c>
    </row>
    <row r="4" spans="1:6" ht="14.25" thickBot="1">
      <c r="A4" s="1740" t="s">
        <v>2051</v>
      </c>
      <c r="B4" s="1741" t="s">
        <v>2052</v>
      </c>
      <c r="C4" s="1739"/>
      <c r="D4" s="1739"/>
      <c r="E4" s="1739"/>
      <c r="F4" s="1739"/>
    </row>
    <row r="5" spans="1:6" ht="14.25" thickBot="1">
      <c r="A5" s="1742" t="s">
        <v>2053</v>
      </c>
      <c r="B5" s="1743" t="s">
        <v>2054</v>
      </c>
      <c r="C5" s="1744">
        <v>8.8999999999999996E-2</v>
      </c>
      <c r="D5" s="1744">
        <v>7.3999999999999996E-2</v>
      </c>
      <c r="E5" s="1744">
        <v>7.4999999999999997E-2</v>
      </c>
      <c r="F5" s="1745">
        <v>0.1</v>
      </c>
    </row>
    <row r="6" spans="1:6" ht="14.25" thickBot="1">
      <c r="A6" s="1742" t="s">
        <v>1071</v>
      </c>
      <c r="B6" s="1746" t="s">
        <v>2055</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2056</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2057</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2058</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2059</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2060</v>
      </c>
      <c r="C72" s="1756"/>
      <c r="D72" s="1756"/>
      <c r="E72" s="1756"/>
      <c r="F72" s="1748">
        <v>0.05</v>
      </c>
    </row>
    <row r="73" spans="1:6" ht="14.25" thickBot="1">
      <c r="A73" s="1742" t="s">
        <v>900</v>
      </c>
      <c r="B73" s="1746" t="s">
        <v>2061</v>
      </c>
      <c r="C73" s="1756"/>
      <c r="D73" s="1756"/>
      <c r="E73" s="1756"/>
      <c r="F73" s="1748">
        <v>0.05</v>
      </c>
    </row>
    <row r="74" spans="1:6" ht="14.25" thickBot="1">
      <c r="A74" s="1742" t="s">
        <v>900</v>
      </c>
      <c r="B74" s="1746" t="s">
        <v>2062</v>
      </c>
      <c r="C74" s="1756"/>
      <c r="D74" s="1756"/>
      <c r="E74" s="1756"/>
      <c r="F74" s="1748">
        <v>0.05</v>
      </c>
    </row>
    <row r="75" spans="1:6" ht="14.25" thickBot="1">
      <c r="A75" s="1750" t="s">
        <v>900</v>
      </c>
      <c r="B75" s="1757" t="s">
        <v>2063</v>
      </c>
      <c r="C75" s="1753"/>
      <c r="D75" s="1753"/>
      <c r="E75" s="1753"/>
      <c r="F75" s="1758">
        <v>0.05</v>
      </c>
    </row>
    <row r="76" spans="1:6" ht="14.25" thickBot="1">
      <c r="A76" s="1742" t="s">
        <v>1382</v>
      </c>
      <c r="B76" s="1743" t="s">
        <v>2064</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2065</v>
      </c>
      <c r="C102" s="1756"/>
      <c r="D102" s="1756"/>
      <c r="E102" s="1756"/>
      <c r="F102" s="1748">
        <v>0.05</v>
      </c>
    </row>
    <row r="103" spans="1:6" ht="24.75" thickBot="1">
      <c r="A103" s="1742" t="s">
        <v>1382</v>
      </c>
      <c r="B103" s="1746" t="s">
        <v>2066</v>
      </c>
      <c r="C103" s="1756"/>
      <c r="D103" s="1756"/>
      <c r="E103" s="1756"/>
      <c r="F103" s="1748">
        <v>0.05</v>
      </c>
    </row>
    <row r="104" spans="1:6" ht="14.25" thickBot="1">
      <c r="A104" s="1742" t="s">
        <v>1382</v>
      </c>
      <c r="B104" s="1746" t="s">
        <v>2067</v>
      </c>
      <c r="C104" s="1756"/>
      <c r="D104" s="1756"/>
      <c r="E104" s="1756"/>
      <c r="F104" s="1748">
        <v>0.05</v>
      </c>
    </row>
    <row r="105" spans="1:6" ht="14.25" thickBot="1">
      <c r="A105" s="1742" t="s">
        <v>1382</v>
      </c>
      <c r="B105" s="1746" t="s">
        <v>2068</v>
      </c>
      <c r="C105" s="1756"/>
      <c r="D105" s="1756"/>
      <c r="E105" s="1756"/>
      <c r="F105" s="1748">
        <v>0.05</v>
      </c>
    </row>
    <row r="106" spans="1:6" ht="14.25" thickBot="1">
      <c r="A106" s="1742" t="s">
        <v>1382</v>
      </c>
      <c r="B106" s="1746" t="s">
        <v>2069</v>
      </c>
      <c r="C106" s="1756"/>
      <c r="D106" s="1756"/>
      <c r="E106" s="1756"/>
      <c r="F106" s="1748">
        <v>0.05</v>
      </c>
    </row>
    <row r="107" spans="1:6" ht="24.75" thickBot="1">
      <c r="A107" s="1742" t="s">
        <v>1382</v>
      </c>
      <c r="B107" s="1746" t="s">
        <v>2070</v>
      </c>
      <c r="C107" s="1756"/>
      <c r="D107" s="1756"/>
      <c r="E107" s="1756"/>
      <c r="F107" s="1748">
        <v>0.05</v>
      </c>
    </row>
    <row r="108" spans="1:6" ht="24.75" thickBot="1">
      <c r="A108" s="1742" t="s">
        <v>1382</v>
      </c>
      <c r="B108" s="1746" t="s">
        <v>2071</v>
      </c>
      <c r="C108" s="1756"/>
      <c r="D108" s="1756"/>
      <c r="E108" s="1756"/>
      <c r="F108" s="1748">
        <v>0.05</v>
      </c>
    </row>
    <row r="109" spans="1:6" ht="24.75" thickBot="1">
      <c r="A109" s="1750" t="s">
        <v>1382</v>
      </c>
      <c r="B109" s="1757" t="s">
        <v>2072</v>
      </c>
      <c r="C109" s="1753"/>
      <c r="D109" s="1753"/>
      <c r="E109" s="1753"/>
      <c r="F109" s="1758">
        <v>0.05</v>
      </c>
    </row>
    <row r="110" spans="1:6" ht="14.25" thickBot="1">
      <c r="A110" s="1742" t="s">
        <v>1384</v>
      </c>
      <c r="B110" s="1743" t="s">
        <v>2073</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2074</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2075</v>
      </c>
      <c r="C138" s="1747">
        <v>0.105</v>
      </c>
      <c r="D138" s="1747">
        <v>0.125</v>
      </c>
      <c r="E138" s="1747">
        <v>0.112</v>
      </c>
      <c r="F138" s="1755"/>
    </row>
    <row r="139" spans="1:6" ht="14.25" thickBot="1">
      <c r="A139" s="1742" t="s">
        <v>1384</v>
      </c>
      <c r="B139" s="1746" t="s">
        <v>2076</v>
      </c>
      <c r="C139" s="1747">
        <v>0.127</v>
      </c>
      <c r="D139" s="1747">
        <v>0.127</v>
      </c>
      <c r="E139" s="1747">
        <v>0.122</v>
      </c>
      <c r="F139" s="1748">
        <v>0.13</v>
      </c>
    </row>
    <row r="140" spans="1:6" ht="14.25" thickBot="1">
      <c r="A140" s="1742" t="s">
        <v>1384</v>
      </c>
      <c r="B140" s="1746" t="s">
        <v>2077</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2078</v>
      </c>
      <c r="C144" s="1760">
        <v>0.126</v>
      </c>
      <c r="D144" s="1760">
        <v>0.126</v>
      </c>
      <c r="E144" s="1760">
        <v>0.121</v>
      </c>
      <c r="F144" s="1755"/>
    </row>
    <row r="145" spans="1:6" ht="14.25" thickBot="1">
      <c r="A145" s="1750" t="s">
        <v>1384</v>
      </c>
      <c r="B145" s="1761" t="s">
        <v>2079</v>
      </c>
      <c r="C145" s="1762"/>
      <c r="D145" s="1762"/>
      <c r="E145" s="1762"/>
      <c r="F145" s="1763">
        <v>0.05</v>
      </c>
    </row>
    <row r="146" spans="1:6" ht="24.75" thickBot="1">
      <c r="A146" s="1764" t="s">
        <v>1384</v>
      </c>
      <c r="B146" s="1749" t="s">
        <v>2080</v>
      </c>
      <c r="C146" s="1756"/>
      <c r="D146" s="1756"/>
      <c r="E146" s="1756"/>
      <c r="F146" s="1765">
        <v>0.05</v>
      </c>
    </row>
    <row r="147" spans="1:6" ht="24.75" thickBot="1">
      <c r="A147" s="1742" t="s">
        <v>1384</v>
      </c>
      <c r="B147" s="1746" t="s">
        <v>2081</v>
      </c>
      <c r="C147" s="1756"/>
      <c r="D147" s="1756"/>
      <c r="E147" s="1756"/>
      <c r="F147" s="1748">
        <v>0.05</v>
      </c>
    </row>
    <row r="148" spans="1:6" ht="24.75" thickBot="1">
      <c r="A148" s="1742" t="s">
        <v>1384</v>
      </c>
      <c r="B148" s="1746" t="s">
        <v>2082</v>
      </c>
      <c r="C148" s="1756"/>
      <c r="D148" s="1756"/>
      <c r="E148" s="1756"/>
      <c r="F148" s="1748">
        <v>0.05</v>
      </c>
    </row>
    <row r="149" spans="1:6" ht="24.75" thickBot="1">
      <c r="A149" s="1742" t="s">
        <v>1384</v>
      </c>
      <c r="B149" s="1746" t="s">
        <v>2083</v>
      </c>
      <c r="C149" s="1756"/>
      <c r="D149" s="1756"/>
      <c r="E149" s="1756"/>
      <c r="F149" s="1748">
        <v>0.05</v>
      </c>
    </row>
    <row r="150" spans="1:6" ht="24.75" thickBot="1">
      <c r="A150" s="1742" t="s">
        <v>1384</v>
      </c>
      <c r="B150" s="1746" t="s">
        <v>2084</v>
      </c>
      <c r="C150" s="1756"/>
      <c r="D150" s="1756"/>
      <c r="E150" s="1756"/>
      <c r="F150" s="1748">
        <v>0.05</v>
      </c>
    </row>
    <row r="151" spans="1:6" ht="24.75" thickBot="1">
      <c r="A151" s="1742" t="s">
        <v>1384</v>
      </c>
      <c r="B151" s="1746" t="s">
        <v>2085</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2086</v>
      </c>
      <c r="C153" s="1756"/>
      <c r="D153" s="1756"/>
      <c r="E153" s="1756"/>
      <c r="F153" s="1748">
        <v>0.05</v>
      </c>
    </row>
    <row r="154" spans="1:6" ht="14.25" thickBot="1">
      <c r="A154" s="1742" t="s">
        <v>1384</v>
      </c>
      <c r="B154" s="1746" t="s">
        <v>2087</v>
      </c>
      <c r="C154" s="1756"/>
      <c r="D154" s="1756"/>
      <c r="E154" s="1756"/>
      <c r="F154" s="1748">
        <v>0.05</v>
      </c>
    </row>
    <row r="155" spans="1:6" ht="24.75" thickBot="1">
      <c r="A155" s="1742" t="s">
        <v>1384</v>
      </c>
      <c r="B155" s="1746" t="s">
        <v>2088</v>
      </c>
      <c r="C155" s="1756"/>
      <c r="D155" s="1756"/>
      <c r="E155" s="1756"/>
      <c r="F155" s="1748">
        <v>0.05</v>
      </c>
    </row>
    <row r="156" spans="1:6" ht="24.75" thickBot="1">
      <c r="A156" s="1742" t="s">
        <v>1384</v>
      </c>
      <c r="B156" s="1746" t="s">
        <v>2089</v>
      </c>
      <c r="C156" s="1756"/>
      <c r="D156" s="1756"/>
      <c r="E156" s="1756"/>
      <c r="F156" s="1748">
        <v>0.05</v>
      </c>
    </row>
    <row r="157" spans="1:6" ht="14.25" thickBot="1">
      <c r="A157" s="1750" t="s">
        <v>1384</v>
      </c>
      <c r="B157" s="1757" t="s">
        <v>2090</v>
      </c>
      <c r="C157" s="1753"/>
      <c r="D157" s="1753"/>
      <c r="E157" s="1753"/>
      <c r="F157" s="1758">
        <v>0.05</v>
      </c>
    </row>
    <row r="158" spans="1:6" ht="14.25" thickBot="1">
      <c r="A158" s="1742" t="s">
        <v>1386</v>
      </c>
      <c r="B158" s="1743" t="s">
        <v>2091</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2092</v>
      </c>
      <c r="C171" s="1747">
        <v>0.127</v>
      </c>
      <c r="D171" s="1747">
        <v>0.126</v>
      </c>
      <c r="E171" s="1747">
        <v>0.126</v>
      </c>
      <c r="F171" s="1748">
        <v>0.11799999999999999</v>
      </c>
    </row>
    <row r="172" spans="1:6" ht="14.25" thickBot="1">
      <c r="A172" s="1742" t="s">
        <v>1386</v>
      </c>
      <c r="B172" s="1746" t="s">
        <v>2093</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2094</v>
      </c>
      <c r="C174" s="1747">
        <v>0.13</v>
      </c>
      <c r="D174" s="1747">
        <v>0.13</v>
      </c>
      <c r="E174" s="1747">
        <v>0.13</v>
      </c>
      <c r="F174" s="1748">
        <v>0.13</v>
      </c>
    </row>
    <row r="175" spans="1:6" ht="14.25" thickBot="1">
      <c r="A175" s="1742" t="s">
        <v>1386</v>
      </c>
      <c r="B175" s="1746" t="s">
        <v>2095</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2096</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2097</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2098</v>
      </c>
      <c r="C185" s="1747">
        <v>0.127</v>
      </c>
      <c r="D185" s="1747">
        <v>0.127</v>
      </c>
      <c r="E185" s="1747">
        <v>0.128</v>
      </c>
      <c r="F185" s="1748">
        <v>0.13</v>
      </c>
    </row>
    <row r="186" spans="1:6" ht="24.75" thickBot="1">
      <c r="A186" s="1742" t="s">
        <v>1386</v>
      </c>
      <c r="B186" s="1746" t="s">
        <v>2099</v>
      </c>
      <c r="C186" s="1756"/>
      <c r="D186" s="1756"/>
      <c r="E186" s="1756"/>
      <c r="F186" s="1748">
        <v>0.05</v>
      </c>
    </row>
    <row r="187" spans="1:6" ht="14.25" thickBot="1">
      <c r="A187" s="1742" t="s">
        <v>1386</v>
      </c>
      <c r="B187" s="1746" t="s">
        <v>2100</v>
      </c>
      <c r="C187" s="1756"/>
      <c r="D187" s="1756"/>
      <c r="E187" s="1756"/>
      <c r="F187" s="1748">
        <v>0.05</v>
      </c>
    </row>
    <row r="188" spans="1:6" ht="14.25" thickBot="1">
      <c r="A188" s="1742" t="s">
        <v>1386</v>
      </c>
      <c r="B188" s="1746" t="s">
        <v>2101</v>
      </c>
      <c r="C188" s="1756"/>
      <c r="D188" s="1756"/>
      <c r="E188" s="1756"/>
      <c r="F188" s="1748">
        <v>0.05</v>
      </c>
    </row>
    <row r="189" spans="1:6" ht="24.75" thickBot="1">
      <c r="A189" s="1742" t="s">
        <v>1386</v>
      </c>
      <c r="B189" s="1746" t="s">
        <v>2102</v>
      </c>
      <c r="C189" s="1756"/>
      <c r="D189" s="1756"/>
      <c r="E189" s="1756"/>
      <c r="F189" s="1748">
        <v>0.05</v>
      </c>
    </row>
    <row r="190" spans="1:6" ht="24.75" thickBot="1">
      <c r="A190" s="1742" t="s">
        <v>1386</v>
      </c>
      <c r="B190" s="1746" t="s">
        <v>2103</v>
      </c>
      <c r="C190" s="1756"/>
      <c r="D190" s="1756"/>
      <c r="E190" s="1756"/>
      <c r="F190" s="1748">
        <v>0.05</v>
      </c>
    </row>
    <row r="191" spans="1:6" ht="24.75" thickBot="1">
      <c r="A191" s="1742" t="s">
        <v>1386</v>
      </c>
      <c r="B191" s="1746" t="s">
        <v>2104</v>
      </c>
      <c r="C191" s="1756"/>
      <c r="D191" s="1756"/>
      <c r="E191" s="1756"/>
      <c r="F191" s="1748">
        <v>0.05</v>
      </c>
    </row>
    <row r="192" spans="1:6" ht="24.75" thickBot="1">
      <c r="A192" s="1742" t="s">
        <v>1386</v>
      </c>
      <c r="B192" s="1746" t="s">
        <v>2105</v>
      </c>
      <c r="C192" s="1756"/>
      <c r="D192" s="1756"/>
      <c r="E192" s="1756"/>
      <c r="F192" s="1748">
        <v>0.05</v>
      </c>
    </row>
    <row r="193" spans="1:6" ht="24.75" thickBot="1">
      <c r="A193" s="1742" t="s">
        <v>1386</v>
      </c>
      <c r="B193" s="1746" t="s">
        <v>2106</v>
      </c>
      <c r="C193" s="1756"/>
      <c r="D193" s="1756"/>
      <c r="E193" s="1756"/>
      <c r="F193" s="1748">
        <v>0.05</v>
      </c>
    </row>
    <row r="194" spans="1:6" ht="24.75" thickBot="1">
      <c r="A194" s="1742" t="s">
        <v>1386</v>
      </c>
      <c r="B194" s="1746" t="s">
        <v>2107</v>
      </c>
      <c r="C194" s="1756"/>
      <c r="D194" s="1756"/>
      <c r="E194" s="1756"/>
      <c r="F194" s="1748">
        <v>0.05</v>
      </c>
    </row>
    <row r="195" spans="1:6" ht="14.25" thickBot="1">
      <c r="A195" s="1742" t="s">
        <v>1386</v>
      </c>
      <c r="B195" s="1746" t="s">
        <v>2108</v>
      </c>
      <c r="C195" s="1756"/>
      <c r="D195" s="1756"/>
      <c r="E195" s="1756"/>
      <c r="F195" s="1748">
        <v>0.05</v>
      </c>
    </row>
    <row r="196" spans="1:6" ht="24.75" thickBot="1">
      <c r="A196" s="1742" t="s">
        <v>1386</v>
      </c>
      <c r="B196" s="1746" t="s">
        <v>2109</v>
      </c>
      <c r="C196" s="1756"/>
      <c r="D196" s="1756"/>
      <c r="E196" s="1756"/>
      <c r="F196" s="1748">
        <v>0.05</v>
      </c>
    </row>
    <row r="197" spans="1:6" ht="24.75" thickBot="1">
      <c r="A197" s="1742" t="s">
        <v>1386</v>
      </c>
      <c r="B197" s="1746" t="s">
        <v>2110</v>
      </c>
      <c r="C197" s="1756"/>
      <c r="D197" s="1756"/>
      <c r="E197" s="1756"/>
      <c r="F197" s="1748">
        <v>0.05</v>
      </c>
    </row>
    <row r="198" spans="1:6" ht="24.75" thickBot="1">
      <c r="A198" s="1742" t="s">
        <v>1386</v>
      </c>
      <c r="B198" s="1746" t="s">
        <v>2111</v>
      </c>
      <c r="C198" s="1756"/>
      <c r="D198" s="1756"/>
      <c r="E198" s="1756"/>
      <c r="F198" s="1748">
        <v>0.05</v>
      </c>
    </row>
    <row r="199" spans="1:6" ht="24.75" thickBot="1">
      <c r="A199" s="1742" t="s">
        <v>1386</v>
      </c>
      <c r="B199" s="1746" t="s">
        <v>2112</v>
      </c>
      <c r="C199" s="1756"/>
      <c r="D199" s="1756"/>
      <c r="E199" s="1756"/>
      <c r="F199" s="1748">
        <v>0.05</v>
      </c>
    </row>
    <row r="200" spans="1:6" ht="24.75" thickBot="1">
      <c r="A200" s="1742" t="s">
        <v>1386</v>
      </c>
      <c r="B200" s="1746" t="s">
        <v>2113</v>
      </c>
      <c r="C200" s="1756"/>
      <c r="D200" s="1756"/>
      <c r="E200" s="1756"/>
      <c r="F200" s="1748">
        <v>0.05</v>
      </c>
    </row>
    <row r="201" spans="1:6" ht="24.75" thickBot="1">
      <c r="A201" s="1742" t="s">
        <v>1386</v>
      </c>
      <c r="B201" s="1746" t="s">
        <v>2114</v>
      </c>
      <c r="C201" s="1756"/>
      <c r="D201" s="1756"/>
      <c r="E201" s="1756"/>
      <c r="F201" s="1748">
        <v>0.05</v>
      </c>
    </row>
    <row r="202" spans="1:6" ht="24.75" thickBot="1">
      <c r="A202" s="1742" t="s">
        <v>1386</v>
      </c>
      <c r="B202" s="1746" t="s">
        <v>2115</v>
      </c>
      <c r="C202" s="1756"/>
      <c r="D202" s="1756"/>
      <c r="E202" s="1756"/>
      <c r="F202" s="1748">
        <v>0.05</v>
      </c>
    </row>
    <row r="203" spans="1:6" ht="24.75" thickBot="1">
      <c r="A203" s="1742" t="s">
        <v>1386</v>
      </c>
      <c r="B203" s="1746" t="s">
        <v>2116</v>
      </c>
      <c r="C203" s="1756"/>
      <c r="D203" s="1756"/>
      <c r="E203" s="1756"/>
      <c r="F203" s="1748">
        <v>0.05</v>
      </c>
    </row>
    <row r="204" spans="1:6" ht="14.25" thickBot="1">
      <c r="A204" s="1742" t="s">
        <v>1386</v>
      </c>
      <c r="B204" s="1746" t="s">
        <v>2117</v>
      </c>
      <c r="C204" s="1756"/>
      <c r="D204" s="1756"/>
      <c r="E204" s="1756"/>
      <c r="F204" s="1748">
        <v>0.05</v>
      </c>
    </row>
    <row r="205" spans="1:6" ht="14.25" thickBot="1">
      <c r="A205" s="1750" t="s">
        <v>1386</v>
      </c>
      <c r="B205" s="1757" t="s">
        <v>2118</v>
      </c>
      <c r="C205" s="1753"/>
      <c r="D205" s="1753"/>
      <c r="E205" s="1753"/>
      <c r="F205" s="1758">
        <v>0.05</v>
      </c>
    </row>
    <row r="206" spans="1:6" ht="14.25" thickBot="1">
      <c r="A206" s="1742" t="s">
        <v>1388</v>
      </c>
      <c r="B206" s="1743" t="s">
        <v>2119</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2120</v>
      </c>
      <c r="C210" s="1747">
        <v>0.15</v>
      </c>
      <c r="D210" s="1747">
        <v>0.15</v>
      </c>
      <c r="E210" s="1747">
        <v>0.15</v>
      </c>
      <c r="F210" s="1748">
        <v>0.13800000000000001</v>
      </c>
    </row>
    <row r="211" spans="1:6" ht="14.25" thickBot="1">
      <c r="A211" s="1742" t="s">
        <v>1388</v>
      </c>
      <c r="B211" s="1746" t="s">
        <v>2121</v>
      </c>
      <c r="C211" s="1747">
        <v>0.13700000000000001</v>
      </c>
      <c r="D211" s="1747">
        <v>0.13500000000000001</v>
      </c>
      <c r="E211" s="1747">
        <v>0.13600000000000001</v>
      </c>
      <c r="F211" s="1748">
        <v>0.1</v>
      </c>
    </row>
    <row r="212" spans="1:6" ht="14.25" thickBot="1">
      <c r="A212" s="1742" t="s">
        <v>1388</v>
      </c>
      <c r="B212" s="1746" t="s">
        <v>2122</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2123</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2124</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2125</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2126</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2127</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2128</v>
      </c>
      <c r="C231" s="1747">
        <v>0.128</v>
      </c>
      <c r="D231" s="1747">
        <v>0.125</v>
      </c>
      <c r="E231" s="1747">
        <v>0.13200000000000001</v>
      </c>
      <c r="F231" s="1755"/>
    </row>
    <row r="232" spans="1:6" ht="14.25" thickBot="1">
      <c r="A232" s="1742" t="s">
        <v>1388</v>
      </c>
      <c r="B232" s="1746" t="s">
        <v>2129</v>
      </c>
      <c r="C232" s="1747">
        <v>0.14499999999999999</v>
      </c>
      <c r="D232" s="1747">
        <v>0.14399999999999999</v>
      </c>
      <c r="E232" s="1747">
        <v>0.14599999999999999</v>
      </c>
      <c r="F232" s="1748">
        <v>0.13800000000000001</v>
      </c>
    </row>
    <row r="233" spans="1:6" ht="14.25" thickBot="1">
      <c r="A233" s="1742" t="s">
        <v>1388</v>
      </c>
      <c r="B233" s="1746" t="s">
        <v>2130</v>
      </c>
      <c r="C233" s="1747">
        <v>0.14499999999999999</v>
      </c>
      <c r="D233" s="1747">
        <v>0.14299999999999999</v>
      </c>
      <c r="E233" s="1747">
        <v>0.14199999999999999</v>
      </c>
      <c r="F233" s="1755"/>
    </row>
    <row r="234" spans="1:6" ht="14.25" thickBot="1">
      <c r="A234" s="1742" t="s">
        <v>1388</v>
      </c>
      <c r="B234" s="1746" t="s">
        <v>2131</v>
      </c>
      <c r="C234" s="1747">
        <v>0.14000000000000001</v>
      </c>
      <c r="D234" s="1747">
        <v>0.14000000000000001</v>
      </c>
      <c r="E234" s="1747">
        <v>0.14399999999999999</v>
      </c>
      <c r="F234" s="1755"/>
    </row>
    <row r="235" spans="1:6" ht="14.25" thickBot="1">
      <c r="A235" s="1742" t="s">
        <v>1388</v>
      </c>
      <c r="B235" s="1746" t="s">
        <v>2132</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2133</v>
      </c>
      <c r="C237" s="1756"/>
      <c r="D237" s="1756"/>
      <c r="E237" s="1756"/>
      <c r="F237" s="1748">
        <v>0.05</v>
      </c>
    </row>
    <row r="238" spans="1:6" ht="24.75" thickBot="1">
      <c r="A238" s="1742" t="s">
        <v>1388</v>
      </c>
      <c r="B238" s="1746" t="s">
        <v>2134</v>
      </c>
      <c r="C238" s="1756"/>
      <c r="D238" s="1756"/>
      <c r="E238" s="1756"/>
      <c r="F238" s="1748">
        <v>0.05</v>
      </c>
    </row>
    <row r="239" spans="1:6" ht="24.75" thickBot="1">
      <c r="A239" s="1742" t="s">
        <v>1388</v>
      </c>
      <c r="B239" s="1746" t="s">
        <v>2135</v>
      </c>
      <c r="C239" s="1756"/>
      <c r="D239" s="1756"/>
      <c r="E239" s="1756"/>
      <c r="F239" s="1748">
        <v>0.05</v>
      </c>
    </row>
    <row r="240" spans="1:6" ht="24.75" thickBot="1">
      <c r="A240" s="1742" t="s">
        <v>1388</v>
      </c>
      <c r="B240" s="1746" t="s">
        <v>2136</v>
      </c>
      <c r="C240" s="1756"/>
      <c r="D240" s="1756"/>
      <c r="E240" s="1756"/>
      <c r="F240" s="1748">
        <v>0.05</v>
      </c>
    </row>
    <row r="241" spans="1:6" ht="24.75" thickBot="1">
      <c r="A241" s="1742" t="s">
        <v>1388</v>
      </c>
      <c r="B241" s="1746" t="s">
        <v>2137</v>
      </c>
      <c r="C241" s="1756"/>
      <c r="D241" s="1756"/>
      <c r="E241" s="1756"/>
      <c r="F241" s="1748">
        <v>0.05</v>
      </c>
    </row>
    <row r="242" spans="1:6" ht="24.75" thickBot="1">
      <c r="A242" s="1742" t="s">
        <v>1388</v>
      </c>
      <c r="B242" s="1746" t="s">
        <v>2138</v>
      </c>
      <c r="C242" s="1756"/>
      <c r="D242" s="1756"/>
      <c r="E242" s="1756"/>
      <c r="F242" s="1748">
        <v>0.05</v>
      </c>
    </row>
    <row r="243" spans="1:6" ht="24.75" thickBot="1">
      <c r="A243" s="1742" t="s">
        <v>1388</v>
      </c>
      <c r="B243" s="1746" t="s">
        <v>2139</v>
      </c>
      <c r="C243" s="1756"/>
      <c r="D243" s="1756"/>
      <c r="E243" s="1756"/>
      <c r="F243" s="1748">
        <v>0.05</v>
      </c>
    </row>
    <row r="244" spans="1:6" ht="24.75" thickBot="1">
      <c r="A244" s="1750" t="s">
        <v>1388</v>
      </c>
      <c r="B244" s="1757" t="s">
        <v>2140</v>
      </c>
      <c r="C244" s="1753"/>
      <c r="D244" s="1753"/>
      <c r="E244" s="1753"/>
      <c r="F244" s="1758">
        <v>0.05</v>
      </c>
    </row>
    <row r="245" spans="1:6" ht="14.25" thickBot="1">
      <c r="A245" s="1742" t="s">
        <v>1390</v>
      </c>
      <c r="B245" s="1743" t="s">
        <v>2141</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2142</v>
      </c>
      <c r="C247" s="1747">
        <v>0.15</v>
      </c>
      <c r="D247" s="1747">
        <v>0.15</v>
      </c>
      <c r="E247" s="1747">
        <v>0.15</v>
      </c>
      <c r="F247" s="1748">
        <v>0.15</v>
      </c>
    </row>
    <row r="248" spans="1:6" ht="14.25" thickBot="1">
      <c r="A248" s="1742" t="s">
        <v>1390</v>
      </c>
      <c r="B248" s="1746" t="s">
        <v>2143</v>
      </c>
      <c r="C248" s="1747">
        <v>0.15</v>
      </c>
      <c r="D248" s="1747">
        <v>0.15</v>
      </c>
      <c r="E248" s="1747">
        <v>0.15</v>
      </c>
      <c r="F248" s="1748">
        <v>0.14000000000000001</v>
      </c>
    </row>
    <row r="249" spans="1:6" ht="14.25" thickBot="1">
      <c r="A249" s="1742" t="s">
        <v>1390</v>
      </c>
      <c r="B249" s="1746" t="s">
        <v>2144</v>
      </c>
      <c r="C249" s="1747">
        <v>0.15</v>
      </c>
      <c r="D249" s="1747">
        <v>0.14899999999999999</v>
      </c>
      <c r="E249" s="1747">
        <v>0.15</v>
      </c>
      <c r="F249" s="1748">
        <v>0.1</v>
      </c>
    </row>
    <row r="250" spans="1:6" ht="14.25" thickBot="1">
      <c r="A250" s="1742" t="s">
        <v>1390</v>
      </c>
      <c r="B250" s="1746" t="s">
        <v>2145</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2146</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2147</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2148</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2149</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2150</v>
      </c>
      <c r="C273" s="1747">
        <v>0.14199999999999999</v>
      </c>
      <c r="D273" s="1747">
        <v>0.14299999999999999</v>
      </c>
      <c r="E273" s="1747">
        <v>0.15</v>
      </c>
      <c r="F273" s="1748">
        <v>0.1</v>
      </c>
    </row>
    <row r="274" spans="1:6" ht="14.25" thickBot="1">
      <c r="A274" s="1742" t="s">
        <v>1390</v>
      </c>
      <c r="B274" s="1746" t="s">
        <v>2151</v>
      </c>
      <c r="C274" s="1747">
        <v>0.14799999999999999</v>
      </c>
      <c r="D274" s="1747">
        <v>0.14799999999999999</v>
      </c>
      <c r="E274" s="1747">
        <v>0.15</v>
      </c>
      <c r="F274" s="1748">
        <v>6.7000000000000004E-2</v>
      </c>
    </row>
    <row r="275" spans="1:6" ht="14.25" thickBot="1">
      <c r="A275" s="1742" t="s">
        <v>1390</v>
      </c>
      <c r="B275" s="1746" t="s">
        <v>2152</v>
      </c>
      <c r="C275" s="1747">
        <v>0.15</v>
      </c>
      <c r="D275" s="1747">
        <v>0.15</v>
      </c>
      <c r="E275" s="1747">
        <v>0.15</v>
      </c>
      <c r="F275" s="1748">
        <v>0.15</v>
      </c>
    </row>
    <row r="276" spans="1:6" ht="14.25" thickBot="1">
      <c r="A276" s="1742" t="s">
        <v>1390</v>
      </c>
      <c r="B276" s="1746" t="s">
        <v>2153</v>
      </c>
      <c r="C276" s="1747">
        <v>0.14499999999999999</v>
      </c>
      <c r="D276" s="1747">
        <v>0.14299999999999999</v>
      </c>
      <c r="E276" s="1747">
        <v>0.15</v>
      </c>
      <c r="F276" s="1748">
        <v>5.8999999999999997E-2</v>
      </c>
    </row>
    <row r="277" spans="1:6" ht="14.25" thickBot="1">
      <c r="A277" s="1742" t="s">
        <v>1390</v>
      </c>
      <c r="B277" s="1746" t="s">
        <v>2154</v>
      </c>
      <c r="C277" s="1747">
        <v>0.15</v>
      </c>
      <c r="D277" s="1747">
        <v>0.15</v>
      </c>
      <c r="E277" s="1747">
        <v>0.15</v>
      </c>
      <c r="F277" s="1748">
        <v>0.121</v>
      </c>
    </row>
    <row r="278" spans="1:6" ht="14.25" thickBot="1">
      <c r="A278" s="1742" t="s">
        <v>1390</v>
      </c>
      <c r="B278" s="1746" t="s">
        <v>2155</v>
      </c>
      <c r="C278" s="1747">
        <v>0.15</v>
      </c>
      <c r="D278" s="1747">
        <v>0.15</v>
      </c>
      <c r="E278" s="1747">
        <v>0.15</v>
      </c>
      <c r="F278" s="1748">
        <v>0.13800000000000001</v>
      </c>
    </row>
    <row r="279" spans="1:6" ht="24.75" thickBot="1">
      <c r="A279" s="1742" t="s">
        <v>1390</v>
      </c>
      <c r="B279" s="1746" t="s">
        <v>2156</v>
      </c>
      <c r="C279" s="1756"/>
      <c r="D279" s="1756"/>
      <c r="E279" s="1756"/>
      <c r="F279" s="1748">
        <v>0.05</v>
      </c>
    </row>
    <row r="280" spans="1:6" ht="24.75" thickBot="1">
      <c r="A280" s="1742" t="s">
        <v>1390</v>
      </c>
      <c r="B280" s="1746" t="s">
        <v>2157</v>
      </c>
      <c r="C280" s="1756"/>
      <c r="D280" s="1756"/>
      <c r="E280" s="1756"/>
      <c r="F280" s="1748">
        <v>0.05</v>
      </c>
    </row>
    <row r="281" spans="1:6" ht="24.75" thickBot="1">
      <c r="A281" s="1742" t="s">
        <v>1390</v>
      </c>
      <c r="B281" s="1746" t="s">
        <v>2158</v>
      </c>
      <c r="C281" s="1756"/>
      <c r="D281" s="1756"/>
      <c r="E281" s="1756"/>
      <c r="F281" s="1748">
        <v>0.05</v>
      </c>
    </row>
    <row r="282" spans="1:6" ht="24.75" thickBot="1">
      <c r="A282" s="1742" t="s">
        <v>1390</v>
      </c>
      <c r="B282" s="1746" t="s">
        <v>2159</v>
      </c>
      <c r="C282" s="1756"/>
      <c r="D282" s="1756"/>
      <c r="E282" s="1756"/>
      <c r="F282" s="1748">
        <v>0.05</v>
      </c>
    </row>
    <row r="283" spans="1:6" ht="24.75" thickBot="1">
      <c r="A283" s="1742" t="s">
        <v>1390</v>
      </c>
      <c r="B283" s="1746" t="s">
        <v>2160</v>
      </c>
      <c r="C283" s="1756"/>
      <c r="D283" s="1756"/>
      <c r="E283" s="1756"/>
      <c r="F283" s="1748">
        <v>0.05</v>
      </c>
    </row>
    <row r="284" spans="1:6" ht="24.75" thickBot="1">
      <c r="A284" s="1742" t="s">
        <v>1390</v>
      </c>
      <c r="B284" s="1746" t="s">
        <v>2161</v>
      </c>
      <c r="C284" s="1756"/>
      <c r="D284" s="1756"/>
      <c r="E284" s="1756"/>
      <c r="F284" s="1748">
        <v>0.05</v>
      </c>
    </row>
    <row r="285" spans="1:6" ht="24.75" thickBot="1">
      <c r="A285" s="1742" t="s">
        <v>1390</v>
      </c>
      <c r="B285" s="1746" t="s">
        <v>2162</v>
      </c>
      <c r="C285" s="1756"/>
      <c r="D285" s="1756"/>
      <c r="E285" s="1756"/>
      <c r="F285" s="1748">
        <v>0.05</v>
      </c>
    </row>
    <row r="286" spans="1:6" ht="24.75" thickBot="1">
      <c r="A286" s="1742" t="s">
        <v>1390</v>
      </c>
      <c r="B286" s="1746" t="s">
        <v>2163</v>
      </c>
      <c r="C286" s="1756"/>
      <c r="D286" s="1756"/>
      <c r="E286" s="1756"/>
      <c r="F286" s="1748">
        <v>0.05</v>
      </c>
    </row>
    <row r="287" spans="1:6" ht="24.75" thickBot="1">
      <c r="A287" s="1742" t="s">
        <v>1390</v>
      </c>
      <c r="B287" s="1746" t="s">
        <v>2164</v>
      </c>
      <c r="C287" s="1756"/>
      <c r="D287" s="1756"/>
      <c r="E287" s="1756"/>
      <c r="F287" s="1748">
        <v>0.05</v>
      </c>
    </row>
    <row r="288" spans="1:6" ht="24.75" thickBot="1">
      <c r="A288" s="1742" t="s">
        <v>1390</v>
      </c>
      <c r="B288" s="1746" t="s">
        <v>2165</v>
      </c>
      <c r="C288" s="1756"/>
      <c r="D288" s="1756"/>
      <c r="E288" s="1756"/>
      <c r="F288" s="1748">
        <v>0.05</v>
      </c>
    </row>
    <row r="289" spans="1:6" ht="24.75" thickBot="1">
      <c r="A289" s="1750" t="s">
        <v>1390</v>
      </c>
      <c r="B289" s="1757" t="s">
        <v>2166</v>
      </c>
      <c r="C289" s="1753"/>
      <c r="D289" s="1753"/>
      <c r="E289" s="1753"/>
      <c r="F289" s="1758">
        <v>0.05</v>
      </c>
    </row>
    <row r="290" spans="1:6" ht="14.25" thickBot="1">
      <c r="A290" s="1742" t="s">
        <v>1394</v>
      </c>
      <c r="B290" s="1743" t="s">
        <v>2167</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2168</v>
      </c>
      <c r="C292" s="1747">
        <v>0.15</v>
      </c>
      <c r="D292" s="1747">
        <v>0.15</v>
      </c>
      <c r="E292" s="1747">
        <v>0.15</v>
      </c>
      <c r="F292" s="1748">
        <v>0.14699999999999999</v>
      </c>
    </row>
    <row r="293" spans="1:6" ht="14.25" thickBot="1">
      <c r="A293" s="1742" t="s">
        <v>1394</v>
      </c>
      <c r="B293" s="1746" t="s">
        <v>2169</v>
      </c>
      <c r="C293" s="1756"/>
      <c r="D293" s="1756"/>
      <c r="E293" s="1756"/>
      <c r="F293" s="1748">
        <v>0.1</v>
      </c>
    </row>
    <row r="294" spans="1:6" ht="14.25" thickBot="1">
      <c r="A294" s="1742" t="s">
        <v>1394</v>
      </c>
      <c r="B294" s="1746" t="s">
        <v>2170</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2171</v>
      </c>
      <c r="C296" s="1747">
        <v>0.15</v>
      </c>
      <c r="D296" s="1747">
        <v>0.15</v>
      </c>
      <c r="E296" s="1747">
        <v>0.15</v>
      </c>
      <c r="F296" s="1748">
        <v>0.15</v>
      </c>
    </row>
    <row r="297" spans="1:6" ht="14.25" thickBot="1">
      <c r="A297" s="1742" t="s">
        <v>1394</v>
      </c>
      <c r="B297" s="1746" t="s">
        <v>2172</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2173</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2174</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2175</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2176</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2177</v>
      </c>
      <c r="C310" s="1747">
        <v>0.15</v>
      </c>
      <c r="D310" s="1747">
        <v>0.15</v>
      </c>
      <c r="E310" s="1747">
        <v>0.15</v>
      </c>
      <c r="F310" s="1748">
        <v>0.13700000000000001</v>
      </c>
    </row>
    <row r="311" spans="1:6" ht="14.25" thickBot="1">
      <c r="A311" s="1742" t="s">
        <v>1394</v>
      </c>
      <c r="B311" s="1746" t="s">
        <v>2178</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2179</v>
      </c>
      <c r="C313" s="1747">
        <v>0.15</v>
      </c>
      <c r="D313" s="1747">
        <v>0.15</v>
      </c>
      <c r="E313" s="1747">
        <v>0.15</v>
      </c>
      <c r="F313" s="1748">
        <v>0.15</v>
      </c>
    </row>
    <row r="314" spans="1:6" ht="24.75" thickBot="1">
      <c r="A314" s="1742" t="s">
        <v>1394</v>
      </c>
      <c r="B314" s="1746" t="s">
        <v>2180</v>
      </c>
      <c r="C314" s="1756"/>
      <c r="D314" s="1756"/>
      <c r="E314" s="1756"/>
      <c r="F314" s="1748">
        <v>0.05</v>
      </c>
    </row>
    <row r="315" spans="1:6" ht="24.75" thickBot="1">
      <c r="A315" s="1742" t="s">
        <v>1394</v>
      </c>
      <c r="B315" s="1746" t="s">
        <v>2181</v>
      </c>
      <c r="C315" s="1756"/>
      <c r="D315" s="1756"/>
      <c r="E315" s="1756"/>
      <c r="F315" s="1748">
        <v>0.05</v>
      </c>
    </row>
    <row r="316" spans="1:6" ht="24.75" thickBot="1">
      <c r="A316" s="1750" t="s">
        <v>1394</v>
      </c>
      <c r="B316" s="1757" t="s">
        <v>2182</v>
      </c>
      <c r="C316" s="1753"/>
      <c r="D316" s="1753"/>
      <c r="E316" s="1753"/>
      <c r="F316" s="1758">
        <v>0.05</v>
      </c>
    </row>
    <row r="317" spans="1:6" ht="14.25" thickBot="1">
      <c r="A317" s="1742" t="s">
        <v>2183</v>
      </c>
      <c r="B317" s="1743" t="s">
        <v>2184</v>
      </c>
      <c r="C317" s="1744">
        <v>0.15</v>
      </c>
      <c r="D317" s="1744">
        <v>0.15</v>
      </c>
      <c r="E317" s="1744">
        <v>0.15</v>
      </c>
      <c r="F317" s="1745">
        <v>0.15</v>
      </c>
    </row>
    <row r="318" spans="1:6" ht="14.25" thickBot="1">
      <c r="A318" s="1742" t="s">
        <v>2183</v>
      </c>
      <c r="B318" s="1746" t="s">
        <v>2185</v>
      </c>
      <c r="C318" s="1747">
        <v>0.107</v>
      </c>
      <c r="D318" s="1747">
        <v>0.11</v>
      </c>
      <c r="E318" s="1747">
        <v>0.112</v>
      </c>
      <c r="F318" s="1755"/>
    </row>
    <row r="319" spans="1:6" ht="14.25" thickBot="1">
      <c r="A319" s="1742" t="s">
        <v>2183</v>
      </c>
      <c r="B319" s="1746" t="s">
        <v>2186</v>
      </c>
      <c r="C319" s="1747">
        <v>0.15</v>
      </c>
      <c r="D319" s="1747">
        <v>0.15</v>
      </c>
      <c r="E319" s="1747">
        <v>0.15</v>
      </c>
      <c r="F319" s="1748">
        <v>0.15</v>
      </c>
    </row>
    <row r="320" spans="1:6" ht="14.25" thickBot="1">
      <c r="A320" s="1742" t="s">
        <v>2183</v>
      </c>
      <c r="B320" s="1746" t="s">
        <v>1082</v>
      </c>
      <c r="C320" s="1747">
        <v>0.15</v>
      </c>
      <c r="D320" s="1747">
        <v>0.15</v>
      </c>
      <c r="E320" s="1747">
        <v>0.15</v>
      </c>
      <c r="F320" s="1755"/>
    </row>
    <row r="321" spans="1:6" ht="14.25" thickBot="1">
      <c r="A321" s="1742" t="s">
        <v>2183</v>
      </c>
      <c r="B321" s="1746" t="s">
        <v>2187</v>
      </c>
      <c r="C321" s="1747">
        <v>0.15</v>
      </c>
      <c r="D321" s="1747">
        <v>0.15</v>
      </c>
      <c r="E321" s="1747">
        <v>0.15</v>
      </c>
      <c r="F321" s="1755"/>
    </row>
    <row r="322" spans="1:6" ht="14.25" thickBot="1">
      <c r="A322" s="1742" t="s">
        <v>2183</v>
      </c>
      <c r="B322" s="1746" t="s">
        <v>2188</v>
      </c>
      <c r="C322" s="1747">
        <v>0.15</v>
      </c>
      <c r="D322" s="1747">
        <v>0.15</v>
      </c>
      <c r="E322" s="1747">
        <v>0.15</v>
      </c>
      <c r="F322" s="1748">
        <v>0.15</v>
      </c>
    </row>
    <row r="323" spans="1:6" ht="14.25" thickBot="1">
      <c r="A323" s="1742" t="s">
        <v>2183</v>
      </c>
      <c r="B323" s="1746" t="s">
        <v>2189</v>
      </c>
      <c r="C323" s="1747">
        <v>0.15</v>
      </c>
      <c r="D323" s="1747">
        <v>0.15</v>
      </c>
      <c r="E323" s="1747">
        <v>0.15</v>
      </c>
      <c r="F323" s="1755"/>
    </row>
    <row r="324" spans="1:6" ht="14.25" thickBot="1">
      <c r="A324" s="1742" t="s">
        <v>2183</v>
      </c>
      <c r="B324" s="1746" t="s">
        <v>2190</v>
      </c>
      <c r="C324" s="1747">
        <v>0.15</v>
      </c>
      <c r="D324" s="1747">
        <v>0.15</v>
      </c>
      <c r="E324" s="1747">
        <v>0.15</v>
      </c>
      <c r="F324" s="1755"/>
    </row>
    <row r="325" spans="1:6" ht="14.25" thickBot="1">
      <c r="A325" s="1742" t="s">
        <v>2183</v>
      </c>
      <c r="B325" s="1746" t="s">
        <v>2191</v>
      </c>
      <c r="C325" s="1747">
        <v>0.15</v>
      </c>
      <c r="D325" s="1747">
        <v>0.15</v>
      </c>
      <c r="E325" s="1747">
        <v>0.15</v>
      </c>
      <c r="F325" s="1748">
        <v>0.14699999999999999</v>
      </c>
    </row>
    <row r="326" spans="1:6" ht="14.25" thickBot="1">
      <c r="A326" s="1742" t="s">
        <v>2183</v>
      </c>
      <c r="B326" s="1746" t="s">
        <v>1151</v>
      </c>
      <c r="C326" s="1747">
        <v>0.15</v>
      </c>
      <c r="D326" s="1747">
        <v>0.15</v>
      </c>
      <c r="E326" s="1747">
        <v>0.15</v>
      </c>
      <c r="F326" s="1755"/>
    </row>
    <row r="327" spans="1:6" ht="14.25" thickBot="1">
      <c r="A327" s="1742" t="s">
        <v>2183</v>
      </c>
      <c r="B327" s="1746" t="s">
        <v>2192</v>
      </c>
      <c r="C327" s="1747">
        <v>0.15</v>
      </c>
      <c r="D327" s="1747">
        <v>0.15</v>
      </c>
      <c r="E327" s="1747">
        <v>0.15</v>
      </c>
      <c r="F327" s="1748">
        <v>0.15</v>
      </c>
    </row>
    <row r="328" spans="1:6" ht="14.25" thickBot="1">
      <c r="A328" s="1742" t="s">
        <v>2183</v>
      </c>
      <c r="B328" s="1746" t="s">
        <v>1171</v>
      </c>
      <c r="C328" s="1747">
        <v>0.15</v>
      </c>
      <c r="D328" s="1747">
        <v>0.15</v>
      </c>
      <c r="E328" s="1747">
        <v>0.15</v>
      </c>
      <c r="F328" s="1748">
        <v>0.14099999999999999</v>
      </c>
    </row>
    <row r="329" spans="1:6" ht="14.25" thickBot="1">
      <c r="A329" s="1742" t="s">
        <v>2183</v>
      </c>
      <c r="B329" s="1746" t="s">
        <v>1181</v>
      </c>
      <c r="C329" s="1747">
        <v>0.15</v>
      </c>
      <c r="D329" s="1747">
        <v>0.15</v>
      </c>
      <c r="E329" s="1747">
        <v>0.15</v>
      </c>
      <c r="F329" s="1748">
        <v>0.15</v>
      </c>
    </row>
    <row r="330" spans="1:6" ht="14.25" thickBot="1">
      <c r="A330" s="1742" t="s">
        <v>2183</v>
      </c>
      <c r="B330" s="1746" t="s">
        <v>1191</v>
      </c>
      <c r="C330" s="1747">
        <v>0.15</v>
      </c>
      <c r="D330" s="1747">
        <v>0.15</v>
      </c>
      <c r="E330" s="1747">
        <v>0.15</v>
      </c>
      <c r="F330" s="1755"/>
    </row>
    <row r="331" spans="1:6" ht="14.25" thickBot="1">
      <c r="A331" s="1742" t="s">
        <v>2183</v>
      </c>
      <c r="B331" s="1746" t="s">
        <v>2193</v>
      </c>
      <c r="C331" s="1747">
        <v>0.15</v>
      </c>
      <c r="D331" s="1747">
        <v>0.15</v>
      </c>
      <c r="E331" s="1747">
        <v>0.15</v>
      </c>
      <c r="F331" s="1748">
        <v>0.15</v>
      </c>
    </row>
    <row r="332" spans="1:6" ht="14.25" thickBot="1">
      <c r="A332" s="1742" t="s">
        <v>2183</v>
      </c>
      <c r="B332" s="1746" t="s">
        <v>1211</v>
      </c>
      <c r="C332" s="1747">
        <v>0.15</v>
      </c>
      <c r="D332" s="1747">
        <v>0.15</v>
      </c>
      <c r="E332" s="1747">
        <v>0.15</v>
      </c>
      <c r="F332" s="1748">
        <v>0.15</v>
      </c>
    </row>
    <row r="333" spans="1:6" ht="14.25" thickBot="1">
      <c r="A333" s="1742" t="s">
        <v>2183</v>
      </c>
      <c r="B333" s="1746" t="s">
        <v>2194</v>
      </c>
      <c r="C333" s="1747">
        <v>0.15</v>
      </c>
      <c r="D333" s="1747">
        <v>0.15</v>
      </c>
      <c r="E333" s="1747">
        <v>0.15</v>
      </c>
      <c r="F333" s="1748">
        <v>0.14099999999999999</v>
      </c>
    </row>
    <row r="334" spans="1:6" ht="14.25" thickBot="1">
      <c r="A334" s="1742" t="s">
        <v>2183</v>
      </c>
      <c r="B334" s="1746" t="s">
        <v>1231</v>
      </c>
      <c r="C334" s="1747">
        <v>0.15</v>
      </c>
      <c r="D334" s="1747">
        <v>0.15</v>
      </c>
      <c r="E334" s="1747">
        <v>0.15</v>
      </c>
      <c r="F334" s="1748">
        <v>0.15</v>
      </c>
    </row>
    <row r="335" spans="1:6" ht="14.25" thickBot="1">
      <c r="A335" s="1742" t="s">
        <v>2183</v>
      </c>
      <c r="B335" s="1746" t="s">
        <v>1241</v>
      </c>
      <c r="C335" s="1747">
        <v>0.15</v>
      </c>
      <c r="D335" s="1747">
        <v>0.15</v>
      </c>
      <c r="E335" s="1747">
        <v>0.15</v>
      </c>
      <c r="F335" s="1755"/>
    </row>
    <row r="336" spans="1:6" ht="14.25" thickBot="1">
      <c r="A336" s="1742" t="s">
        <v>2183</v>
      </c>
      <c r="B336" s="1746" t="s">
        <v>2195</v>
      </c>
      <c r="C336" s="1747">
        <v>0.15</v>
      </c>
      <c r="D336" s="1747">
        <v>0.15</v>
      </c>
      <c r="E336" s="1747">
        <v>0.15</v>
      </c>
      <c r="F336" s="1748">
        <v>0.11799999999999999</v>
      </c>
    </row>
    <row r="337" spans="1:6" ht="14.25" thickBot="1">
      <c r="A337" s="1750" t="s">
        <v>2183</v>
      </c>
      <c r="B337" s="1757" t="s">
        <v>1259</v>
      </c>
      <c r="C337" s="1753"/>
      <c r="D337" s="1753"/>
      <c r="E337" s="1753"/>
      <c r="F337" s="1758">
        <v>0.14299999999999999</v>
      </c>
    </row>
    <row r="338" spans="1:6" ht="14.25" thickBot="1">
      <c r="A338" s="1742" t="s">
        <v>2196</v>
      </c>
      <c r="B338" s="1743" t="s">
        <v>2197</v>
      </c>
      <c r="C338" s="1744">
        <v>0.15</v>
      </c>
      <c r="D338" s="1744">
        <v>0.15</v>
      </c>
      <c r="E338" s="1744">
        <v>0.15</v>
      </c>
      <c r="F338" s="1766"/>
    </row>
    <row r="339" spans="1:6" ht="14.25" thickBot="1">
      <c r="A339" s="1742" t="s">
        <v>2196</v>
      </c>
      <c r="B339" s="1746" t="s">
        <v>2198</v>
      </c>
      <c r="C339" s="1747">
        <v>0.15</v>
      </c>
      <c r="D339" s="1747">
        <v>0.15</v>
      </c>
      <c r="E339" s="1747">
        <v>0.15</v>
      </c>
      <c r="F339" s="1755"/>
    </row>
    <row r="340" spans="1:6" ht="14.25" thickBot="1">
      <c r="A340" s="1742" t="s">
        <v>2196</v>
      </c>
      <c r="B340" s="1746" t="s">
        <v>2199</v>
      </c>
      <c r="C340" s="1747">
        <v>0.15</v>
      </c>
      <c r="D340" s="1747">
        <v>0.15</v>
      </c>
      <c r="E340" s="1747">
        <v>0.15</v>
      </c>
      <c r="F340" s="1755"/>
    </row>
    <row r="341" spans="1:6" ht="14.25" thickBot="1">
      <c r="A341" s="1742" t="s">
        <v>2200</v>
      </c>
      <c r="B341" s="1746" t="s">
        <v>2201</v>
      </c>
      <c r="C341" s="1747">
        <v>0.15</v>
      </c>
      <c r="D341" s="1747">
        <v>0.15</v>
      </c>
      <c r="E341" s="1747">
        <v>0.15</v>
      </c>
      <c r="F341" s="1748">
        <v>0.15</v>
      </c>
    </row>
    <row r="342" spans="1:6" ht="14.25" thickBot="1">
      <c r="A342" s="1742" t="s">
        <v>2196</v>
      </c>
      <c r="B342" s="1746" t="s">
        <v>2202</v>
      </c>
      <c r="C342" s="1747">
        <v>0.15</v>
      </c>
      <c r="D342" s="1747">
        <v>0.15</v>
      </c>
      <c r="E342" s="1747">
        <v>0.15</v>
      </c>
      <c r="F342" s="1748">
        <v>0.15</v>
      </c>
    </row>
    <row r="343" spans="1:6" ht="14.25" thickBot="1">
      <c r="A343" s="1742" t="s">
        <v>2196</v>
      </c>
      <c r="B343" s="1746" t="s">
        <v>2203</v>
      </c>
      <c r="C343" s="1747">
        <v>0.15</v>
      </c>
      <c r="D343" s="1747">
        <v>0.15</v>
      </c>
      <c r="E343" s="1747">
        <v>0.15</v>
      </c>
      <c r="F343" s="1748">
        <v>0.15</v>
      </c>
    </row>
    <row r="344" spans="1:6" ht="14.2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F2B78-D82D-4FCE-BB0B-3A793B49038E}">
  <sheetPr>
    <tabColor rgb="FF92D050"/>
  </sheetPr>
  <dimension ref="A1:AR118"/>
  <sheetViews>
    <sheetView tabSelected="1" view="pageBreakPreview" zoomScale="80" zoomScaleNormal="60" zoomScaleSheetLayoutView="80" workbookViewId="0">
      <selection activeCell="C29" sqref="C29"/>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966</v>
      </c>
      <c r="D1" s="1435">
        <f>SUM(D29:D30,D33:D39)</f>
        <v>8950.7250000000022</v>
      </c>
      <c r="E1" s="1329" t="s">
        <v>2389</v>
      </c>
      <c r="F1" s="2278">
        <f>'数据-基础表'!A3</f>
        <v>3580.2900000000009</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75">
      <c r="A2" s="1329" t="s">
        <v>895</v>
      </c>
      <c r="B2" s="1007">
        <f ca="1">C26</f>
        <v>10161</v>
      </c>
      <c r="C2" s="1330" t="s">
        <v>896</v>
      </c>
      <c r="D2" s="1331" t="s">
        <v>873</v>
      </c>
      <c r="E2" s="1332" t="s">
        <v>3126</v>
      </c>
      <c r="F2" s="1331" t="s">
        <v>874</v>
      </c>
      <c r="G2" s="1554" t="str">
        <f>IF(E2="商业",项目基本情况!B43,IF(E2="办公",项目基本情况!C43,IF(E2="住宅",项目基本情况!D43,项目基本情况!E43)))</f>
        <v>六级</v>
      </c>
      <c r="H2" s="1331" t="s">
        <v>901</v>
      </c>
      <c r="I2" s="1555" t="str">
        <f>IF(E2="商业",项目基本情况!B44,IF(E2="办公",项目基本情况!C44,IF(E2="住宅",项目基本情况!D44,项目基本情况!E44)))</f>
        <v>Ⅵ-02</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21147</v>
      </c>
      <c r="U2" s="2611"/>
      <c r="V2" s="2622">
        <f ca="1">ROUND(T2*U2/10000,0)</f>
        <v>0</v>
      </c>
      <c r="W2" s="2041"/>
      <c r="X2" s="2041"/>
      <c r="Y2" s="2041"/>
      <c r="Z2" s="2041"/>
      <c r="AA2" s="2041"/>
      <c r="AB2" s="2041"/>
      <c r="AC2" s="2042"/>
    </row>
    <row r="3" spans="1:39" ht="15.75">
      <c r="A3" s="1334" t="s">
        <v>1662</v>
      </c>
      <c r="B3" s="1007">
        <f ca="1">ROUND(B2*10000/D1,0)</f>
        <v>11352</v>
      </c>
      <c r="C3" s="1330" t="s">
        <v>902</v>
      </c>
      <c r="D3" s="1331" t="s">
        <v>903</v>
      </c>
      <c r="E3" s="1335" t="s">
        <v>3136</v>
      </c>
      <c r="F3" s="1336" t="s">
        <v>3135</v>
      </c>
      <c r="G3" s="1008">
        <f>IF(F3="宗地容积率",'数据-汇总表'!I4,IF(F3="估价对象容积率",'数据-汇总表'!I6,'数据-汇总表'!I7))</f>
        <v>2.5</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15180</v>
      </c>
      <c r="U3" s="2611"/>
      <c r="V3" s="2622">
        <f t="shared" ref="V3:V16" ca="1" si="1">ROUND(T3*U3/10000,0)</f>
        <v>0</v>
      </c>
      <c r="W3" s="2041"/>
      <c r="X3" s="2041"/>
      <c r="Y3" s="2041"/>
      <c r="Z3" s="2041"/>
      <c r="AA3" s="2041"/>
      <c r="AB3" s="2041"/>
      <c r="AC3" s="2042"/>
    </row>
    <row r="4" spans="1:39" ht="28.5">
      <c r="A4" s="1778" t="s">
        <v>2246</v>
      </c>
      <c r="B4" s="2279">
        <f ca="1">ROUND(B2*10000/F1,0)</f>
        <v>28380</v>
      </c>
      <c r="C4" s="1781" t="s">
        <v>2221</v>
      </c>
      <c r="D4" s="1781">
        <f ca="1">ROUND(B2/(F1/666.67),0)</f>
        <v>1892</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12246</v>
      </c>
      <c r="U4" s="2611"/>
      <c r="V4" s="2622">
        <f t="shared" ca="1" si="1"/>
        <v>0</v>
      </c>
      <c r="W4" s="2041"/>
      <c r="X4" s="2041"/>
      <c r="Y4" s="2041"/>
      <c r="Z4" s="2041"/>
      <c r="AA4" s="2041"/>
      <c r="AB4" s="2041"/>
      <c r="AC4" s="2042"/>
    </row>
    <row r="5" spans="1:39" s="1344" customFormat="1" ht="15.75" thickBot="1">
      <c r="A5" s="1540" t="s">
        <v>1798</v>
      </c>
      <c r="B5" s="1338" t="s">
        <v>906</v>
      </c>
      <c r="C5" s="1010">
        <v>8130</v>
      </c>
      <c r="D5" s="2759">
        <f>ROUND(C6+C16,0)</f>
        <v>10090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9826</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 （低限）'!G2,M1:M12)</f>
        <v>10090</v>
      </c>
      <c r="D6" s="1346" t="s">
        <v>1670</v>
      </c>
      <c r="E6" s="1347"/>
      <c r="F6" s="1347"/>
      <c r="G6" s="1348"/>
      <c r="H6" s="1348"/>
      <c r="I6" s="1348"/>
      <c r="J6" s="1349"/>
      <c r="K6" s="3200"/>
      <c r="L6" s="1772" t="s">
        <v>2210</v>
      </c>
      <c r="M6" s="1773">
        <f>SUMPRODUCT((区片价!B110:B157=I2)*(区片价!C3:F3=E2)*(区片价!C110:F157))</f>
        <v>10090</v>
      </c>
      <c r="N6" s="1774">
        <f>SUMPRODUCT((因素修正幅度!B110:B157=I2)*(因素修正幅度!C3:F3=E2)*(因素修正幅度!C110:F157))</f>
        <v>0.11</v>
      </c>
      <c r="O6" s="3200"/>
      <c r="P6" s="3203"/>
      <c r="Q6" s="2041"/>
      <c r="R6" s="2622">
        <v>5</v>
      </c>
      <c r="S6" s="2622">
        <f>ROUND(IF(G3&gt;1,IF(R6&lt;7,SUMPRODUCT((B93:B98=R6)*(C92:N92=G2)*(C93:N98)),SUMIF(C92:N92,G2,C100:N100)),IF(R6&lt;7,SUMPRODUCT((B102:B107=R6)*(C92:N92=G2)*(C102:N107)),SUMIF(C92:N92,G2,C109:N109))),4)</f>
        <v>0.73709999999999998</v>
      </c>
      <c r="T6" s="2622">
        <f t="shared" ca="1" si="0"/>
        <v>8367</v>
      </c>
      <c r="U6" s="2611"/>
      <c r="V6" s="2622">
        <f t="shared" ca="1" si="1"/>
        <v>0</v>
      </c>
      <c r="W6" s="2041"/>
      <c r="X6" s="2041"/>
      <c r="Y6" s="2041"/>
      <c r="Z6" s="2041"/>
      <c r="AA6" s="2041"/>
      <c r="AB6" s="2041"/>
      <c r="AC6" s="2043"/>
      <c r="AD6" s="1342"/>
      <c r="AE6" s="1342"/>
      <c r="AF6" s="1342"/>
      <c r="AG6" s="1342"/>
      <c r="AH6" s="1342"/>
      <c r="AI6" s="1342"/>
      <c r="AJ6" s="1343"/>
    </row>
    <row r="7" spans="1:39" ht="24">
      <c r="A7" s="4345" t="str">
        <f>IF(E2="商业",IF(C8="不临58条商业街","",2),"")</f>
        <v/>
      </c>
      <c r="B7" s="1350" t="s">
        <v>907</v>
      </c>
      <c r="C7" s="1012">
        <f>IF(C8="不临58条商业街",1,ROUND(1+(1.6*E8+1.2*E9+0.8*E10+0.4*E11)*C9,4))</f>
        <v>1</v>
      </c>
      <c r="D7" s="1351" t="s">
        <v>908</v>
      </c>
      <c r="E7" s="1013"/>
      <c r="F7" s="1352"/>
      <c r="G7" s="1353"/>
      <c r="H7" s="1353"/>
      <c r="I7" s="1353"/>
      <c r="J7" s="1354"/>
      <c r="K7" s="3200"/>
      <c r="L7" s="1772" t="s">
        <v>2211</v>
      </c>
      <c r="M7" s="1773">
        <f>SUMPRODUCT((区片价!B158:B205=I2)*(区片价!C3:F3=E2)*(区片价!C158:F205))</f>
        <v>0</v>
      </c>
      <c r="N7" s="1774">
        <f>SUMPRODUCT((因素修正幅度!B158:B205=I2)*(因素修正幅度!C3:F3=E2)*(因素修正幅度!C158:F205))</f>
        <v>0</v>
      </c>
      <c r="O7" s="3200"/>
      <c r="P7" s="3203"/>
      <c r="Q7" s="2041"/>
      <c r="R7" s="2622">
        <v>6</v>
      </c>
      <c r="S7" s="2622">
        <f>ROUND(IF(G3&gt;1,IF(R7&lt;7,SUMPRODUCT((B93:B98=R7)*(C92:N92=G2)*(C93:N98)),SUMIF(C92:N92,G2,C100:N100)),IF(R7&lt;7,SUMPRODUCT((B102:B107=R7)*(C92:N92=G2)*(C102:N107)),SUMIF(C92:N92,G2,C109:N109))),4)</f>
        <v>0.6482</v>
      </c>
      <c r="T7" s="2622">
        <f t="shared" ca="1" si="0"/>
        <v>7358</v>
      </c>
      <c r="U7" s="2611"/>
      <c r="V7" s="2622">
        <f t="shared" ca="1" si="1"/>
        <v>0</v>
      </c>
      <c r="W7" s="4106" t="s">
        <v>2717</v>
      </c>
      <c r="X7" s="2612" t="str">
        <f>G2</f>
        <v>六级</v>
      </c>
      <c r="Y7" s="2612" t="s">
        <v>2718</v>
      </c>
      <c r="Z7" s="2613">
        <f>G3</f>
        <v>2.5</v>
      </c>
      <c r="AA7" s="2044"/>
      <c r="AB7" s="2044"/>
      <c r="AC7" s="2045"/>
      <c r="AD7" s="2614"/>
      <c r="AE7" s="2614"/>
      <c r="AF7" s="2614"/>
      <c r="AG7" s="2614"/>
      <c r="AH7" s="2614"/>
      <c r="AI7" s="2614"/>
      <c r="AJ7" s="2615"/>
    </row>
    <row r="8" spans="1:39" ht="25.5">
      <c r="A8" s="4346"/>
      <c r="B8" s="1337" t="s">
        <v>909</v>
      </c>
      <c r="C8" s="1443" t="s">
        <v>3131</v>
      </c>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4356" t="s">
        <v>2735</v>
      </c>
      <c r="X8" s="4357"/>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4346"/>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4355"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4346"/>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4355"/>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4346"/>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4355" t="s">
        <v>2733</v>
      </c>
      <c r="X11" s="1017" t="s">
        <v>2718</v>
      </c>
      <c r="Y11" s="1555">
        <f>$G$3</f>
        <v>2.5</v>
      </c>
      <c r="Z11" s="1555">
        <f t="shared" ref="Z11:AJ11" si="3">$G$3</f>
        <v>2.5</v>
      </c>
      <c r="AA11" s="1555">
        <f t="shared" si="3"/>
        <v>2.5</v>
      </c>
      <c r="AB11" s="1555">
        <f t="shared" si="3"/>
        <v>2.5</v>
      </c>
      <c r="AC11" s="1555">
        <f t="shared" si="3"/>
        <v>2.5</v>
      </c>
      <c r="AD11" s="1555">
        <f t="shared" si="3"/>
        <v>2.5</v>
      </c>
      <c r="AE11" s="1555">
        <f t="shared" si="3"/>
        <v>2.5</v>
      </c>
      <c r="AF11" s="1555">
        <f t="shared" si="3"/>
        <v>2.5</v>
      </c>
      <c r="AG11" s="1555">
        <f t="shared" si="3"/>
        <v>2.5</v>
      </c>
      <c r="AH11" s="1555">
        <f t="shared" si="3"/>
        <v>2.5</v>
      </c>
      <c r="AI11" s="1555">
        <f t="shared" si="3"/>
        <v>2.5</v>
      </c>
      <c r="AJ11" s="1555">
        <f t="shared" si="3"/>
        <v>2.5</v>
      </c>
    </row>
    <row r="12" spans="1:39" ht="25.5" thickBot="1">
      <c r="A12" s="4345"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4355"/>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4347"/>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4355"/>
      <c r="X13" s="2619"/>
      <c r="Y13" s="2618">
        <f>(-0.163*(Y12^2)-0.59*Y12+7617)*(10^(-4))/Y11</f>
        <v>0.30468000000000001</v>
      </c>
      <c r="Z13" s="2618">
        <f t="shared" ref="Z13:AJ13" si="5">(-0.163*(Z12^2)-0.59*Z12+7617)*(10^(-4))/Z11</f>
        <v>0.30468000000000001</v>
      </c>
      <c r="AA13" s="2618">
        <f t="shared" si="5"/>
        <v>0.30468000000000001</v>
      </c>
      <c r="AB13" s="2618">
        <f t="shared" si="5"/>
        <v>0.30468000000000001</v>
      </c>
      <c r="AC13" s="2618">
        <f t="shared" si="5"/>
        <v>0.30468000000000001</v>
      </c>
      <c r="AD13" s="2618">
        <f t="shared" si="5"/>
        <v>0.30468000000000001</v>
      </c>
      <c r="AE13" s="2618">
        <f t="shared" si="5"/>
        <v>0.30468000000000001</v>
      </c>
      <c r="AF13" s="2618">
        <f t="shared" si="5"/>
        <v>0.30468000000000001</v>
      </c>
      <c r="AG13" s="2618">
        <f t="shared" si="5"/>
        <v>0.30468000000000001</v>
      </c>
      <c r="AH13" s="2618">
        <f t="shared" si="5"/>
        <v>0.30468000000000001</v>
      </c>
      <c r="AI13" s="2618">
        <f t="shared" si="5"/>
        <v>0.30468000000000001</v>
      </c>
      <c r="AJ13" s="2618">
        <f t="shared" si="5"/>
        <v>0.30468000000000001</v>
      </c>
    </row>
    <row r="14" spans="1:39" ht="12.75" customHeight="1">
      <c r="A14" s="4347"/>
      <c r="B14" s="1374"/>
      <c r="C14" s="1375"/>
      <c r="D14" s="1376"/>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4348"/>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4345" t="s">
        <v>1813</v>
      </c>
      <c r="B16" s="1350" t="s">
        <v>925</v>
      </c>
      <c r="C16" s="1021">
        <f>ROUND(IF(F17="与级别开发程度一致",0,(G17-E17)/C17),0)</f>
        <v>0</v>
      </c>
      <c r="D16" s="4363" t="s">
        <v>929</v>
      </c>
      <c r="E16" s="4364"/>
      <c r="F16" s="4363" t="s">
        <v>926</v>
      </c>
      <c r="G16" s="4364"/>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4349"/>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3132</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1802</v>
      </c>
      <c r="B19" s="1385" t="s">
        <v>931</v>
      </c>
      <c r="C19" s="1022">
        <f>ROUND(IF(H19="按公示增长率计算",SUMPRODUCT((地价!A3:A36=YEAR(G19)&amp;"-"&amp;ROUNDUP(MONTH(G19)/3,0))*(地价!X2:AB2=E2)*(地价!X3:AB36)),IF(H19="地价指数",M20/M19,(1+I19)^O19)),4)</f>
        <v>1.3963000000000001</v>
      </c>
      <c r="D19" s="1389" t="s">
        <v>932</v>
      </c>
      <c r="E19" s="1023">
        <v>41640</v>
      </c>
      <c r="F19" s="1389" t="s">
        <v>933</v>
      </c>
      <c r="G19" s="1024">
        <f>'数据-取费表'!B2</f>
        <v>44550</v>
      </c>
      <c r="H19" s="1390" t="s">
        <v>3133</v>
      </c>
      <c r="I19" s="2471" t="str">
        <f>IF(H19="季度增幅（自定义）",SUMIF(N21:N24,E2,O21:O24),"")</f>
        <v/>
      </c>
      <c r="J19" s="1386"/>
      <c r="K19" s="3199"/>
      <c r="L19" s="2719" t="s">
        <v>2790</v>
      </c>
      <c r="M19" s="2720">
        <f>ROUND(SUMIF(地价!B2:F2,E2,地价!B36:F36),0)</f>
        <v>258</v>
      </c>
      <c r="N19" s="2473" t="s">
        <v>1651</v>
      </c>
      <c r="O19" s="2472">
        <f>ROUNDDOWN(DATEDIF(E19,G19,"M")/3,0)</f>
        <v>31</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f>SUMIF('数据-取费表'!C6:C15,E2,'数据-取费表'!F6:F15)/COUNTIF('数据-取费表'!C6:C15,E2)</f>
        <v>40</v>
      </c>
      <c r="J20" s="2470">
        <f>IF(E2="住宅",70,IF(E2="商业",40,50))</f>
        <v>40</v>
      </c>
      <c r="K20" s="2810"/>
      <c r="L20" s="2721" t="s">
        <v>2791</v>
      </c>
      <c r="M20" s="2803">
        <f>ROUND(SUMPRODUCT((地价!A4:A36=YEAR(G19)&amp;"-"&amp;ROUNDUP(MONTH(G19)/3,0))*(地价!B2:F2=E2)*(地价!B4:F36)),0)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3134</v>
      </c>
      <c r="C21" s="1123">
        <f>IF(B21="容积率修正",IF(G3&lt;=10,D22,J22),C23)</f>
        <v>1</v>
      </c>
      <c r="D21" s="1396"/>
      <c r="E21" s="1396"/>
      <c r="F21" s="1396"/>
      <c r="G21" s="1396"/>
      <c r="H21" s="1396"/>
      <c r="I21" s="1396"/>
      <c r="J21" s="1397"/>
      <c r="K21" s="3199"/>
      <c r="L21" s="1396"/>
      <c r="M21" s="1396"/>
      <c r="N21" s="1393" t="s">
        <v>950</v>
      </c>
      <c r="O21" s="1456"/>
      <c r="P21" s="2463">
        <f>SUMPRODUCT((地价!A3:A36=YEAR(G19)&amp;"-"&amp;ROUNDUP(MONTH(G19)/3,0))*(地价!AD2:AH2=N21)*(地价!AD3:AH36))</f>
        <v>1.0500000000000001E-2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v>
      </c>
      <c r="E22" s="1008">
        <f>ROUNDDOWN(G3,1)</f>
        <v>2.5</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952</v>
      </c>
      <c r="J22" s="1025" t="str">
        <f>IF(G3&gt;10,D113,"——")</f>
        <v>——</v>
      </c>
      <c r="K22" s="3205"/>
      <c r="L22" s="1396"/>
      <c r="M22" s="1396"/>
      <c r="N22" s="1393" t="s">
        <v>953</v>
      </c>
      <c r="O22" s="1456"/>
      <c r="P22" s="2463">
        <f>SUMPRODUCT((地价!A3:A36=YEAR(G19)&amp;"-"&amp;ROUNDUP(MONTH(G19)/3,0))*(地价!AD2:AH2=N22)*(地价!AD3:AH36))</f>
        <v>1.0500000000000001E-2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SUMPRODUCT((地价!A3:A36=YEAR(G19)&amp;"-"&amp;ROUNDUP(MONTH(G19)/3,0))*(地价!AD2:AH2=N23)*(地价!AD3:AH36))</f>
        <v>1.83E-2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SUMPRODUCT((地价!A3:A36=YEAR(G19)&amp;"-"&amp;ROUNDUP(MONTH(G19)/3,0))*(地价!AD2:AH2=N24)*(地价!AD3:AH36))</f>
        <v>1.2200000000000001E-2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200"/>
      <c r="L25" s="2047"/>
      <c r="M25" s="2047"/>
      <c r="N25" s="2804" t="s">
        <v>2601</v>
      </c>
      <c r="O25" s="2805"/>
      <c r="P25" s="2273">
        <f>SUMPRODUCT((地价!A3:A36=YEAR(G19)&amp;"-"&amp;ROUNDUP(MONTH(G19)/3,0))*(地价!AD2:AH2=N25)*(地价!AD3:AH36))</f>
        <v>1.66E-2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10161</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11352</v>
      </c>
      <c r="D29" s="1418">
        <f>'数据-基础表'!I13</f>
        <v>8950.7250000000022</v>
      </c>
      <c r="E29" s="1736">
        <f ca="1">ROUND(C29*D29/10000,0)</f>
        <v>10161</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2838</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4352"/>
      <c r="B33" s="1438" t="s">
        <v>974</v>
      </c>
      <c r="C33" s="1028">
        <f ca="1">ROUND(D5*C19*C20*C24*F33,0)</f>
        <v>9862</v>
      </c>
      <c r="D33" s="1451"/>
      <c r="E33" s="1017">
        <f ca="1">ROUND(C33*D33/10000,0)</f>
        <v>0</v>
      </c>
      <c r="F33" s="1017">
        <f>SUMIF(修正!A45:A56,G2,修正!B45:B56)</f>
        <v>0.7</v>
      </c>
      <c r="G33" s="1017">
        <f t="shared" ref="G33" ca="1" si="6">ROUND(IF(E2="工业",C33*$M$39,C33*$M$38),0)</f>
        <v>2466</v>
      </c>
      <c r="H33" s="1017">
        <f>D33</f>
        <v>0</v>
      </c>
      <c r="I33" s="1017">
        <f ca="1">ROUND(G33*H33/10000,0)</f>
        <v>0</v>
      </c>
      <c r="J33" s="4352"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4353"/>
      <c r="B34" s="1368" t="s">
        <v>975</v>
      </c>
      <c r="C34" s="1028">
        <f ca="1">ROUND(D5*C19*C20*C24*F34,0)</f>
        <v>5635</v>
      </c>
      <c r="D34" s="1451"/>
      <c r="E34" s="1017">
        <f t="shared" ref="E34:E39" ca="1" si="7">ROUND(C34*D34/10000,0)</f>
        <v>0</v>
      </c>
      <c r="F34" s="1017">
        <f>SUMIF(修正!A45:A56,G2,修正!C45:C56)</f>
        <v>0.4</v>
      </c>
      <c r="G34" s="1017">
        <f ca="1">ROUND(IF(E2="工业",C34*$M$39,C34*$M$38),0)</f>
        <v>1409</v>
      </c>
      <c r="H34" s="1017">
        <f t="shared" ref="H34:H39" si="8">D34</f>
        <v>0</v>
      </c>
      <c r="I34" s="1017">
        <f t="shared" ref="I34:I39" ca="1" si="9">ROUND(G34*H34/10000,0)</f>
        <v>0</v>
      </c>
      <c r="J34" s="4353"/>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4353"/>
      <c r="B35" s="1368" t="s">
        <v>976</v>
      </c>
      <c r="C35" s="1028">
        <f ca="1">ROUND(D5*C19*C20*C24*F35,0)</f>
        <v>3945</v>
      </c>
      <c r="D35" s="1451"/>
      <c r="E35" s="1017">
        <f t="shared" ca="1" si="7"/>
        <v>0</v>
      </c>
      <c r="F35" s="1017">
        <f>SUMIF(修正!A45:A56,G2,修正!D45:D56)</f>
        <v>0.28000000000000003</v>
      </c>
      <c r="G35" s="1017">
        <f ca="1">ROUND(IF(E2="工业",C35*$M$39,C35*$M$38),0)</f>
        <v>986</v>
      </c>
      <c r="H35" s="1017">
        <f t="shared" si="8"/>
        <v>0</v>
      </c>
      <c r="I35" s="1017">
        <f t="shared" ca="1" si="9"/>
        <v>0</v>
      </c>
      <c r="J35" s="4353"/>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4354"/>
      <c r="B36" s="1368" t="s">
        <v>977</v>
      </c>
      <c r="C36" s="1028">
        <f ca="1">ROUND(D5*C19*C20*C24*F36,0)</f>
        <v>3522</v>
      </c>
      <c r="D36" s="1451"/>
      <c r="E36" s="1017">
        <f t="shared" ca="1" si="7"/>
        <v>0</v>
      </c>
      <c r="F36" s="1017">
        <f>SUMIF(修正!A45:A56,G2,修正!E45:E56)</f>
        <v>0.25</v>
      </c>
      <c r="G36" s="1017">
        <f ca="1">ROUND(IF(E2="工业",C36*$M$39,C36*$M$38),0)</f>
        <v>881</v>
      </c>
      <c r="H36" s="1017">
        <f t="shared" si="8"/>
        <v>0</v>
      </c>
      <c r="I36" s="1017">
        <f t="shared" ca="1" si="9"/>
        <v>0</v>
      </c>
      <c r="J36" s="4354"/>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3522</v>
      </c>
      <c r="D37" s="1451"/>
      <c r="E37" s="1017">
        <f t="shared" ca="1" si="7"/>
        <v>0</v>
      </c>
      <c r="F37" s="1028">
        <f>SUMIF(修正!A45:A56,G2,修正!F45:F56)</f>
        <v>0.25</v>
      </c>
      <c r="G37" s="1017">
        <f ca="1">ROUND(IF(E2="工业",C37*$M$39,C37*$M$38),0)</f>
        <v>881</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2918</v>
      </c>
      <c r="C41" s="810">
        <f ca="1">ROUND(POWER(1+E41,H41-G41)*(POWER(1+E41,G41)-1)/(POWER(1+E41,H41)-1),4)</f>
        <v>0</v>
      </c>
      <c r="D41" s="372" t="s">
        <v>2916</v>
      </c>
      <c r="E41" s="2798">
        <f ca="1">G20</f>
        <v>5.3999999999999999E-2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t="s">
        <v>3159</v>
      </c>
      <c r="D47" s="2243">
        <f t="shared" ref="D47:D55" si="10">SUMIF($J$46:$N$46,C47,J47:N47)</f>
        <v>0</v>
      </c>
      <c r="E47" s="2262">
        <f>ROUND(SUM(D47:D55),4)</f>
        <v>0</v>
      </c>
      <c r="F47" s="2263">
        <f>IF(E2="商业",SUMIF(L1:L12,G2,N1:N12),"——")</f>
        <v>0.11</v>
      </c>
      <c r="G47" s="2241">
        <v>1.8100000000000002E-2</v>
      </c>
      <c r="H47" s="2286">
        <f t="shared" ref="H47:H55" si="11">IFERROR(ROUNDDOWN(($F$47*I47/2),4),"——")</f>
        <v>1.8100000000000002E-2</v>
      </c>
      <c r="I47" s="2261">
        <v>0.33</v>
      </c>
      <c r="J47" s="2264">
        <f t="shared" ref="J47:J55" si="12">K47+$G47</f>
        <v>3.6200000000000003E-2</v>
      </c>
      <c r="K47" s="2264">
        <f t="shared" ref="K47:K55" si="13">$L47+$G47</f>
        <v>1.8100000000000002E-2</v>
      </c>
      <c r="L47" s="2264">
        <v>0</v>
      </c>
      <c r="M47" s="2264">
        <f t="shared" ref="M47:N55" si="14">L47-$G47</f>
        <v>-1.8100000000000002E-2</v>
      </c>
      <c r="N47" s="2264">
        <f t="shared" si="14"/>
        <v>-3.6200000000000003E-2</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t="s">
        <v>3159</v>
      </c>
      <c r="D48" s="2243">
        <f t="shared" si="10"/>
        <v>0</v>
      </c>
      <c r="E48" s="2265"/>
      <c r="F48" s="2263"/>
      <c r="G48" s="2241">
        <v>1.37E-2</v>
      </c>
      <c r="H48" s="2286">
        <f t="shared" si="11"/>
        <v>1.37E-2</v>
      </c>
      <c r="I48" s="2261">
        <v>0.25</v>
      </c>
      <c r="J48" s="2264">
        <f t="shared" si="12"/>
        <v>2.7400000000000001E-2</v>
      </c>
      <c r="K48" s="2264">
        <f t="shared" si="13"/>
        <v>1.37E-2</v>
      </c>
      <c r="L48" s="2264">
        <v>0</v>
      </c>
      <c r="M48" s="2264">
        <f t="shared" si="14"/>
        <v>-1.37E-2</v>
      </c>
      <c r="N48" s="2264">
        <f t="shared" si="14"/>
        <v>-2.7400000000000001E-2</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t="s">
        <v>3159</v>
      </c>
      <c r="D49" s="2243">
        <f t="shared" si="10"/>
        <v>0</v>
      </c>
      <c r="E49" s="2265"/>
      <c r="F49" s="2263"/>
      <c r="G49" s="2241">
        <v>2.7000000000000001E-3</v>
      </c>
      <c r="H49" s="2286">
        <f t="shared" si="11"/>
        <v>2.7000000000000001E-3</v>
      </c>
      <c r="I49" s="2261">
        <v>0.05</v>
      </c>
      <c r="J49" s="2264">
        <f t="shared" si="12"/>
        <v>5.4000000000000003E-3</v>
      </c>
      <c r="K49" s="2264">
        <f t="shared" si="13"/>
        <v>2.7000000000000001E-3</v>
      </c>
      <c r="L49" s="2264">
        <v>0</v>
      </c>
      <c r="M49" s="2264">
        <f t="shared" si="14"/>
        <v>-2.7000000000000001E-3</v>
      </c>
      <c r="N49" s="2264">
        <f t="shared" si="14"/>
        <v>-5.4000000000000003E-3</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2875</v>
      </c>
      <c r="C50" s="1019" t="s">
        <v>3159</v>
      </c>
      <c r="D50" s="2243">
        <f t="shared" si="10"/>
        <v>0</v>
      </c>
      <c r="E50" s="2265"/>
      <c r="F50" s="2263"/>
      <c r="G50" s="2241">
        <v>2.7000000000000001E-3</v>
      </c>
      <c r="H50" s="2286">
        <f t="shared" si="11"/>
        <v>2.7000000000000001E-3</v>
      </c>
      <c r="I50" s="2261">
        <v>0.05</v>
      </c>
      <c r="J50" s="2264">
        <f t="shared" si="12"/>
        <v>5.4000000000000003E-3</v>
      </c>
      <c r="K50" s="2264">
        <f t="shared" si="13"/>
        <v>2.7000000000000001E-3</v>
      </c>
      <c r="L50" s="2264">
        <v>0</v>
      </c>
      <c r="M50" s="2264">
        <f t="shared" si="14"/>
        <v>-2.7000000000000001E-3</v>
      </c>
      <c r="N50" s="2264">
        <f t="shared" si="14"/>
        <v>-5.4000000000000003E-3</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t="s">
        <v>3159</v>
      </c>
      <c r="D51" s="2243">
        <f t="shared" si="10"/>
        <v>0</v>
      </c>
      <c r="E51" s="2265"/>
      <c r="F51" s="2263"/>
      <c r="G51" s="2241">
        <v>4.4000000000000003E-3</v>
      </c>
      <c r="H51" s="2286">
        <f t="shared" si="11"/>
        <v>4.4000000000000003E-3</v>
      </c>
      <c r="I51" s="2261">
        <v>0.08</v>
      </c>
      <c r="J51" s="2264">
        <f t="shared" si="12"/>
        <v>8.8000000000000005E-3</v>
      </c>
      <c r="K51" s="2264">
        <f t="shared" si="13"/>
        <v>4.4000000000000003E-3</v>
      </c>
      <c r="L51" s="2264">
        <v>0</v>
      </c>
      <c r="M51" s="2264">
        <f t="shared" si="14"/>
        <v>-4.4000000000000003E-3</v>
      </c>
      <c r="N51" s="2264">
        <f t="shared" si="14"/>
        <v>-8.8000000000000005E-3</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2874</v>
      </c>
      <c r="C52" s="1019" t="s">
        <v>3159</v>
      </c>
      <c r="D52" s="2243">
        <f t="shared" si="10"/>
        <v>0</v>
      </c>
      <c r="E52" s="2265"/>
      <c r="F52" s="2263"/>
      <c r="G52" s="2241">
        <v>1.6000000000000001E-3</v>
      </c>
      <c r="H52" s="2286">
        <f t="shared" si="11"/>
        <v>1.6000000000000001E-3</v>
      </c>
      <c r="I52" s="2261">
        <v>0.03</v>
      </c>
      <c r="J52" s="2264">
        <f t="shared" si="12"/>
        <v>3.2000000000000002E-3</v>
      </c>
      <c r="K52" s="2264">
        <f t="shared" si="13"/>
        <v>1.6000000000000001E-3</v>
      </c>
      <c r="L52" s="2264">
        <v>0</v>
      </c>
      <c r="M52" s="2264">
        <f t="shared" si="14"/>
        <v>-1.6000000000000001E-3</v>
      </c>
      <c r="N52" s="2264">
        <f t="shared" si="14"/>
        <v>-3.2000000000000002E-3</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t="s">
        <v>3159</v>
      </c>
      <c r="D53" s="2243">
        <f t="shared" si="10"/>
        <v>0</v>
      </c>
      <c r="E53" s="2265"/>
      <c r="F53" s="2263"/>
      <c r="G53" s="2241">
        <v>2.7000000000000001E-3</v>
      </c>
      <c r="H53" s="2286">
        <f t="shared" si="11"/>
        <v>2.7000000000000001E-3</v>
      </c>
      <c r="I53" s="2261">
        <v>0.05</v>
      </c>
      <c r="J53" s="2264">
        <f t="shared" si="12"/>
        <v>5.4000000000000003E-3</v>
      </c>
      <c r="K53" s="2264">
        <f t="shared" si="13"/>
        <v>2.7000000000000001E-3</v>
      </c>
      <c r="L53" s="2264">
        <v>0</v>
      </c>
      <c r="M53" s="2264">
        <f t="shared" si="14"/>
        <v>-2.7000000000000001E-3</v>
      </c>
      <c r="N53" s="2264">
        <f t="shared" si="14"/>
        <v>-5.4000000000000003E-3</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t="s">
        <v>3159</v>
      </c>
      <c r="D54" s="2243">
        <f t="shared" si="10"/>
        <v>0</v>
      </c>
      <c r="E54" s="2265"/>
      <c r="F54" s="2263"/>
      <c r="G54" s="2241">
        <v>5.4999999999999997E-3</v>
      </c>
      <c r="H54" s="2286">
        <f t="shared" si="11"/>
        <v>5.4999999999999997E-3</v>
      </c>
      <c r="I54" s="2261">
        <v>0.1</v>
      </c>
      <c r="J54" s="2264">
        <f t="shared" si="12"/>
        <v>1.0999999999999999E-2</v>
      </c>
      <c r="K54" s="2264">
        <f t="shared" si="13"/>
        <v>5.4999999999999997E-3</v>
      </c>
      <c r="L54" s="2264">
        <v>0</v>
      </c>
      <c r="M54" s="2264">
        <f t="shared" si="14"/>
        <v>-5.4999999999999997E-3</v>
      </c>
      <c r="N54" s="2264">
        <f t="shared" si="14"/>
        <v>-1.0999999999999999E-2</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t="s">
        <v>3159</v>
      </c>
      <c r="D55" s="2243">
        <f t="shared" si="10"/>
        <v>0</v>
      </c>
      <c r="E55" s="2269"/>
      <c r="F55" s="2263"/>
      <c r="G55" s="2241">
        <v>3.3E-3</v>
      </c>
      <c r="H55" s="2286">
        <f t="shared" si="11"/>
        <v>3.3E-3</v>
      </c>
      <c r="I55" s="2268">
        <v>0.06</v>
      </c>
      <c r="J55" s="2264">
        <f t="shared" si="12"/>
        <v>6.6E-3</v>
      </c>
      <c r="K55" s="2264">
        <f t="shared" si="13"/>
        <v>3.3E-3</v>
      </c>
      <c r="L55" s="2264">
        <v>0</v>
      </c>
      <c r="M55" s="2264">
        <f t="shared" si="14"/>
        <v>-3.3E-3</v>
      </c>
      <c r="N55" s="2264">
        <f t="shared" si="14"/>
        <v>-6.6E-3</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996</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2874</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996</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4350" t="s">
        <v>1608</v>
      </c>
      <c r="B90" s="4350"/>
      <c r="C90" s="4350"/>
      <c r="D90" s="4350"/>
      <c r="E90" s="4350"/>
      <c r="F90" s="4350"/>
      <c r="G90" s="4350"/>
      <c r="H90" s="4350"/>
      <c r="I90" s="4350"/>
      <c r="J90" s="4350"/>
      <c r="K90" s="4104"/>
      <c r="L90" s="4104"/>
      <c r="M90" s="4104"/>
      <c r="N90" s="4104"/>
    </row>
    <row r="91" spans="1:40">
      <c r="A91" s="4351" t="s">
        <v>873</v>
      </c>
      <c r="B91" s="4351" t="s">
        <v>1609</v>
      </c>
      <c r="C91" s="1105" t="s">
        <v>1610</v>
      </c>
      <c r="D91" s="1106"/>
      <c r="E91" s="1106"/>
      <c r="F91" s="1106"/>
      <c r="G91" s="1106"/>
      <c r="H91" s="1106"/>
      <c r="I91" s="1106"/>
      <c r="J91" s="1107"/>
      <c r="K91" s="1099"/>
      <c r="L91" s="1099"/>
      <c r="M91" s="1099"/>
      <c r="N91" s="1099"/>
    </row>
    <row r="92" spans="1:40">
      <c r="A92" s="4351"/>
      <c r="B92" s="4351"/>
      <c r="C92" s="4105" t="s">
        <v>859</v>
      </c>
      <c r="D92" s="4105" t="s">
        <v>860</v>
      </c>
      <c r="E92" s="4105" t="s">
        <v>861</v>
      </c>
      <c r="F92" s="4105" t="s">
        <v>862</v>
      </c>
      <c r="G92" s="4105" t="s">
        <v>863</v>
      </c>
      <c r="H92" s="4105" t="s">
        <v>864</v>
      </c>
      <c r="I92" s="4105" t="s">
        <v>865</v>
      </c>
      <c r="J92" s="4105" t="s">
        <v>866</v>
      </c>
      <c r="K92" s="4105" t="s">
        <v>867</v>
      </c>
      <c r="L92" s="4105" t="s">
        <v>868</v>
      </c>
      <c r="M92" s="4105" t="s">
        <v>869</v>
      </c>
      <c r="N92" s="4105" t="s">
        <v>870</v>
      </c>
    </row>
    <row r="93" spans="1:40">
      <c r="A93" s="4358"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4359"/>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4359"/>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4359"/>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4359"/>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4359"/>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4359"/>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4360"/>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4358" t="s">
        <v>1612</v>
      </c>
      <c r="B101" s="1112" t="s">
        <v>858</v>
      </c>
      <c r="C101" s="1113">
        <f>$G$3</f>
        <v>2.5</v>
      </c>
      <c r="D101" s="1113">
        <f t="shared" ref="D101:N101" si="31">$G$3</f>
        <v>2.5</v>
      </c>
      <c r="E101" s="1113">
        <f t="shared" si="31"/>
        <v>2.5</v>
      </c>
      <c r="F101" s="1113">
        <f t="shared" si="31"/>
        <v>2.5</v>
      </c>
      <c r="G101" s="1113">
        <f t="shared" si="31"/>
        <v>2.5</v>
      </c>
      <c r="H101" s="1113">
        <f t="shared" si="31"/>
        <v>2.5</v>
      </c>
      <c r="I101" s="1113">
        <f t="shared" si="31"/>
        <v>2.5</v>
      </c>
      <c r="J101" s="1113">
        <f t="shared" si="31"/>
        <v>2.5</v>
      </c>
      <c r="K101" s="1113">
        <f t="shared" si="31"/>
        <v>2.5</v>
      </c>
      <c r="L101" s="1113">
        <f t="shared" si="31"/>
        <v>2.5</v>
      </c>
      <c r="M101" s="1113">
        <f t="shared" si="31"/>
        <v>2.5</v>
      </c>
      <c r="N101" s="1113">
        <f t="shared" si="31"/>
        <v>2.5</v>
      </c>
    </row>
    <row r="102" spans="1:14">
      <c r="A102" s="4359"/>
      <c r="B102" s="1108">
        <v>1</v>
      </c>
      <c r="C102" s="1109">
        <f>1.9362/C101</f>
        <v>0.77447999999999995</v>
      </c>
      <c r="D102" s="1109">
        <f>1.9362/D101</f>
        <v>0.77447999999999995</v>
      </c>
      <c r="E102" s="1109">
        <f>1.8629/E101</f>
        <v>0.74516000000000004</v>
      </c>
      <c r="F102" s="1109">
        <f>1.8629/F101</f>
        <v>0.74516000000000004</v>
      </c>
      <c r="G102" s="1109">
        <f>1.8629/G101</f>
        <v>0.74516000000000004</v>
      </c>
      <c r="H102" s="1109">
        <f>1.8629/H101</f>
        <v>0.74516000000000004</v>
      </c>
      <c r="I102" s="1109">
        <f>1.8629/I101</f>
        <v>0.74516000000000004</v>
      </c>
      <c r="J102" s="1109">
        <f>1.942/J101</f>
        <v>0.77679999999999993</v>
      </c>
      <c r="K102" s="1109">
        <f>1.942/K101</f>
        <v>0.77679999999999993</v>
      </c>
      <c r="L102" s="1109">
        <f>1.942/L101</f>
        <v>0.77679999999999993</v>
      </c>
      <c r="M102" s="1109">
        <f>1.942/M101</f>
        <v>0.77679999999999993</v>
      </c>
      <c r="N102" s="1109">
        <f>1.942/N101</f>
        <v>0.77679999999999993</v>
      </c>
    </row>
    <row r="103" spans="1:14">
      <c r="A103" s="4359"/>
      <c r="B103" s="1108">
        <v>2</v>
      </c>
      <c r="C103" s="1109">
        <f>1.4198/C101</f>
        <v>0.56791999999999998</v>
      </c>
      <c r="D103" s="1109">
        <f>1.4198/D101</f>
        <v>0.56791999999999998</v>
      </c>
      <c r="E103" s="1109">
        <f>1.3372/E101</f>
        <v>0.53488000000000002</v>
      </c>
      <c r="F103" s="1109">
        <f>1.3372/F101</f>
        <v>0.53488000000000002</v>
      </c>
      <c r="G103" s="1109">
        <f>1.3372/G101</f>
        <v>0.53488000000000002</v>
      </c>
      <c r="H103" s="1109">
        <f>1.3372/H101</f>
        <v>0.53488000000000002</v>
      </c>
      <c r="I103" s="1109">
        <f>1.3372/I101</f>
        <v>0.53488000000000002</v>
      </c>
      <c r="J103" s="1109">
        <f>1.2799/J101</f>
        <v>0.51195999999999997</v>
      </c>
      <c r="K103" s="1109">
        <f>1.2799/K101</f>
        <v>0.51195999999999997</v>
      </c>
      <c r="L103" s="1109">
        <f>1.2799/L101</f>
        <v>0.51195999999999997</v>
      </c>
      <c r="M103" s="1109">
        <f>1.2799/M101</f>
        <v>0.51195999999999997</v>
      </c>
      <c r="N103" s="1109">
        <f>1.2799/N101</f>
        <v>0.51195999999999997</v>
      </c>
    </row>
    <row r="104" spans="1:14">
      <c r="A104" s="4359"/>
      <c r="B104" s="1108">
        <v>3</v>
      </c>
      <c r="C104" s="1109">
        <f>1.1594/C101</f>
        <v>0.46376000000000001</v>
      </c>
      <c r="D104" s="1109">
        <f>1.1594/D101</f>
        <v>0.46376000000000001</v>
      </c>
      <c r="E104" s="1109">
        <f>1.0788/E101</f>
        <v>0.43152000000000001</v>
      </c>
      <c r="F104" s="1109">
        <f>1.0788/F101</f>
        <v>0.43152000000000001</v>
      </c>
      <c r="G104" s="1109">
        <f>1.0788/G101</f>
        <v>0.43152000000000001</v>
      </c>
      <c r="H104" s="1109">
        <f>1.0788/H101</f>
        <v>0.43152000000000001</v>
      </c>
      <c r="I104" s="1109">
        <f>1.0788/I101</f>
        <v>0.43152000000000001</v>
      </c>
      <c r="J104" s="1109">
        <f>1.0072/J101</f>
        <v>0.40288000000000002</v>
      </c>
      <c r="K104" s="1109">
        <f>1.0072/K101</f>
        <v>0.40288000000000002</v>
      </c>
      <c r="L104" s="1109">
        <f>1.0072/L101</f>
        <v>0.40288000000000002</v>
      </c>
      <c r="M104" s="1109">
        <f>1.0072/M101</f>
        <v>0.40288000000000002</v>
      </c>
      <c r="N104" s="1109">
        <f>1.0072/N101</f>
        <v>0.40288000000000002</v>
      </c>
    </row>
    <row r="105" spans="1:14">
      <c r="A105" s="4359"/>
      <c r="B105" s="1108">
        <v>4</v>
      </c>
      <c r="C105" s="1109">
        <f>0.9622/C101</f>
        <v>0.38488</v>
      </c>
      <c r="D105" s="1109">
        <f>0.9622/D101</f>
        <v>0.38488</v>
      </c>
      <c r="E105" s="1109">
        <f>0.8656/E101</f>
        <v>0.34623999999999999</v>
      </c>
      <c r="F105" s="1109">
        <f>0.8656/F101</f>
        <v>0.34623999999999999</v>
      </c>
      <c r="G105" s="1109">
        <f>0.8656/G101</f>
        <v>0.34623999999999999</v>
      </c>
      <c r="H105" s="1109">
        <f>0.8656/H101</f>
        <v>0.34623999999999999</v>
      </c>
      <c r="I105" s="1109">
        <f>0.8656/I101</f>
        <v>0.34623999999999999</v>
      </c>
      <c r="J105" s="1109">
        <f>0.7525/J101</f>
        <v>0.30099999999999999</v>
      </c>
      <c r="K105" s="1109">
        <f>0.7525/K101</f>
        <v>0.30099999999999999</v>
      </c>
      <c r="L105" s="1109">
        <f>0.7525/L101</f>
        <v>0.30099999999999999</v>
      </c>
      <c r="M105" s="1109">
        <f>0.7525/M101</f>
        <v>0.30099999999999999</v>
      </c>
      <c r="N105" s="1109">
        <f>0.7525/N101</f>
        <v>0.30099999999999999</v>
      </c>
    </row>
    <row r="106" spans="1:14">
      <c r="A106" s="4359"/>
      <c r="B106" s="1108">
        <v>5</v>
      </c>
      <c r="C106" s="1109">
        <f>0.8417/C101</f>
        <v>0.33667999999999998</v>
      </c>
      <c r="D106" s="1109">
        <f>0.8417/D101</f>
        <v>0.33667999999999998</v>
      </c>
      <c r="E106" s="1109">
        <f>0.7371/E101</f>
        <v>0.29483999999999999</v>
      </c>
      <c r="F106" s="1109">
        <f>0.7371/F101</f>
        <v>0.29483999999999999</v>
      </c>
      <c r="G106" s="1109">
        <f>0.7371/G101</f>
        <v>0.29483999999999999</v>
      </c>
      <c r="H106" s="1109">
        <f>0.7371/H101</f>
        <v>0.29483999999999999</v>
      </c>
      <c r="I106" s="1109">
        <f>0.7371/I101</f>
        <v>0.29483999999999999</v>
      </c>
      <c r="J106" s="1109">
        <f>0.5659/J101</f>
        <v>0.22635999999999998</v>
      </c>
      <c r="K106" s="1109">
        <f>0.5659/K101</f>
        <v>0.22635999999999998</v>
      </c>
      <c r="L106" s="1109">
        <f>0.5659/L101</f>
        <v>0.22635999999999998</v>
      </c>
      <c r="M106" s="1109">
        <f>0.5659/M101</f>
        <v>0.22635999999999998</v>
      </c>
      <c r="N106" s="1109">
        <f>0.5659/N101</f>
        <v>0.22635999999999998</v>
      </c>
    </row>
    <row r="107" spans="1:14">
      <c r="A107" s="4359"/>
      <c r="B107" s="1108">
        <v>6</v>
      </c>
      <c r="C107" s="1109">
        <f>0.7608/C101</f>
        <v>0.30432000000000003</v>
      </c>
      <c r="D107" s="1109">
        <f>0.7608/D101</f>
        <v>0.30432000000000003</v>
      </c>
      <c r="E107" s="1109">
        <f>0.6482/E101</f>
        <v>0.25928000000000001</v>
      </c>
      <c r="F107" s="1109">
        <f>0.6482/F101</f>
        <v>0.25928000000000001</v>
      </c>
      <c r="G107" s="1109">
        <f>0.6482/G101</f>
        <v>0.25928000000000001</v>
      </c>
      <c r="H107" s="1109">
        <f>0.6482/H101</f>
        <v>0.25928000000000001</v>
      </c>
      <c r="I107" s="1109">
        <f>0.6482/I101</f>
        <v>0.25928000000000001</v>
      </c>
      <c r="J107" s="1109">
        <f>0.4525/J101</f>
        <v>0.18099999999999999</v>
      </c>
      <c r="K107" s="1109">
        <f>0.4525/K101</f>
        <v>0.18099999999999999</v>
      </c>
      <c r="L107" s="1109">
        <f>0.4525/L101</f>
        <v>0.18099999999999999</v>
      </c>
      <c r="M107" s="1109">
        <f>0.4525/M101</f>
        <v>0.18099999999999999</v>
      </c>
      <c r="N107" s="1109">
        <f>0.4525/N101</f>
        <v>0.18099999999999999</v>
      </c>
    </row>
    <row r="108" spans="1:14">
      <c r="A108" s="4359"/>
      <c r="B108" s="4361"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4360"/>
      <c r="B109" s="4362"/>
      <c r="C109" s="1111">
        <f>(-0.163*(C108^2)-0.59*C108+7617)*(10^(-4))/C101</f>
        <v>0.30468000000000001</v>
      </c>
      <c r="D109" s="1111">
        <f>(-0.163*(D108^2)-0.59*D108+7617)*(10^(-4))/D101</f>
        <v>0.30468000000000001</v>
      </c>
      <c r="E109" s="1111">
        <f>(-0.161*(E108^2)-7.509*E108+6533)*(10^(-4))/E101</f>
        <v>0.26132</v>
      </c>
      <c r="F109" s="1111">
        <f>(-0.161*(F108^2)-7.509*F108+6533)*(10^(-4))/F101</f>
        <v>0.26132</v>
      </c>
      <c r="G109" s="1111">
        <f>(-0.161*(G108^2)-7.509*G108+6533)*(10^(-4))/G101</f>
        <v>0.26132</v>
      </c>
      <c r="H109" s="1111">
        <f>(-0.161*(H108^2)-7.509*H108+6533)*(10^(-4))/H101</f>
        <v>0.26132</v>
      </c>
      <c r="I109" s="1111">
        <f>(-0.161*(I108^2)-7.509*I108+6533)*(10^(-4))/I101</f>
        <v>0.26132</v>
      </c>
      <c r="J109" s="1111">
        <f>(-0.214*(J108^2)-21.991*J108+4665)*(10^(-4))/J101</f>
        <v>0.18660000000000002</v>
      </c>
      <c r="K109" s="1111">
        <f>(-0.214*(K108^2)-21.991*K108+4665)*(10^(-4))/K101</f>
        <v>0.18660000000000002</v>
      </c>
      <c r="L109" s="1111">
        <f>(-0.214*(L108^2)-21.991*L108+4665)*(10^(-4))/L101</f>
        <v>0.18660000000000002</v>
      </c>
      <c r="M109" s="1111">
        <f>(-0.214*(M108^2)-21.991*M108+4665)*(10^(-4))/M101</f>
        <v>0.18660000000000002</v>
      </c>
      <c r="N109" s="1111">
        <f>(-0.214*(N108^2)-21.991*N108+4665)*(10^(-4))/N101</f>
        <v>0.18660000000000002</v>
      </c>
    </row>
    <row r="110" spans="1:14">
      <c r="A110" s="4344" t="s">
        <v>1614</v>
      </c>
      <c r="B110" s="4344"/>
      <c r="C110" s="4344"/>
      <c r="D110" s="4344"/>
      <c r="E110" s="4344"/>
      <c r="F110" s="4344"/>
      <c r="G110" s="4344"/>
      <c r="H110" s="4344"/>
      <c r="I110" s="4344"/>
      <c r="J110" s="4344"/>
      <c r="K110" s="4103"/>
      <c r="L110" s="4103"/>
      <c r="M110" s="4103"/>
      <c r="N110" s="4103"/>
    </row>
    <row r="112" spans="1:14" ht="12.75" thickBot="1"/>
    <row r="113" spans="1:13" ht="25.5" thickBot="1">
      <c r="A113" s="985" t="s">
        <v>871</v>
      </c>
      <c r="B113" s="2277">
        <f>G3</f>
        <v>2.5</v>
      </c>
      <c r="C113" s="986" t="s">
        <v>872</v>
      </c>
      <c r="D113" s="987">
        <f>SUMPRODUCT((A115:A118=F113)*(B114:M114=H113)*B115:M118)</f>
        <v>0.80589999999999995</v>
      </c>
      <c r="E113" s="988" t="s">
        <v>873</v>
      </c>
      <c r="F113" s="989" t="str">
        <f>E2</f>
        <v>商业</v>
      </c>
      <c r="G113" s="988" t="s">
        <v>874</v>
      </c>
      <c r="H113" s="989" t="str">
        <f>G2</f>
        <v>六级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876</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877</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878</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H16:O16" xr:uid="{A578873B-7B0D-4BF5-B904-9A69CE126276}">
      <formula1>七通一平</formula1>
    </dataValidation>
    <dataValidation type="list" allowBlank="1" showInputMessage="1" showErrorMessage="1" sqref="C69:C77 C80:C87 C47:C55 C58:C66" xr:uid="{1BC4A4A8-446B-4480-9785-D48381E9C9D3}">
      <formula1>五等判定</formula1>
    </dataValidation>
    <dataValidation type="list" allowBlank="1" showInputMessage="1" showErrorMessage="1" sqref="E3" xr:uid="{0D7BEE5D-82EB-472B-968A-BA375DE59D50}">
      <formula1>二级分类</formula1>
    </dataValidation>
    <dataValidation type="list" allowBlank="1" showInputMessage="1" showErrorMessage="1" sqref="C8" xr:uid="{44AAF6CE-0C61-4517-9D3E-2D815D57BF80}">
      <formula1>商业街名称</formula1>
    </dataValidation>
    <dataValidation type="list" allowBlank="1" showInputMessage="1" showErrorMessage="1" sqref="F3" xr:uid="{0FB5B613-3655-43EC-A39E-3B94B43EB5BC}">
      <formula1>"宗地容积率,估价对象容积率,自定义容积率"</formula1>
    </dataValidation>
    <dataValidation type="list" allowBlank="1" showInputMessage="1" showErrorMessage="1" sqref="H19" xr:uid="{B8DBA4DD-43E1-46CC-8AC4-3031019BF986}">
      <formula1>"地价指数,季度增幅（自定义）,按公示增长率计算"</formula1>
    </dataValidation>
    <dataValidation type="list" allowBlank="1" showInputMessage="1" showErrorMessage="1" sqref="F14" xr:uid="{F239F40B-E9D8-453A-8A26-75B59D005B28}">
      <formula1>"500米范围内,500-1000米,1000米以外"</formula1>
    </dataValidation>
    <dataValidation type="list" allowBlank="1" showInputMessage="1" showErrorMessage="1" sqref="C14:E14" xr:uid="{C2C23388-8BC2-48C5-9DC4-7B5E1E0C9A5C}">
      <formula1>"有,无"</formula1>
    </dataValidation>
    <dataValidation type="list" allowBlank="1" showInputMessage="1" showErrorMessage="1" sqref="B21" xr:uid="{23F50EA0-BDF8-4E8A-B3CA-2F689803724B}">
      <formula1>"容积率修正,楼层修正"</formula1>
    </dataValidation>
    <dataValidation type="list" allowBlank="1" showInputMessage="1" showErrorMessage="1" sqref="F17" xr:uid="{3E9B59BE-1D78-4CF8-B09A-69301D1E1FD1}">
      <formula1>"与级别开发程度一致,与级别开发程度不一致"</formula1>
    </dataValidation>
    <dataValidation type="list" allowBlank="1" showInputMessage="1" showErrorMessage="1" sqref="E2" xr:uid="{7EC15C04-67D3-4359-97F0-04D2F441FE08}">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7520F-7A0D-4F0F-B8C2-D0399FCE583D}">
  <sheetPr>
    <tabColor rgb="FF92D050"/>
  </sheetPr>
  <dimension ref="B2:D15"/>
  <sheetViews>
    <sheetView workbookViewId="0">
      <selection activeCell="C8" sqref="C8"/>
    </sheetView>
  </sheetViews>
  <sheetFormatPr defaultRowHeight="13.5"/>
  <cols>
    <col min="2" max="2" width="18.875" customWidth="1"/>
    <col min="4" max="4" width="22.25" customWidth="1"/>
  </cols>
  <sheetData>
    <row r="2" spans="2:4">
      <c r="B2" s="3213" t="s">
        <v>3223</v>
      </c>
      <c r="C2">
        <v>8130</v>
      </c>
      <c r="D2">
        <v>12190</v>
      </c>
    </row>
    <row r="3" spans="2:4">
      <c r="B3" t="str">
        <f>基准地价!B18</f>
        <v>用途修正系数</v>
      </c>
      <c r="C3">
        <f>基准地价!C18</f>
        <v>1</v>
      </c>
    </row>
    <row r="4" spans="2:4">
      <c r="B4" t="str">
        <f>基准地价!B19</f>
        <v>期日修正指数</v>
      </c>
      <c r="C4">
        <f>基准地价!C19</f>
        <v>1.3963000000000001</v>
      </c>
    </row>
    <row r="5" spans="2:4">
      <c r="B5" t="str">
        <f>基准地价!B20</f>
        <v>年期修正系数</v>
      </c>
      <c r="C5">
        <f ca="1">基准地价!C20</f>
        <v>1</v>
      </c>
    </row>
    <row r="6" spans="2:4">
      <c r="B6" t="str">
        <f>基准地价!B21</f>
        <v>容积率修正</v>
      </c>
      <c r="C6">
        <f>基准地价!C21</f>
        <v>1</v>
      </c>
    </row>
    <row r="7" spans="2:4">
      <c r="B7" t="str">
        <f>基准地价!B24</f>
        <v>因素修正系数</v>
      </c>
      <c r="C7">
        <f>基准地价!C24</f>
        <v>1</v>
      </c>
    </row>
    <row r="8" spans="2:4">
      <c r="B8" s="3213" t="s">
        <v>3222</v>
      </c>
      <c r="C8" s="4107">
        <f ca="1">ROUND(C2*C3*C4*C5*C6*C7,0)</f>
        <v>11352</v>
      </c>
    </row>
    <row r="10" spans="2:4">
      <c r="B10" s="3213" t="s">
        <v>3224</v>
      </c>
      <c r="C10">
        <f ca="1">基准地价!C30</f>
        <v>3522</v>
      </c>
      <c r="D10" s="3213" t="s">
        <v>3227</v>
      </c>
    </row>
    <row r="11" spans="2:4">
      <c r="B11" s="3213" t="s">
        <v>3225</v>
      </c>
      <c r="C11">
        <v>2586.21</v>
      </c>
    </row>
    <row r="12" spans="2:4">
      <c r="B12" s="3213" t="s">
        <v>3226</v>
      </c>
      <c r="C12" s="4107">
        <f ca="1">SUM(C10:C11)</f>
        <v>6108.21</v>
      </c>
    </row>
    <row r="15" spans="2:4">
      <c r="B15" s="4486" t="s">
        <v>3228</v>
      </c>
    </row>
  </sheetData>
  <phoneticPr fontId="225" type="noConversion"/>
  <hyperlinks>
    <hyperlink ref="B15" r:id="rId1" xr:uid="{D33829DB-CE8F-4A17-BC56-E1281410455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3580.29平方米。根据《建设工程规划许可证》[]、《出让合同》[]，估价对象规划建筑面积为8950.725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2021年12月20日</v>
      </c>
    </row>
    <row r="12" spans="1:4" ht="18.75">
      <c r="A12" s="1685" t="s">
        <v>1992</v>
      </c>
    </row>
    <row r="13" spans="1:4" ht="18.75">
      <c r="A13" s="1679" t="s">
        <v>2879</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根据《国有土地使用证》[]，估价对象（分摊）出让国有建设用地使用权面积为3580.29平方米。根据《建设工程规划许可证》[]、《出让合同》[]，估价对象规划建筑面积为8950.725平方米。</v>
      </c>
    </row>
    <row r="21" spans="1:1" ht="18.75">
      <c r="A21" s="1679" t="s">
        <v>2041</v>
      </c>
    </row>
    <row r="22" spans="1:1" ht="56.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本次估价对象为出让国有建设用地使用权，《国有土地使用证》[]证载土地终止日期为住宅2091年12月19日、商业2061年12月19日。截至估价期日，出让国有建设用地使用权剩余土地使用年限为。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row>
    <row r="26" spans="1:1" ht="18.75">
      <c r="A26" s="1679" t="str">
        <f>IF(项目基本情况!B9="市场价格","——",IF(项目基本情况!E8="抵押价格",定义!C54,IF(项目基本情况!E8="已注销",定义!C55,定义!C56)))</f>
        <v>——</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9" t="str">
        <f>IF(项目基本情况!B9="市场价格","——",IF(项目基本情况!E9="——","",定义!C57))</f>
        <v>——</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5710-998D-4205-A595-2A6CE250A4DF}">
  <sheetPr>
    <tabColor rgb="FF92D050"/>
    <pageSetUpPr fitToPage="1"/>
  </sheetPr>
  <dimension ref="A1:AC259"/>
  <sheetViews>
    <sheetView view="pageBreakPreview" topLeftCell="B26" zoomScale="80" zoomScaleNormal="95" zoomScaleSheetLayoutView="80" workbookViewId="0">
      <selection activeCell="C26" sqref="C26"/>
    </sheetView>
  </sheetViews>
  <sheetFormatPr defaultColWidth="9" defaultRowHeight="14.25"/>
  <cols>
    <col min="1" max="1" width="15.625" style="3751" customWidth="1"/>
    <col min="2" max="2" width="15.75" style="3751" customWidth="1"/>
    <col min="3" max="3" width="15.25" style="3751" customWidth="1"/>
    <col min="4" max="4" width="12.25" style="3751" customWidth="1"/>
    <col min="5" max="5" width="16.125" style="3751" customWidth="1"/>
    <col min="6" max="6" width="12.25" style="3751" customWidth="1"/>
    <col min="7" max="7" width="15.625" style="3751" customWidth="1"/>
    <col min="8" max="8" width="12.25" style="3751" customWidth="1"/>
    <col min="9" max="9" width="15.625" style="3751" customWidth="1"/>
    <col min="10" max="10" width="12.25" style="3751" customWidth="1"/>
    <col min="11" max="11" width="12.25" style="4101" customWidth="1"/>
    <col min="12" max="12" width="12.25" style="4102" customWidth="1"/>
    <col min="13" max="15" width="12.25" style="3751" customWidth="1"/>
    <col min="16" max="16" width="8.625" style="3751" customWidth="1"/>
    <col min="17" max="17" width="19.5" style="3751" customWidth="1"/>
    <col min="18" max="22" width="6.125" style="3751" customWidth="1"/>
    <col min="23" max="23" width="5.75" style="3751" customWidth="1"/>
    <col min="24" max="24" width="4.25" style="3751" customWidth="1"/>
    <col min="25" max="25" width="3.5" style="3751" customWidth="1"/>
    <col min="26" max="26" width="19.75" style="3751" customWidth="1"/>
    <col min="27" max="28" width="9.375" style="3751" customWidth="1"/>
    <col min="29" max="16384" width="9" style="3751"/>
  </cols>
  <sheetData>
    <row r="1" spans="1:29" s="3728" customFormat="1" ht="28.5" customHeight="1">
      <c r="A1" s="3717" t="s">
        <v>494</v>
      </c>
      <c r="B1" s="3718"/>
      <c r="C1" s="3719" t="s">
        <v>3146</v>
      </c>
      <c r="D1" s="3720" t="s">
        <v>3147</v>
      </c>
      <c r="E1" s="3721"/>
      <c r="F1" s="3722"/>
      <c r="G1" s="3721"/>
      <c r="H1" s="3721"/>
      <c r="I1" s="3721"/>
      <c r="J1" s="3721"/>
      <c r="K1" s="3723"/>
      <c r="L1" s="3724"/>
      <c r="M1" s="3725"/>
      <c r="N1" s="3725"/>
      <c r="O1" s="3725"/>
      <c r="P1" s="3726"/>
      <c r="Q1" s="3726"/>
      <c r="R1" s="3726"/>
      <c r="S1" s="3726"/>
      <c r="T1" s="3726"/>
      <c r="U1" s="3726"/>
      <c r="V1" s="3726"/>
      <c r="W1" s="3726"/>
      <c r="X1" s="3726"/>
      <c r="Y1" s="3726"/>
      <c r="Z1" s="3726"/>
      <c r="AA1" s="3726"/>
      <c r="AB1" s="3726"/>
      <c r="AC1" s="3727"/>
    </row>
    <row r="2" spans="1:29" s="3728" customFormat="1" ht="28.5" customHeight="1">
      <c r="A2" s="3456" t="s">
        <v>3138</v>
      </c>
      <c r="B2" s="3729">
        <f>F68</f>
        <v>387370</v>
      </c>
      <c r="C2" s="3730"/>
      <c r="D2" s="3730"/>
      <c r="E2" s="3731"/>
      <c r="F2" s="3732"/>
      <c r="G2" s="3731"/>
      <c r="H2" s="3731"/>
      <c r="I2" s="3731"/>
      <c r="J2" s="3731"/>
      <c r="K2" s="3733"/>
      <c r="L2" s="3734"/>
      <c r="M2" s="3726"/>
      <c r="N2" s="3726"/>
      <c r="O2" s="3726"/>
      <c r="P2" s="3726"/>
      <c r="Q2" s="3726"/>
      <c r="R2" s="3726"/>
      <c r="S2" s="3726"/>
      <c r="T2" s="3726"/>
      <c r="U2" s="3726"/>
      <c r="V2" s="3726"/>
      <c r="W2" s="3726"/>
      <c r="X2" s="3726"/>
      <c r="Y2" s="3726"/>
      <c r="Z2" s="3726"/>
      <c r="AA2" s="3726"/>
      <c r="AB2" s="3726"/>
      <c r="AC2" s="3727"/>
    </row>
    <row r="3" spans="1:29" s="3728" customFormat="1" ht="28.5" customHeight="1">
      <c r="A3" s="3735" t="s">
        <v>3148</v>
      </c>
      <c r="B3" s="3736">
        <f>ROUND(B2*10000/'[1]数据-汇总表'!E3,0)</f>
        <v>8162</v>
      </c>
      <c r="C3" s="3737"/>
      <c r="D3" s="3738"/>
      <c r="E3" s="3737"/>
      <c r="F3" s="3737"/>
      <c r="G3" s="3731"/>
      <c r="H3" s="3731"/>
      <c r="I3" s="3731"/>
      <c r="J3" s="3731"/>
      <c r="K3" s="3733"/>
      <c r="L3" s="3734"/>
      <c r="M3" s="3726"/>
      <c r="N3" s="3726"/>
      <c r="O3" s="3726"/>
      <c r="P3" s="3726"/>
      <c r="Q3" s="3726"/>
      <c r="R3" s="3726"/>
      <c r="S3" s="3726"/>
      <c r="T3" s="3726"/>
      <c r="U3" s="3726"/>
      <c r="V3" s="3726"/>
      <c r="W3" s="3726"/>
      <c r="X3" s="3726"/>
      <c r="Y3" s="3726"/>
      <c r="Z3" s="3726"/>
      <c r="AA3" s="3726"/>
      <c r="AB3" s="3739"/>
      <c r="AC3" s="3727"/>
    </row>
    <row r="4" spans="1:29" s="3728" customFormat="1" ht="28.5" customHeight="1">
      <c r="A4" s="3740" t="s">
        <v>3149</v>
      </c>
      <c r="B4" s="3741">
        <f>IF(B48="单位面积地价",C50,ROUND(B2*10000/'[1]数据-汇总表'!D3,0))</f>
        <v>22149</v>
      </c>
      <c r="C4" s="3737"/>
      <c r="D4" s="3738"/>
      <c r="E4" s="3737"/>
      <c r="F4" s="3737"/>
      <c r="G4" s="3731"/>
      <c r="H4" s="3731"/>
      <c r="I4" s="3731"/>
      <c r="J4" s="3731"/>
      <c r="K4" s="3733"/>
      <c r="L4" s="3734"/>
      <c r="M4" s="3726"/>
      <c r="N4" s="3726"/>
      <c r="O4" s="3726"/>
      <c r="P4" s="3726"/>
      <c r="Q4" s="3726"/>
      <c r="R4" s="3726"/>
      <c r="S4" s="3726"/>
      <c r="T4" s="3726"/>
      <c r="U4" s="3726"/>
      <c r="V4" s="3726"/>
      <c r="W4" s="3726"/>
      <c r="X4" s="3726"/>
      <c r="Y4" s="3726"/>
      <c r="Z4" s="3726"/>
      <c r="AA4" s="3726"/>
      <c r="AB4" s="3726"/>
      <c r="AC4" s="3727"/>
    </row>
    <row r="5" spans="1:29" s="3728" customFormat="1" ht="28.5" customHeight="1" thickBot="1">
      <c r="A5" s="3742"/>
      <c r="B5" s="3743">
        <f>ROUND(B2/('[1]数据-汇总表'!D3/666.67),0)</f>
        <v>1477</v>
      </c>
      <c r="C5" s="3744" t="s">
        <v>3150</v>
      </c>
      <c r="D5" s="3737"/>
      <c r="E5" s="3737"/>
      <c r="F5" s="3737"/>
      <c r="G5" s="3731"/>
      <c r="H5" s="3731"/>
      <c r="I5" s="3731"/>
      <c r="J5" s="3731"/>
      <c r="K5" s="3733"/>
      <c r="L5" s="3734"/>
      <c r="M5" s="3726"/>
      <c r="N5" s="3726"/>
      <c r="O5" s="3726"/>
      <c r="P5" s="3726"/>
      <c r="Q5" s="3726"/>
      <c r="R5" s="3726"/>
      <c r="S5" s="3726"/>
      <c r="T5" s="3726"/>
      <c r="U5" s="3726"/>
      <c r="V5" s="3726"/>
      <c r="W5" s="3726"/>
      <c r="X5" s="3726"/>
      <c r="Y5" s="3726"/>
      <c r="Z5" s="3726"/>
      <c r="AA5" s="3726"/>
      <c r="AB5" s="3726"/>
      <c r="AC5" s="3727"/>
    </row>
    <row r="6" spans="1:29" ht="20.25">
      <c r="A6" s="3745" t="s">
        <v>499</v>
      </c>
      <c r="B6" s="3746"/>
      <c r="C6" s="4398" t="s">
        <v>500</v>
      </c>
      <c r="D6" s="4399"/>
      <c r="E6" s="4398" t="s">
        <v>501</v>
      </c>
      <c r="F6" s="4399"/>
      <c r="G6" s="4398" t="s">
        <v>502</v>
      </c>
      <c r="H6" s="4399"/>
      <c r="I6" s="4398" t="s">
        <v>503</v>
      </c>
      <c r="J6" s="4399"/>
      <c r="K6" s="3747" t="s">
        <v>504</v>
      </c>
      <c r="L6" s="3748"/>
      <c r="M6" s="3726"/>
      <c r="N6" s="3726"/>
      <c r="O6" s="3749"/>
      <c r="P6" s="4400" t="s">
        <v>505</v>
      </c>
      <c r="Q6" s="4401"/>
      <c r="R6" s="4389" t="s">
        <v>501</v>
      </c>
      <c r="S6" s="4390"/>
      <c r="T6" s="4389" t="s">
        <v>502</v>
      </c>
      <c r="U6" s="4390"/>
      <c r="V6" s="4384" t="s">
        <v>503</v>
      </c>
      <c r="W6" s="4384"/>
      <c r="X6" s="3750"/>
      <c r="Y6" s="4389" t="s">
        <v>505</v>
      </c>
      <c r="Z6" s="4390"/>
      <c r="AA6" s="4395" t="s">
        <v>501</v>
      </c>
      <c r="AB6" s="4396" t="s">
        <v>502</v>
      </c>
      <c r="AC6" s="4395" t="s">
        <v>503</v>
      </c>
    </row>
    <row r="7" spans="1:29" ht="20.25">
      <c r="A7" s="3752"/>
      <c r="B7" s="3753"/>
      <c r="C7" s="4406" t="s">
        <v>2867</v>
      </c>
      <c r="D7" s="4407"/>
      <c r="E7" s="4406" t="str">
        <f>[1]土地案例!B4</f>
        <v>中关村西三旗科技园（1813-L09）公租房经营性配套部分</v>
      </c>
      <c r="F7" s="4407"/>
      <c r="G7" s="4408" t="str">
        <f>[1]土地案例!B16</f>
        <v>海淀区西北旺镇永丰产业基地（新）C4、C5地块公租房项目</v>
      </c>
      <c r="H7" s="4407"/>
      <c r="I7" s="4408" t="str">
        <f>[1]土地案例!B22</f>
        <v>上庄家园N28、N34地块三定三限项目</v>
      </c>
      <c r="J7" s="4407"/>
      <c r="K7" s="3747"/>
      <c r="L7" s="3748"/>
      <c r="M7" s="3726"/>
      <c r="N7" s="3726"/>
      <c r="O7" s="3749"/>
      <c r="P7" s="4402"/>
      <c r="Q7" s="4403"/>
      <c r="R7" s="4391"/>
      <c r="S7" s="4392"/>
      <c r="T7" s="4391"/>
      <c r="U7" s="4392"/>
      <c r="V7" s="4384"/>
      <c r="W7" s="4384"/>
      <c r="X7" s="3750"/>
      <c r="Y7" s="4391"/>
      <c r="Z7" s="4392"/>
      <c r="AA7" s="4396"/>
      <c r="AB7" s="4396"/>
      <c r="AC7" s="4396"/>
    </row>
    <row r="8" spans="1:29" ht="21" thickBot="1">
      <c r="A8" s="3752"/>
      <c r="B8" s="3753"/>
      <c r="C8" s="4409" t="s">
        <v>2871</v>
      </c>
      <c r="D8" s="4410"/>
      <c r="E8" s="4409" t="s">
        <v>2871</v>
      </c>
      <c r="F8" s="4410"/>
      <c r="G8" s="4411" t="s">
        <v>2871</v>
      </c>
      <c r="H8" s="4412"/>
      <c r="I8" s="4411" t="s">
        <v>2871</v>
      </c>
      <c r="J8" s="4412"/>
      <c r="K8" s="3747" t="s">
        <v>506</v>
      </c>
      <c r="L8" s="3748"/>
      <c r="M8" s="3726"/>
      <c r="N8" s="3726"/>
      <c r="O8" s="3749"/>
      <c r="P8" s="4404"/>
      <c r="Q8" s="4405"/>
      <c r="R8" s="4391"/>
      <c r="S8" s="4392"/>
      <c r="T8" s="4393"/>
      <c r="U8" s="4394"/>
      <c r="V8" s="4384"/>
      <c r="W8" s="4384"/>
      <c r="X8" s="3750"/>
      <c r="Y8" s="4393"/>
      <c r="Z8" s="4394"/>
      <c r="AA8" s="4397"/>
      <c r="AB8" s="4397"/>
      <c r="AC8" s="4397"/>
    </row>
    <row r="9" spans="1:29" s="3768" customFormat="1" ht="21" thickBot="1">
      <c r="A9" s="3754"/>
      <c r="B9" s="3755" t="s">
        <v>507</v>
      </c>
      <c r="C9" s="3756">
        <f>'[1]数据-取费表'!B2</f>
        <v>44503</v>
      </c>
      <c r="D9" s="3757">
        <v>100</v>
      </c>
      <c r="E9" s="3758">
        <f>[1]土地案例!Y4</f>
        <v>43451</v>
      </c>
      <c r="F9" s="3759">
        <f>SUMIF(72:72,YEAR(E9)&amp;"-"&amp;INT((MONTH(E9)+2)/3),73:73)</f>
        <v>97</v>
      </c>
      <c r="G9" s="3760">
        <v>43617</v>
      </c>
      <c r="H9" s="3757">
        <f>SUMIF(72:72,YEAR(G9)&amp;"-"&amp;INT((MONTH(G9)+2)/3),73:73)</f>
        <v>97</v>
      </c>
      <c r="I9" s="3760">
        <f>[1]土地案例!V22</f>
        <v>43952</v>
      </c>
      <c r="J9" s="3757">
        <f>SUMIF(72:72,YEAR(I9)&amp;"-"&amp;INT((MONTH(I9)+2)/3),73:73)</f>
        <v>99</v>
      </c>
      <c r="K9" s="3761"/>
      <c r="L9" s="3762"/>
      <c r="M9" s="3726"/>
      <c r="N9" s="3726"/>
      <c r="O9" s="3763"/>
      <c r="P9" s="4385" t="s">
        <v>508</v>
      </c>
      <c r="Q9" s="4386"/>
      <c r="R9" s="3764" t="s">
        <v>8</v>
      </c>
      <c r="S9" s="3765">
        <f t="shared" ref="S9:S17" si="0">F9</f>
        <v>97</v>
      </c>
      <c r="T9" s="3764" t="s">
        <v>8</v>
      </c>
      <c r="U9" s="3765">
        <f t="shared" ref="U9:U17" si="1">H9</f>
        <v>97</v>
      </c>
      <c r="V9" s="3764" t="s">
        <v>8</v>
      </c>
      <c r="W9" s="3765">
        <f t="shared" ref="W9:W17" si="2">J9</f>
        <v>99</v>
      </c>
      <c r="X9" s="3766"/>
      <c r="Y9" s="4385" t="s">
        <v>508</v>
      </c>
      <c r="Z9" s="4387"/>
      <c r="AA9" s="3767">
        <f>D9/F9</f>
        <v>1.0309278350515463</v>
      </c>
      <c r="AB9" s="3767">
        <f>D9/H9</f>
        <v>1.0309278350515463</v>
      </c>
      <c r="AC9" s="3767">
        <f>D9/J9</f>
        <v>1.0101010101010102</v>
      </c>
    </row>
    <row r="10" spans="1:29" s="3768" customFormat="1" ht="21" thickBot="1">
      <c r="A10" s="3769"/>
      <c r="B10" s="3770" t="s">
        <v>509</v>
      </c>
      <c r="C10" s="3771" t="s">
        <v>510</v>
      </c>
      <c r="D10" s="3757">
        <v>100</v>
      </c>
      <c r="E10" s="3771" t="s">
        <v>510</v>
      </c>
      <c r="F10" s="3759">
        <f>SUMIF(75:75,E10,76:76)-SUMIF(75:75,C10,76:76)+100</f>
        <v>100</v>
      </c>
      <c r="G10" s="3771" t="s">
        <v>510</v>
      </c>
      <c r="H10" s="3757">
        <f>SUMIF(75:75,G10,76:76)-SUMIF(75:75,C10,76:76)+100</f>
        <v>100</v>
      </c>
      <c r="I10" s="3771" t="s">
        <v>510</v>
      </c>
      <c r="J10" s="3757">
        <f>SUMIF(75:75,I10,76:76)-SUMIF(75:75,C10,76:76)+100</f>
        <v>100</v>
      </c>
      <c r="K10" s="3761"/>
      <c r="L10" s="3762"/>
      <c r="M10" s="3726"/>
      <c r="N10" s="3726"/>
      <c r="O10" s="3763"/>
      <c r="P10" s="4385" t="s">
        <v>511</v>
      </c>
      <c r="Q10" s="4387"/>
      <c r="R10" s="3764" t="s">
        <v>8</v>
      </c>
      <c r="S10" s="3765">
        <f t="shared" si="0"/>
        <v>100</v>
      </c>
      <c r="T10" s="3764" t="s">
        <v>8</v>
      </c>
      <c r="U10" s="3765">
        <f t="shared" si="1"/>
        <v>100</v>
      </c>
      <c r="V10" s="3764" t="s">
        <v>8</v>
      </c>
      <c r="W10" s="3765">
        <f t="shared" si="2"/>
        <v>100</v>
      </c>
      <c r="X10" s="3766"/>
      <c r="Y10" s="4385" t="s">
        <v>511</v>
      </c>
      <c r="Z10" s="4387"/>
      <c r="AA10" s="3767">
        <f t="shared" ref="AA10:AA47" si="3">D10/F10</f>
        <v>1</v>
      </c>
      <c r="AB10" s="3767">
        <f t="shared" ref="AB10:AB47" si="4">D10/H10</f>
        <v>1</v>
      </c>
      <c r="AC10" s="3767">
        <f t="shared" ref="AC10:AC47" si="5">D10/J10</f>
        <v>1</v>
      </c>
    </row>
    <row r="11" spans="1:29" s="3768" customFormat="1" ht="20.25">
      <c r="A11" s="3772"/>
      <c r="B11" s="3773" t="s">
        <v>2709</v>
      </c>
      <c r="C11" s="3774" t="s">
        <v>3126</v>
      </c>
      <c r="D11" s="3775">
        <v>100</v>
      </c>
      <c r="E11" s="3774" t="s">
        <v>3126</v>
      </c>
      <c r="F11" s="3775">
        <f>SUMIF(77:77,E11,78:78)-SUMIF(77:77,C11,78:78)+100</f>
        <v>100</v>
      </c>
      <c r="G11" s="3774" t="s">
        <v>3126</v>
      </c>
      <c r="H11" s="3775">
        <f>SUMIF(77:77,G11,78:78)-SUMIF(77:77,C11,78:78)+100</f>
        <v>100</v>
      </c>
      <c r="I11" s="3774" t="s">
        <v>3126</v>
      </c>
      <c r="J11" s="3775">
        <f>SUMIF(77:77,I11,78:78)-SUMIF(77:77,C11,78:78)+100</f>
        <v>100</v>
      </c>
      <c r="K11" s="3761"/>
      <c r="L11" s="3762"/>
      <c r="M11" s="3726"/>
      <c r="N11" s="3726"/>
      <c r="O11" s="3776"/>
      <c r="P11" s="4375" t="s">
        <v>513</v>
      </c>
      <c r="Q11" s="3777" t="str">
        <f t="shared" ref="Q11:Q17" si="6">B11</f>
        <v>用途</v>
      </c>
      <c r="R11" s="3764" t="s">
        <v>8</v>
      </c>
      <c r="S11" s="3765">
        <f t="shared" si="0"/>
        <v>100</v>
      </c>
      <c r="T11" s="3764" t="s">
        <v>8</v>
      </c>
      <c r="U11" s="3765">
        <f t="shared" si="1"/>
        <v>100</v>
      </c>
      <c r="V11" s="3764" t="s">
        <v>8</v>
      </c>
      <c r="W11" s="3765">
        <f t="shared" si="2"/>
        <v>100</v>
      </c>
      <c r="X11" s="3766"/>
      <c r="Y11" s="4388" t="s">
        <v>514</v>
      </c>
      <c r="Z11" s="3767" t="str">
        <f t="shared" ref="Z11:Z17" si="7">Q11</f>
        <v>用途</v>
      </c>
      <c r="AA11" s="3767">
        <f t="shared" si="3"/>
        <v>1</v>
      </c>
      <c r="AB11" s="3767">
        <f t="shared" si="4"/>
        <v>1</v>
      </c>
      <c r="AC11" s="3767">
        <f t="shared" si="5"/>
        <v>1</v>
      </c>
    </row>
    <row r="12" spans="1:29" s="3784" customFormat="1" ht="27">
      <c r="A12" s="3778"/>
      <c r="B12" s="3770" t="s">
        <v>2710</v>
      </c>
      <c r="C12" s="3779" t="s">
        <v>3151</v>
      </c>
      <c r="D12" s="3780">
        <v>100</v>
      </c>
      <c r="E12" s="3779" t="s">
        <v>3151</v>
      </c>
      <c r="F12" s="3780">
        <v>100</v>
      </c>
      <c r="G12" s="3779" t="s">
        <v>3151</v>
      </c>
      <c r="H12" s="3780">
        <v>100</v>
      </c>
      <c r="I12" s="3779" t="s">
        <v>3151</v>
      </c>
      <c r="J12" s="3780">
        <v>100</v>
      </c>
      <c r="K12" s="3781"/>
      <c r="L12" s="3782"/>
      <c r="M12" s="3726"/>
      <c r="N12" s="3726"/>
      <c r="O12" s="3783"/>
      <c r="P12" s="4375"/>
      <c r="Q12" s="3777" t="str">
        <f t="shared" si="6"/>
        <v>土地使用年限（年）</v>
      </c>
      <c r="R12" s="3764" t="s">
        <v>8</v>
      </c>
      <c r="S12" s="3765">
        <f t="shared" si="0"/>
        <v>100</v>
      </c>
      <c r="T12" s="3764" t="s">
        <v>8</v>
      </c>
      <c r="U12" s="3765">
        <f t="shared" si="1"/>
        <v>100</v>
      </c>
      <c r="V12" s="3764" t="s">
        <v>8</v>
      </c>
      <c r="W12" s="3765">
        <f t="shared" si="2"/>
        <v>100</v>
      </c>
      <c r="X12" s="3766"/>
      <c r="Y12" s="4388"/>
      <c r="Z12" s="3767" t="str">
        <f t="shared" si="7"/>
        <v>土地使用年限（年）</v>
      </c>
      <c r="AA12" s="3767">
        <f t="shared" si="3"/>
        <v>1</v>
      </c>
      <c r="AB12" s="3767">
        <f t="shared" si="4"/>
        <v>1</v>
      </c>
      <c r="AC12" s="3767">
        <f t="shared" si="5"/>
        <v>1</v>
      </c>
    </row>
    <row r="13" spans="1:29" ht="20.25">
      <c r="A13" s="3785"/>
      <c r="B13" s="3770" t="s">
        <v>2711</v>
      </c>
      <c r="C13" s="3786">
        <v>2.5</v>
      </c>
      <c r="D13" s="3780">
        <v>100</v>
      </c>
      <c r="E13" s="3787">
        <v>2.8</v>
      </c>
      <c r="F13" s="3780">
        <f>LOOKUP(E13,82:82,83:83)-LOOKUP(C13,82:82,83:83)+100</f>
        <v>100</v>
      </c>
      <c r="G13" s="3786">
        <v>2.1</v>
      </c>
      <c r="H13" s="3780">
        <f>LOOKUP(G13,82:82,83:83)-LOOKUP(C13,82:82,83:83)+100</f>
        <v>100</v>
      </c>
      <c r="I13" s="3787">
        <v>2.5</v>
      </c>
      <c r="J13" s="3780">
        <f>LOOKUP(I13,82:82,83:83)-LOOKUP(C13,82:82,83:83)+100</f>
        <v>100</v>
      </c>
      <c r="K13" s="3788">
        <v>2</v>
      </c>
      <c r="L13" s="3789"/>
      <c r="M13" s="3726"/>
      <c r="N13" s="3726"/>
      <c r="O13" s="3790"/>
      <c r="P13" s="4375"/>
      <c r="Q13" s="3777" t="str">
        <f t="shared" si="6"/>
        <v>容积率</v>
      </c>
      <c r="R13" s="3764" t="s">
        <v>8</v>
      </c>
      <c r="S13" s="3765">
        <f t="shared" si="0"/>
        <v>100</v>
      </c>
      <c r="T13" s="3764" t="s">
        <v>8</v>
      </c>
      <c r="U13" s="3765">
        <f t="shared" si="1"/>
        <v>100</v>
      </c>
      <c r="V13" s="3764" t="s">
        <v>8</v>
      </c>
      <c r="W13" s="3765">
        <f t="shared" si="2"/>
        <v>100</v>
      </c>
      <c r="X13" s="3766"/>
      <c r="Y13" s="4388"/>
      <c r="Z13" s="3767" t="str">
        <f t="shared" si="7"/>
        <v>容积率</v>
      </c>
      <c r="AA13" s="3767">
        <f t="shared" si="3"/>
        <v>1</v>
      </c>
      <c r="AB13" s="3767">
        <f t="shared" si="4"/>
        <v>1</v>
      </c>
      <c r="AC13" s="3767">
        <f t="shared" si="5"/>
        <v>1</v>
      </c>
    </row>
    <row r="14" spans="1:29" s="3768" customFormat="1" ht="20.25" hidden="1">
      <c r="A14" s="3769"/>
      <c r="B14" s="3791" t="s">
        <v>3152</v>
      </c>
      <c r="C14" s="3792"/>
      <c r="D14" s="3793">
        <v>100</v>
      </c>
      <c r="E14" s="3794"/>
      <c r="F14" s="3780">
        <f>SUMIF(84:84,E14,85:85)-SUMIF(84:84,C14,85:85)+100</f>
        <v>100</v>
      </c>
      <c r="G14" s="3795"/>
      <c r="H14" s="3780">
        <f>SUMIF(84:84,G14,85:85)-SUMIF(84:84,C14,85:85)+100</f>
        <v>100</v>
      </c>
      <c r="I14" s="3796"/>
      <c r="J14" s="3780">
        <f>SUMIF(84:84,I14,85:85)-SUMIF(84:84,C14,85:85)+100</f>
        <v>100</v>
      </c>
      <c r="K14" s="3781"/>
      <c r="L14" s="3762"/>
      <c r="M14" s="3726"/>
      <c r="N14" s="3726"/>
      <c r="O14" s="3776"/>
      <c r="P14" s="4375"/>
      <c r="Q14" s="3777" t="str">
        <f t="shared" si="6"/>
        <v>配建</v>
      </c>
      <c r="R14" s="3764" t="s">
        <v>8</v>
      </c>
      <c r="S14" s="3765">
        <f t="shared" si="0"/>
        <v>100</v>
      </c>
      <c r="T14" s="3764" t="s">
        <v>8</v>
      </c>
      <c r="U14" s="3765">
        <f t="shared" si="1"/>
        <v>100</v>
      </c>
      <c r="V14" s="3764" t="s">
        <v>8</v>
      </c>
      <c r="W14" s="3765">
        <f t="shared" si="2"/>
        <v>100</v>
      </c>
      <c r="X14" s="3766"/>
      <c r="Y14" s="4388"/>
      <c r="Z14" s="3767" t="str">
        <f t="shared" si="7"/>
        <v>配建</v>
      </c>
      <c r="AA14" s="3767">
        <f>D14/F14</f>
        <v>1</v>
      </c>
      <c r="AB14" s="3767">
        <f>D14/H14</f>
        <v>1</v>
      </c>
      <c r="AC14" s="3767">
        <f>D14/J14</f>
        <v>1</v>
      </c>
    </row>
    <row r="15" spans="1:29" ht="20.25">
      <c r="A15" s="3797"/>
      <c r="B15" s="3798" t="s">
        <v>3153</v>
      </c>
      <c r="C15" s="3799" t="s">
        <v>3154</v>
      </c>
      <c r="D15" s="3800">
        <v>100</v>
      </c>
      <c r="E15" s="3801" t="s">
        <v>3155</v>
      </c>
      <c r="F15" s="3780">
        <f>SUMIF(86:86,E15,87:87)-SUMIF(86:86,C15,87:87)+100</f>
        <v>105</v>
      </c>
      <c r="G15" s="3801" t="s">
        <v>3155</v>
      </c>
      <c r="H15" s="3800">
        <f>SUMIF(86:86,G15,87:87)-SUMIF(86:86,C15,87:87)+100</f>
        <v>105</v>
      </c>
      <c r="I15" s="3801" t="s">
        <v>3155</v>
      </c>
      <c r="J15" s="3800">
        <f>SUMIF(86:86,I15,87:87)-SUMIF(86:86,C15,87:87)+100</f>
        <v>105</v>
      </c>
      <c r="K15" s="3781"/>
      <c r="L15" s="3802"/>
      <c r="M15" s="3726"/>
      <c r="N15" s="3726"/>
      <c r="O15" s="3790"/>
      <c r="P15" s="4375"/>
      <c r="Q15" s="3777" t="str">
        <f t="shared" si="6"/>
        <v>产业限制</v>
      </c>
      <c r="R15" s="3764" t="s">
        <v>8</v>
      </c>
      <c r="S15" s="3765">
        <f t="shared" si="0"/>
        <v>105</v>
      </c>
      <c r="T15" s="3764" t="s">
        <v>8</v>
      </c>
      <c r="U15" s="3765">
        <f t="shared" si="1"/>
        <v>105</v>
      </c>
      <c r="V15" s="3764" t="s">
        <v>8</v>
      </c>
      <c r="W15" s="3765">
        <f t="shared" si="2"/>
        <v>105</v>
      </c>
      <c r="X15" s="3766"/>
      <c r="Y15" s="4388"/>
      <c r="Z15" s="3767" t="str">
        <f t="shared" si="7"/>
        <v>产业限制</v>
      </c>
      <c r="AA15" s="3767">
        <f>D15/F15</f>
        <v>0.95238095238095233</v>
      </c>
      <c r="AB15" s="3767">
        <f>D15/H15</f>
        <v>0.95238095238095233</v>
      </c>
      <c r="AC15" s="3767">
        <f>D15/J15</f>
        <v>0.95238095238095233</v>
      </c>
    </row>
    <row r="16" spans="1:29" ht="21" hidden="1" thickBot="1">
      <c r="A16" s="3803"/>
      <c r="B16" s="3804">
        <v>111</v>
      </c>
      <c r="C16" s="3805"/>
      <c r="D16" s="3806">
        <v>100</v>
      </c>
      <c r="E16" s="3807"/>
      <c r="F16" s="3806">
        <f>SUMIF(88:88,E16,89:89)-SUMIF(88:88,C16,89:89)+100</f>
        <v>100</v>
      </c>
      <c r="G16" s="3808"/>
      <c r="H16" s="3806">
        <f>SUMIF(88:88,G16,89:89)-SUMIF(88:88,C16,89:89)+100</f>
        <v>100</v>
      </c>
      <c r="I16" s="3808"/>
      <c r="J16" s="3806">
        <f>SUMIF(88:88,I16,89:89)-SUMIF(88:88,C16,89:89)+100</f>
        <v>100</v>
      </c>
      <c r="K16" s="3781"/>
      <c r="L16" s="3802"/>
      <c r="M16" s="3726"/>
      <c r="N16" s="3726"/>
      <c r="O16" s="3790"/>
      <c r="P16" s="4375"/>
      <c r="Q16" s="3777">
        <f t="shared" si="6"/>
        <v>111</v>
      </c>
      <c r="R16" s="3764" t="s">
        <v>8</v>
      </c>
      <c r="S16" s="3765">
        <f t="shared" si="0"/>
        <v>100</v>
      </c>
      <c r="T16" s="3764" t="s">
        <v>8</v>
      </c>
      <c r="U16" s="3765">
        <f t="shared" si="1"/>
        <v>100</v>
      </c>
      <c r="V16" s="3764" t="s">
        <v>8</v>
      </c>
      <c r="W16" s="3765">
        <f t="shared" si="2"/>
        <v>100</v>
      </c>
      <c r="X16" s="3766"/>
      <c r="Y16" s="4388"/>
      <c r="Z16" s="3767">
        <f t="shared" si="7"/>
        <v>111</v>
      </c>
      <c r="AA16" s="3767">
        <f>D16/F16</f>
        <v>1</v>
      </c>
      <c r="AB16" s="3767">
        <f>D16/H16</f>
        <v>1</v>
      </c>
      <c r="AC16" s="3767">
        <f>D16/J16</f>
        <v>1</v>
      </c>
    </row>
    <row r="17" spans="1:29" ht="99.75" hidden="1">
      <c r="A17" s="3809" t="s">
        <v>3156</v>
      </c>
      <c r="B17" s="3810" t="s">
        <v>295</v>
      </c>
      <c r="C17" s="3811" t="str">
        <f>[1]估价对象房地状况!C15</f>
        <v>估价对象周边居住用地比例、居住小区规模和社区发展完善程度，综合评价居住社区成熟度一般</v>
      </c>
      <c r="D17" s="3812">
        <v>100</v>
      </c>
      <c r="E17" s="3813"/>
      <c r="F17" s="3814">
        <f>SUMIF(90:90,E18,91:91)-SUMIF(90:90,C18,91:91)+100</f>
        <v>100</v>
      </c>
      <c r="G17" s="3815"/>
      <c r="H17" s="3814">
        <f>SUMIF(90:90,G18,91:91)-SUMIF(90:90,C18,91:91)+100</f>
        <v>100</v>
      </c>
      <c r="I17" s="3813"/>
      <c r="J17" s="3814">
        <f>SUMIF(90:90,I18,91:91)-SUMIF(90:90,C18,91:91)+100</f>
        <v>100</v>
      </c>
      <c r="K17" s="3788"/>
      <c r="L17" s="3802"/>
      <c r="M17" s="3726"/>
      <c r="N17" s="3726"/>
      <c r="O17" s="3790"/>
      <c r="P17" s="4377" t="s">
        <v>518</v>
      </c>
      <c r="Q17" s="3816" t="str">
        <f t="shared" si="6"/>
        <v>居住社区成熟度</v>
      </c>
      <c r="R17" s="3817" t="s">
        <v>8</v>
      </c>
      <c r="S17" s="3818">
        <f t="shared" si="0"/>
        <v>100</v>
      </c>
      <c r="T17" s="3817" t="s">
        <v>8</v>
      </c>
      <c r="U17" s="3818">
        <f t="shared" si="1"/>
        <v>100</v>
      </c>
      <c r="V17" s="3817" t="s">
        <v>8</v>
      </c>
      <c r="W17" s="3818">
        <f t="shared" si="2"/>
        <v>100</v>
      </c>
      <c r="X17" s="3750"/>
      <c r="Y17" s="4377" t="s">
        <v>518</v>
      </c>
      <c r="Z17" s="3819" t="str">
        <f t="shared" si="7"/>
        <v>居住社区成熟度</v>
      </c>
      <c r="AA17" s="3819">
        <f t="shared" si="3"/>
        <v>1</v>
      </c>
      <c r="AB17" s="3819">
        <f t="shared" si="4"/>
        <v>1</v>
      </c>
      <c r="AC17" s="3819">
        <f t="shared" si="5"/>
        <v>1</v>
      </c>
    </row>
    <row r="18" spans="1:29" ht="20.25" hidden="1">
      <c r="A18" s="3820"/>
      <c r="B18" s="3821"/>
      <c r="C18" s="3822" t="s">
        <v>1628</v>
      </c>
      <c r="D18" s="3823"/>
      <c r="E18" s="3824"/>
      <c r="F18" s="3825"/>
      <c r="G18" s="3826"/>
      <c r="H18" s="3827"/>
      <c r="I18" s="3824"/>
      <c r="J18" s="3825"/>
      <c r="K18" s="3781"/>
      <c r="L18" s="3802"/>
      <c r="M18" s="3726"/>
      <c r="N18" s="3726"/>
      <c r="O18" s="3790"/>
      <c r="P18" s="4378"/>
      <c r="Q18" s="3816"/>
      <c r="R18" s="3817"/>
      <c r="S18" s="3818"/>
      <c r="T18" s="3817"/>
      <c r="U18" s="3818"/>
      <c r="V18" s="3817"/>
      <c r="W18" s="3818"/>
      <c r="X18" s="3750"/>
      <c r="Y18" s="4378"/>
      <c r="Z18" s="3819"/>
      <c r="AA18" s="3819">
        <v>1</v>
      </c>
      <c r="AB18" s="3819">
        <v>1</v>
      </c>
      <c r="AC18" s="3819">
        <v>1</v>
      </c>
    </row>
    <row r="19" spans="1:29" ht="100.5" thickBot="1">
      <c r="A19" s="3820"/>
      <c r="B19" s="3828" t="s">
        <v>562</v>
      </c>
      <c r="C19" s="3829" t="str">
        <f>[1]估价对象房地状况!C16</f>
        <v>估价对象位于永丰商圈，周边有海淀悦界主题街区，商业氛围一般，人流量一般，商业繁华度一般</v>
      </c>
      <c r="D19" s="3830">
        <v>100</v>
      </c>
      <c r="E19" s="3831" t="s">
        <v>3157</v>
      </c>
      <c r="F19" s="3827">
        <f>SUMIF(92:92,E20,93:93)-SUMIF(92:92,C20,93:93)+100</f>
        <v>103</v>
      </c>
      <c r="G19" s="3832" t="s">
        <v>3158</v>
      </c>
      <c r="H19" s="3833">
        <f>SUMIF(92:92,G20,93:93)-SUMIF(92:92,C20,93:93)+100</f>
        <v>100</v>
      </c>
      <c r="I19" s="3834" t="s">
        <v>3158</v>
      </c>
      <c r="J19" s="3833">
        <f>SUMIF(92:92,I20,93:93)-SUMIF(92:92,C20,93:93)+100</f>
        <v>100</v>
      </c>
      <c r="K19" s="3788">
        <v>3</v>
      </c>
      <c r="L19" s="3802"/>
      <c r="M19" s="3726"/>
      <c r="N19" s="3726"/>
      <c r="O19" s="3790"/>
      <c r="P19" s="4378"/>
      <c r="Q19" s="3816" t="str">
        <f>B19</f>
        <v>商业繁华度</v>
      </c>
      <c r="R19" s="3817" t="s">
        <v>8</v>
      </c>
      <c r="S19" s="3818">
        <f>F19</f>
        <v>103</v>
      </c>
      <c r="T19" s="3817" t="s">
        <v>8</v>
      </c>
      <c r="U19" s="3818">
        <f>H19</f>
        <v>100</v>
      </c>
      <c r="V19" s="3817" t="s">
        <v>8</v>
      </c>
      <c r="W19" s="3818">
        <f>J19</f>
        <v>100</v>
      </c>
      <c r="X19" s="3750"/>
      <c r="Y19" s="4378"/>
      <c r="Z19" s="3819" t="str">
        <f>Q19</f>
        <v>商业繁华度</v>
      </c>
      <c r="AA19" s="3819">
        <f t="shared" si="3"/>
        <v>0.970873786407767</v>
      </c>
      <c r="AB19" s="3819">
        <f t="shared" si="4"/>
        <v>1</v>
      </c>
      <c r="AC19" s="3819">
        <f t="shared" si="5"/>
        <v>1</v>
      </c>
    </row>
    <row r="20" spans="1:29" ht="20.25">
      <c r="A20" s="3820"/>
      <c r="B20" s="3835"/>
      <c r="C20" s="3836" t="s">
        <v>3159</v>
      </c>
      <c r="D20" s="3830"/>
      <c r="E20" s="3837" t="s">
        <v>3160</v>
      </c>
      <c r="F20" s="3827"/>
      <c r="G20" s="3838" t="s">
        <v>3159</v>
      </c>
      <c r="H20" s="3825"/>
      <c r="I20" s="3837" t="s">
        <v>3159</v>
      </c>
      <c r="J20" s="3825"/>
      <c r="K20" s="3781"/>
      <c r="L20" s="3802"/>
      <c r="M20" s="3726"/>
      <c r="N20" s="3726"/>
      <c r="O20" s="3790"/>
      <c r="P20" s="4378"/>
      <c r="Q20" s="3816"/>
      <c r="R20" s="3817"/>
      <c r="S20" s="3818"/>
      <c r="T20" s="3817"/>
      <c r="U20" s="3818"/>
      <c r="V20" s="3817"/>
      <c r="W20" s="3818"/>
      <c r="X20" s="3750"/>
      <c r="Y20" s="4378"/>
      <c r="Z20" s="3819"/>
      <c r="AA20" s="3819">
        <v>1</v>
      </c>
      <c r="AB20" s="3819">
        <v>1</v>
      </c>
      <c r="AC20" s="3819">
        <v>1</v>
      </c>
    </row>
    <row r="21" spans="1:29" ht="114" hidden="1">
      <c r="A21" s="3820"/>
      <c r="B21" s="3828" t="s">
        <v>563</v>
      </c>
      <c r="C21" s="3829" t="str">
        <f>[1]估价对象房地状况!C17</f>
        <v>估价对象位于永丰商圈，周边有永丰产业园区、海淀绿地中央广场等办公楼项目，入驻率高，办公集聚程度较好</v>
      </c>
      <c r="D21" s="3839">
        <v>100</v>
      </c>
      <c r="E21" s="3840"/>
      <c r="F21" s="3833">
        <f>SUMIF(94:94,E22,95:95)-SUMIF(94:94,C22,95:95)+100</f>
        <v>100</v>
      </c>
      <c r="G21" s="3841"/>
      <c r="H21" s="3827">
        <f>SUMIF(94:94,G22,95:95)-SUMIF(94:94,C22,95:95)+100</f>
        <v>100</v>
      </c>
      <c r="I21" s="3840"/>
      <c r="J21" s="3827">
        <f>SUMIF(94:94,I22,95:95)-SUMIF(94:94,C22,95:95)+100</f>
        <v>100</v>
      </c>
      <c r="K21" s="3788"/>
      <c r="L21" s="3802"/>
      <c r="M21" s="3726"/>
      <c r="N21" s="3726"/>
      <c r="O21" s="3790"/>
      <c r="P21" s="4378"/>
      <c r="Q21" s="3816" t="str">
        <f>B21</f>
        <v>办公集聚程度</v>
      </c>
      <c r="R21" s="3817" t="s">
        <v>8</v>
      </c>
      <c r="S21" s="3818">
        <f>F21</f>
        <v>100</v>
      </c>
      <c r="T21" s="3817" t="s">
        <v>8</v>
      </c>
      <c r="U21" s="3818">
        <f>H21</f>
        <v>100</v>
      </c>
      <c r="V21" s="3817" t="s">
        <v>8</v>
      </c>
      <c r="W21" s="3818">
        <f>J21</f>
        <v>100</v>
      </c>
      <c r="X21" s="3750"/>
      <c r="Y21" s="4378"/>
      <c r="Z21" s="3819" t="str">
        <f>Q21</f>
        <v>办公集聚程度</v>
      </c>
      <c r="AA21" s="3819">
        <f t="shared" si="3"/>
        <v>1</v>
      </c>
      <c r="AB21" s="3819">
        <f t="shared" si="4"/>
        <v>1</v>
      </c>
      <c r="AC21" s="3819">
        <f t="shared" si="5"/>
        <v>1</v>
      </c>
    </row>
    <row r="22" spans="1:29" ht="20.25" hidden="1">
      <c r="A22" s="3820"/>
      <c r="B22" s="3835"/>
      <c r="C22" s="3822"/>
      <c r="D22" s="3823"/>
      <c r="E22" s="3824"/>
      <c r="F22" s="3825"/>
      <c r="G22" s="3826"/>
      <c r="H22" s="3825"/>
      <c r="I22" s="3824"/>
      <c r="J22" s="3825"/>
      <c r="K22" s="3781"/>
      <c r="L22" s="3802"/>
      <c r="M22" s="3726"/>
      <c r="N22" s="3726"/>
      <c r="O22" s="3790"/>
      <c r="P22" s="4378"/>
      <c r="Q22" s="3816"/>
      <c r="R22" s="3817"/>
      <c r="S22" s="3818"/>
      <c r="T22" s="3817"/>
      <c r="U22" s="3818"/>
      <c r="V22" s="3817"/>
      <c r="W22" s="3818"/>
      <c r="X22" s="3750"/>
      <c r="Y22" s="4378"/>
      <c r="Z22" s="3819"/>
      <c r="AA22" s="3819">
        <v>1</v>
      </c>
      <c r="AB22" s="3819">
        <v>1</v>
      </c>
      <c r="AC22" s="3819">
        <v>1</v>
      </c>
    </row>
    <row r="23" spans="1:29" ht="72.75" customHeight="1">
      <c r="A23" s="3820"/>
      <c r="B23" s="3828" t="s">
        <v>564</v>
      </c>
      <c r="C23" s="3842" t="str">
        <f>[1]估价对象房地状况!C18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23" s="3830">
        <v>100</v>
      </c>
      <c r="E23" s="3834" t="s">
        <v>3161</v>
      </c>
      <c r="F23" s="3833">
        <f>SUMIF(96:96,E24,97:97)-SUMIF(96:96,C24,97:97)+100</f>
        <v>102</v>
      </c>
      <c r="G23" s="3834" t="s">
        <v>3162</v>
      </c>
      <c r="H23" s="3827">
        <f>SUMIF(96:96,G24,97:97)-SUMIF(96:96,C24,97:97)+100</f>
        <v>100</v>
      </c>
      <c r="I23" s="3834" t="s">
        <v>3163</v>
      </c>
      <c r="J23" s="3827">
        <f>SUMIF(96:96,I24,97:97)-SUMIF(96:96,C24,97:97)+100</f>
        <v>98</v>
      </c>
      <c r="K23" s="3788">
        <v>2</v>
      </c>
      <c r="L23" s="3802"/>
      <c r="M23" s="3726"/>
      <c r="N23" s="3726"/>
      <c r="O23" s="3790"/>
      <c r="P23" s="4378"/>
      <c r="Q23" s="3816" t="str">
        <f>B23</f>
        <v>交通便捷度</v>
      </c>
      <c r="R23" s="3817" t="s">
        <v>8</v>
      </c>
      <c r="S23" s="3818">
        <f>F23</f>
        <v>102</v>
      </c>
      <c r="T23" s="3817" t="s">
        <v>8</v>
      </c>
      <c r="U23" s="3818">
        <f>H23</f>
        <v>100</v>
      </c>
      <c r="V23" s="3817" t="s">
        <v>8</v>
      </c>
      <c r="W23" s="3818">
        <f>J23</f>
        <v>98</v>
      </c>
      <c r="X23" s="3750"/>
      <c r="Y23" s="4378"/>
      <c r="Z23" s="3819" t="str">
        <f>Q23</f>
        <v>交通便捷度</v>
      </c>
      <c r="AA23" s="3819">
        <f t="shared" si="3"/>
        <v>0.98039215686274506</v>
      </c>
      <c r="AB23" s="3819">
        <f t="shared" si="4"/>
        <v>1</v>
      </c>
      <c r="AC23" s="3819">
        <f t="shared" si="5"/>
        <v>1.0204081632653061</v>
      </c>
    </row>
    <row r="24" spans="1:29" ht="20.25">
      <c r="A24" s="3820"/>
      <c r="B24" s="3810"/>
      <c r="C24" s="3822" t="s">
        <v>3159</v>
      </c>
      <c r="D24" s="3823"/>
      <c r="E24" s="3824" t="s">
        <v>3160</v>
      </c>
      <c r="F24" s="3825"/>
      <c r="G24" s="3826" t="s">
        <v>3159</v>
      </c>
      <c r="H24" s="3825"/>
      <c r="I24" s="3824" t="s">
        <v>3164</v>
      </c>
      <c r="J24" s="3825"/>
      <c r="K24" s="3781"/>
      <c r="L24" s="3802"/>
      <c r="M24" s="3726"/>
      <c r="N24" s="3726"/>
      <c r="O24" s="3790"/>
      <c r="P24" s="4378"/>
      <c r="Q24" s="3816"/>
      <c r="R24" s="3817"/>
      <c r="S24" s="3818"/>
      <c r="T24" s="3817"/>
      <c r="U24" s="3818"/>
      <c r="V24" s="3817"/>
      <c r="W24" s="3818"/>
      <c r="X24" s="3750"/>
      <c r="Y24" s="4378"/>
      <c r="Z24" s="3819"/>
      <c r="AA24" s="3819">
        <v>1</v>
      </c>
      <c r="AB24" s="3819">
        <v>1</v>
      </c>
      <c r="AC24" s="3819">
        <v>1</v>
      </c>
    </row>
    <row r="25" spans="1:29" ht="42.75">
      <c r="A25" s="3752"/>
      <c r="B25" s="3843" t="s">
        <v>565</v>
      </c>
      <c r="C25" s="3842" t="str">
        <f>[1]估价对象房地状况!C19</f>
        <v>零星有其他用地，基本不影响本宗地</v>
      </c>
      <c r="D25" s="3830">
        <v>100</v>
      </c>
      <c r="E25" s="3834" t="s">
        <v>3165</v>
      </c>
      <c r="F25" s="3833">
        <f>SUMIF(98:98,E26,99:99)-SUMIF(98:98,C26,99:99)+100</f>
        <v>100</v>
      </c>
      <c r="G25" s="3844" t="s">
        <v>3165</v>
      </c>
      <c r="H25" s="3827">
        <f>SUMIF(98:98,G26,99:99)-SUMIF(98:98,C26,99:99)+100</f>
        <v>100</v>
      </c>
      <c r="I25" s="3834" t="s">
        <v>3165</v>
      </c>
      <c r="J25" s="3827">
        <f>SUMIF(98:98,I26,99:99)-SUMIF(98:98,C26,99:99)+100</f>
        <v>100</v>
      </c>
      <c r="K25" s="3788">
        <v>2</v>
      </c>
      <c r="L25" s="3802"/>
      <c r="M25" s="3726"/>
      <c r="N25" s="3726"/>
      <c r="O25" s="3790"/>
      <c r="P25" s="4378"/>
      <c r="Q25" s="3816" t="str">
        <f t="shared" ref="Q25:Q39" si="8">B25</f>
        <v>区域土地利用方向</v>
      </c>
      <c r="R25" s="3817" t="s">
        <v>8</v>
      </c>
      <c r="S25" s="3818">
        <f>F25</f>
        <v>100</v>
      </c>
      <c r="T25" s="3817" t="s">
        <v>8</v>
      </c>
      <c r="U25" s="3818">
        <f>H25</f>
        <v>100</v>
      </c>
      <c r="V25" s="3817" t="s">
        <v>8</v>
      </c>
      <c r="W25" s="3818">
        <f>J25</f>
        <v>100</v>
      </c>
      <c r="X25" s="3750"/>
      <c r="Y25" s="4378"/>
      <c r="Z25" s="3819" t="str">
        <f>Q25</f>
        <v>区域土地利用方向</v>
      </c>
      <c r="AA25" s="3819">
        <f t="shared" si="3"/>
        <v>1</v>
      </c>
      <c r="AB25" s="3819">
        <f t="shared" si="4"/>
        <v>1</v>
      </c>
      <c r="AC25" s="3819">
        <f t="shared" si="5"/>
        <v>1</v>
      </c>
    </row>
    <row r="26" spans="1:29" ht="20.25">
      <c r="A26" s="3752"/>
      <c r="B26" s="3845"/>
      <c r="C26" s="3822" t="s">
        <v>3160</v>
      </c>
      <c r="D26" s="3823"/>
      <c r="E26" s="3822" t="s">
        <v>3160</v>
      </c>
      <c r="F26" s="3825"/>
      <c r="G26" s="3822" t="s">
        <v>3160</v>
      </c>
      <c r="H26" s="3825"/>
      <c r="I26" s="3822" t="s">
        <v>3160</v>
      </c>
      <c r="J26" s="3825"/>
      <c r="K26" s="3781"/>
      <c r="L26" s="3802"/>
      <c r="M26" s="3726"/>
      <c r="N26" s="3726"/>
      <c r="O26" s="3790"/>
      <c r="P26" s="4378"/>
      <c r="Q26" s="3816"/>
      <c r="R26" s="3817"/>
      <c r="S26" s="3818"/>
      <c r="T26" s="3817"/>
      <c r="U26" s="3818"/>
      <c r="V26" s="3817"/>
      <c r="W26" s="3818"/>
      <c r="X26" s="3750"/>
      <c r="Y26" s="4378"/>
      <c r="Z26" s="3819"/>
      <c r="AA26" s="3819"/>
      <c r="AB26" s="3819"/>
      <c r="AC26" s="3819"/>
    </row>
    <row r="27" spans="1:29" ht="72.75" customHeight="1">
      <c r="A27" s="3752"/>
      <c r="B27" s="3810" t="s">
        <v>566</v>
      </c>
      <c r="C27" s="3829" t="str">
        <f>[1]估价对象房地状况!C20</f>
        <v>估价对象周边绿化条件较好，周边2公里内有悦康公园、南沙河等绿化景观；无人文设施，综合考虑自然环境与人文环境一般。</v>
      </c>
      <c r="D27" s="3830">
        <v>100</v>
      </c>
      <c r="E27" s="3846" t="s">
        <v>3166</v>
      </c>
      <c r="F27" s="3827">
        <f>SUMIF(100:100,E28,101:101)-SUMIF(100:100,C28,101:101)+100</f>
        <v>101</v>
      </c>
      <c r="G27" s="3846" t="s">
        <v>3167</v>
      </c>
      <c r="H27" s="3827">
        <f>SUMIF(100:100,G28,101:101)-SUMIF(100:100,C28,101:101)+100</f>
        <v>101</v>
      </c>
      <c r="I27" s="3847" t="s">
        <v>3168</v>
      </c>
      <c r="J27" s="3827">
        <f>SUMIF(100:100,I28,101:101)-SUMIF(100:100,C28,101:101)+100</f>
        <v>101</v>
      </c>
      <c r="K27" s="3788">
        <v>1</v>
      </c>
      <c r="L27" s="3802"/>
      <c r="M27" s="3726"/>
      <c r="N27" s="3726"/>
      <c r="O27" s="3790"/>
      <c r="P27" s="4378"/>
      <c r="Q27" s="3816" t="str">
        <f t="shared" si="8"/>
        <v>自然及人文环境状况</v>
      </c>
      <c r="R27" s="3817" t="s">
        <v>8</v>
      </c>
      <c r="S27" s="3818">
        <f>F27</f>
        <v>101</v>
      </c>
      <c r="T27" s="3817" t="s">
        <v>8</v>
      </c>
      <c r="U27" s="3818">
        <f>H27</f>
        <v>101</v>
      </c>
      <c r="V27" s="3817" t="s">
        <v>8</v>
      </c>
      <c r="W27" s="3818">
        <f>J27</f>
        <v>101</v>
      </c>
      <c r="X27" s="3750"/>
      <c r="Y27" s="4378"/>
      <c r="Z27" s="3819" t="str">
        <f>Q27</f>
        <v>自然及人文环境状况</v>
      </c>
      <c r="AA27" s="3819">
        <f t="shared" si="3"/>
        <v>0.99009900990099009</v>
      </c>
      <c r="AB27" s="3819">
        <f t="shared" si="4"/>
        <v>0.99009900990099009</v>
      </c>
      <c r="AC27" s="3819">
        <f t="shared" si="5"/>
        <v>0.99009900990099009</v>
      </c>
    </row>
    <row r="28" spans="1:29" ht="20.25">
      <c r="A28" s="3752"/>
      <c r="B28" s="3835"/>
      <c r="C28" s="3822" t="s">
        <v>3159</v>
      </c>
      <c r="D28" s="3823"/>
      <c r="E28" s="3848" t="s">
        <v>3160</v>
      </c>
      <c r="F28" s="3825"/>
      <c r="G28" s="3848" t="s">
        <v>3160</v>
      </c>
      <c r="H28" s="3825"/>
      <c r="I28" s="3848" t="s">
        <v>3160</v>
      </c>
      <c r="J28" s="3825"/>
      <c r="K28" s="3781"/>
      <c r="L28" s="3802"/>
      <c r="M28" s="3726"/>
      <c r="N28" s="3726"/>
      <c r="O28" s="3790"/>
      <c r="P28" s="4378"/>
      <c r="Q28" s="3816"/>
      <c r="R28" s="3817"/>
      <c r="S28" s="3818"/>
      <c r="T28" s="3817"/>
      <c r="U28" s="3818"/>
      <c r="V28" s="3817"/>
      <c r="W28" s="3818"/>
      <c r="X28" s="3750"/>
      <c r="Y28" s="4378"/>
      <c r="Z28" s="3819"/>
      <c r="AA28" s="3819">
        <v>1</v>
      </c>
      <c r="AB28" s="3819">
        <v>1</v>
      </c>
      <c r="AC28" s="3819">
        <v>1</v>
      </c>
    </row>
    <row r="29" spans="1:29" s="3768" customFormat="1" ht="99.75" customHeight="1">
      <c r="A29" s="3849"/>
      <c r="B29" s="3850" t="s">
        <v>2282</v>
      </c>
      <c r="C29" s="3842" t="str">
        <f>[1]估价对象房地状况!C21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D29" s="3830">
        <v>100</v>
      </c>
      <c r="E29" s="3846" t="s">
        <v>3169</v>
      </c>
      <c r="F29" s="3827">
        <f>SUMIF(102:102,E30,103:103)-SUMIF(102:102,C30,103:103)+100</f>
        <v>101</v>
      </c>
      <c r="G29" s="3846" t="s">
        <v>3170</v>
      </c>
      <c r="H29" s="3827">
        <f>SUMIF(102:102,G30,103:103)-SUMIF(102:102,C30,103:103)+100</f>
        <v>101</v>
      </c>
      <c r="I29" s="3847" t="s">
        <v>3171</v>
      </c>
      <c r="J29" s="3827">
        <f>SUMIF(102:102,I30,103:103)-SUMIF(102:102,C30,103:103)+100</f>
        <v>101</v>
      </c>
      <c r="K29" s="3788">
        <v>1</v>
      </c>
      <c r="L29" s="3762"/>
      <c r="M29" s="3726"/>
      <c r="N29" s="3726"/>
      <c r="O29" s="3776"/>
      <c r="P29" s="4378"/>
      <c r="Q29" s="3777" t="str">
        <f t="shared" si="8"/>
        <v>公共配套设施</v>
      </c>
      <c r="R29" s="3764" t="s">
        <v>8</v>
      </c>
      <c r="S29" s="3765">
        <f>F29</f>
        <v>101</v>
      </c>
      <c r="T29" s="3764" t="s">
        <v>8</v>
      </c>
      <c r="U29" s="3765">
        <f>H29</f>
        <v>101</v>
      </c>
      <c r="V29" s="3764" t="s">
        <v>8</v>
      </c>
      <c r="W29" s="3765">
        <f>J29</f>
        <v>101</v>
      </c>
      <c r="X29" s="3766"/>
      <c r="Y29" s="4378"/>
      <c r="Z29" s="3767" t="str">
        <f>Q29</f>
        <v>公共配套设施</v>
      </c>
      <c r="AA29" s="3819">
        <f>D29/F29</f>
        <v>0.99009900990099009</v>
      </c>
      <c r="AB29" s="3819">
        <f>D29/H29</f>
        <v>0.99009900990099009</v>
      </c>
      <c r="AC29" s="3819">
        <f>D29/J29</f>
        <v>0.99009900990099009</v>
      </c>
    </row>
    <row r="30" spans="1:29" s="3768" customFormat="1" ht="20.25">
      <c r="A30" s="3849"/>
      <c r="B30" s="3835"/>
      <c r="C30" s="3851" t="s">
        <v>3159</v>
      </c>
      <c r="D30" s="3823"/>
      <c r="E30" s="3848" t="s">
        <v>3160</v>
      </c>
      <c r="F30" s="3825"/>
      <c r="G30" s="3822" t="s">
        <v>3160</v>
      </c>
      <c r="H30" s="3825"/>
      <c r="I30" s="3848" t="s">
        <v>3160</v>
      </c>
      <c r="J30" s="3825"/>
      <c r="K30" s="3781"/>
      <c r="L30" s="3762"/>
      <c r="M30" s="3726"/>
      <c r="N30" s="3726"/>
      <c r="O30" s="3776"/>
      <c r="P30" s="4378"/>
      <c r="Q30" s="3777"/>
      <c r="R30" s="3764"/>
      <c r="S30" s="3765"/>
      <c r="T30" s="3764"/>
      <c r="U30" s="3765"/>
      <c r="V30" s="3764"/>
      <c r="W30" s="3765"/>
      <c r="X30" s="3766"/>
      <c r="Y30" s="4378"/>
      <c r="Z30" s="3767"/>
      <c r="AA30" s="3819">
        <v>1</v>
      </c>
      <c r="AB30" s="3819">
        <v>1</v>
      </c>
      <c r="AC30" s="3819">
        <v>1</v>
      </c>
    </row>
    <row r="31" spans="1:29" s="3768" customFormat="1" ht="12.75" customHeight="1">
      <c r="A31" s="3849"/>
      <c r="B31" s="3850" t="s">
        <v>3172</v>
      </c>
      <c r="C31" s="3842" t="str">
        <f>[1]估价对象房地状况!C22</f>
        <v>估价对象所在区域基础设施水平-七通</v>
      </c>
      <c r="D31" s="3830">
        <v>100</v>
      </c>
      <c r="E31" s="3852"/>
      <c r="F31" s="3827">
        <f>SUMIF(104:104,E32,105:105)-SUMIF(104:104,C32,105:105)+100</f>
        <v>100</v>
      </c>
      <c r="G31" s="3853"/>
      <c r="H31" s="3827">
        <f>SUMIF(104:104,G32,105:105)-SUMIF(104:104,C32,105:105)+100</f>
        <v>100</v>
      </c>
      <c r="I31" s="3852"/>
      <c r="J31" s="3827">
        <f>SUMIF(104:104,I32,105:105)-SUMIF(104:104,C32,105:105)+100</f>
        <v>100</v>
      </c>
      <c r="K31" s="3788">
        <v>2</v>
      </c>
      <c r="L31" s="3762"/>
      <c r="M31" s="3726"/>
      <c r="N31" s="3726"/>
      <c r="O31" s="3776"/>
      <c r="P31" s="4378"/>
      <c r="Q31" s="3777" t="str">
        <f t="shared" ref="Q31" si="9">B31</f>
        <v>基础设施水平</v>
      </c>
      <c r="R31" s="3764" t="s">
        <v>8</v>
      </c>
      <c r="S31" s="3765">
        <f>F31</f>
        <v>100</v>
      </c>
      <c r="T31" s="3764" t="s">
        <v>8</v>
      </c>
      <c r="U31" s="3765">
        <f>H31</f>
        <v>100</v>
      </c>
      <c r="V31" s="3764" t="s">
        <v>8</v>
      </c>
      <c r="W31" s="3765">
        <f>J31</f>
        <v>100</v>
      </c>
      <c r="X31" s="3766"/>
      <c r="Y31" s="4378"/>
      <c r="Z31" s="3767" t="str">
        <f>Q31</f>
        <v>基础设施水平</v>
      </c>
      <c r="AA31" s="3819">
        <f>D31/F31</f>
        <v>1</v>
      </c>
      <c r="AB31" s="3819">
        <f>D31/H31</f>
        <v>1</v>
      </c>
      <c r="AC31" s="3819">
        <f>D31/J31</f>
        <v>1</v>
      </c>
    </row>
    <row r="32" spans="1:29" s="3768" customFormat="1" ht="20.25">
      <c r="A32" s="3849"/>
      <c r="B32" s="3835"/>
      <c r="C32" s="3851" t="s">
        <v>3173</v>
      </c>
      <c r="D32" s="3823"/>
      <c r="E32" s="3854" t="s">
        <v>3173</v>
      </c>
      <c r="F32" s="3825"/>
      <c r="G32" s="3851" t="s">
        <v>3173</v>
      </c>
      <c r="H32" s="3825"/>
      <c r="I32" s="3851" t="s">
        <v>3173</v>
      </c>
      <c r="J32" s="3825"/>
      <c r="K32" s="3781"/>
      <c r="L32" s="3762"/>
      <c r="M32" s="3726"/>
      <c r="N32" s="3726"/>
      <c r="O32" s="3776"/>
      <c r="P32" s="4378"/>
      <c r="Q32" s="3777"/>
      <c r="R32" s="3764"/>
      <c r="S32" s="3765"/>
      <c r="T32" s="3764"/>
      <c r="U32" s="3765"/>
      <c r="V32" s="3764"/>
      <c r="W32" s="3765"/>
      <c r="X32" s="3766"/>
      <c r="Y32" s="4378"/>
      <c r="Z32" s="3767"/>
      <c r="AA32" s="3819">
        <v>1</v>
      </c>
      <c r="AB32" s="3819">
        <v>1</v>
      </c>
      <c r="AC32" s="3819">
        <v>1</v>
      </c>
    </row>
    <row r="33" spans="1:29" ht="20.25" hidden="1">
      <c r="A33" s="3820"/>
      <c r="B33" s="3835" t="s">
        <v>749</v>
      </c>
      <c r="C33" s="3855" t="s">
        <v>1636</v>
      </c>
      <c r="D33" s="3856">
        <v>100</v>
      </c>
      <c r="E33" s="3857"/>
      <c r="F33" s="3800">
        <f>SUMIF(106:106,E33,107:107)-SUMIF(106:106,C33,107:107)+100</f>
        <v>100</v>
      </c>
      <c r="G33" s="3855"/>
      <c r="H33" s="3800">
        <f>SUMIF(106:106,G33,107:107)-SUMIF(106:106,C33,107:107)+100</f>
        <v>100</v>
      </c>
      <c r="I33" s="3855"/>
      <c r="J33" s="3800">
        <f>SUMIF(106:106,I33,107:107)-SUMIF(106:106,C33,107:107)+100</f>
        <v>100</v>
      </c>
      <c r="K33" s="3788">
        <v>1</v>
      </c>
      <c r="L33" s="3802"/>
      <c r="M33" s="3726"/>
      <c r="N33" s="3726"/>
      <c r="O33" s="3790"/>
      <c r="P33" s="4378"/>
      <c r="Q33" s="3816" t="str">
        <f t="shared" si="8"/>
        <v>临街状况</v>
      </c>
      <c r="R33" s="3817" t="s">
        <v>8</v>
      </c>
      <c r="S33" s="3818">
        <f t="shared" ref="S33:S47" si="10">F33</f>
        <v>100</v>
      </c>
      <c r="T33" s="3817" t="s">
        <v>8</v>
      </c>
      <c r="U33" s="3818">
        <f t="shared" ref="U33:U47" si="11">H33</f>
        <v>100</v>
      </c>
      <c r="V33" s="3817" t="s">
        <v>8</v>
      </c>
      <c r="W33" s="3818">
        <f t="shared" ref="W33:W47" si="12">J33</f>
        <v>100</v>
      </c>
      <c r="X33" s="3750"/>
      <c r="Y33" s="4378"/>
      <c r="Z33" s="3819" t="str">
        <f t="shared" ref="Z33:Z47" si="13">Q33</f>
        <v>临街状况</v>
      </c>
      <c r="AA33" s="3819">
        <f t="shared" si="3"/>
        <v>1</v>
      </c>
      <c r="AB33" s="3819">
        <f t="shared" si="4"/>
        <v>1</v>
      </c>
      <c r="AC33" s="3819">
        <f t="shared" si="5"/>
        <v>1</v>
      </c>
    </row>
    <row r="34" spans="1:29" ht="28.5" thickBot="1">
      <c r="A34" s="3820"/>
      <c r="B34" s="3810" t="s">
        <v>763</v>
      </c>
      <c r="C34" s="3846" t="s">
        <v>3221</v>
      </c>
      <c r="D34" s="3830">
        <v>100</v>
      </c>
      <c r="E34" s="3847" t="s">
        <v>3174</v>
      </c>
      <c r="F34" s="3827">
        <f>SUMIF(108:108,E35,109:109)-SUMIF(108:108,C35,109:109)+100</f>
        <v>100</v>
      </c>
      <c r="G34" s="3858" t="s">
        <v>3175</v>
      </c>
      <c r="H34" s="3827">
        <f>SUMIF(108:108,G35,109:109)-SUMIF(108:108,C35,109:109)+100</f>
        <v>102</v>
      </c>
      <c r="I34" s="3832" t="s">
        <v>3176</v>
      </c>
      <c r="J34" s="3827">
        <f>SUMIF(108:108,I35,109:109)-SUMIF(108:108,C35,109:109)+100</f>
        <v>101</v>
      </c>
      <c r="K34" s="3788">
        <v>1</v>
      </c>
      <c r="L34" s="3802"/>
      <c r="M34" s="3726"/>
      <c r="N34" s="3726"/>
      <c r="O34" s="3790"/>
      <c r="P34" s="4378"/>
      <c r="Q34" s="3816" t="str">
        <f t="shared" si="8"/>
        <v>毗邻道路的类型与等级</v>
      </c>
      <c r="R34" s="3817" t="s">
        <v>8</v>
      </c>
      <c r="S34" s="3818">
        <f t="shared" si="10"/>
        <v>100</v>
      </c>
      <c r="T34" s="3817" t="s">
        <v>8</v>
      </c>
      <c r="U34" s="3818">
        <f t="shared" si="11"/>
        <v>102</v>
      </c>
      <c r="V34" s="3817" t="s">
        <v>8</v>
      </c>
      <c r="W34" s="3818">
        <f t="shared" si="12"/>
        <v>101</v>
      </c>
      <c r="X34" s="3750"/>
      <c r="Y34" s="4378"/>
      <c r="Z34" s="3819" t="str">
        <f t="shared" si="13"/>
        <v>毗邻道路的类型与等级</v>
      </c>
      <c r="AA34" s="3819">
        <f t="shared" si="3"/>
        <v>1</v>
      </c>
      <c r="AB34" s="3819">
        <f t="shared" si="4"/>
        <v>0.98039215686274506</v>
      </c>
      <c r="AC34" s="3819">
        <f t="shared" si="5"/>
        <v>0.99009900990099009</v>
      </c>
    </row>
    <row r="35" spans="1:29" ht="20.25">
      <c r="A35" s="3820"/>
      <c r="B35" s="3835"/>
      <c r="C35" s="3822" t="s">
        <v>3177</v>
      </c>
      <c r="D35" s="3823"/>
      <c r="E35" s="3848" t="s">
        <v>3177</v>
      </c>
      <c r="F35" s="3825"/>
      <c r="G35" s="3822" t="s">
        <v>3178</v>
      </c>
      <c r="H35" s="3825"/>
      <c r="I35" s="3848" t="s">
        <v>3179</v>
      </c>
      <c r="J35" s="3825"/>
      <c r="K35" s="3859"/>
      <c r="L35" s="3802"/>
      <c r="M35" s="3726"/>
      <c r="N35" s="3726"/>
      <c r="O35" s="3790"/>
      <c r="P35" s="4378"/>
      <c r="Q35" s="3816"/>
      <c r="R35" s="3817"/>
      <c r="S35" s="3818"/>
      <c r="T35" s="3817"/>
      <c r="U35" s="3818"/>
      <c r="V35" s="3817"/>
      <c r="W35" s="3818"/>
      <c r="X35" s="3750"/>
      <c r="Y35" s="4378"/>
      <c r="Z35" s="3819"/>
      <c r="AA35" s="3819">
        <v>1</v>
      </c>
      <c r="AB35" s="3819">
        <v>1</v>
      </c>
      <c r="AC35" s="3819">
        <v>1</v>
      </c>
    </row>
    <row r="36" spans="1:29" ht="21" thickBot="1">
      <c r="A36" s="3820"/>
      <c r="B36" s="3780" t="s">
        <v>3180</v>
      </c>
      <c r="C36" s="3855" t="s">
        <v>1386</v>
      </c>
      <c r="D36" s="3856">
        <v>100</v>
      </c>
      <c r="E36" s="3857" t="s">
        <v>1384</v>
      </c>
      <c r="F36" s="3800">
        <f>SUMIF(110:110,E36,111:111)-SUMIF(110:110,C36,111:111)+100</f>
        <v>103</v>
      </c>
      <c r="G36" s="3855" t="s">
        <v>1386</v>
      </c>
      <c r="H36" s="3800">
        <f>SUMIF(110:110,G36,111:111)-SUMIF(110:110,C36,111:111)+100</f>
        <v>100</v>
      </c>
      <c r="I36" s="3857" t="s">
        <v>1386</v>
      </c>
      <c r="J36" s="3800">
        <f>SUMIF(110:110,I36,111:111)-SUMIF(110:110,C36,111:111)+100</f>
        <v>100</v>
      </c>
      <c r="K36" s="3860">
        <v>3</v>
      </c>
      <c r="L36" s="3802"/>
      <c r="M36" s="3726"/>
      <c r="N36" s="3726"/>
      <c r="O36" s="3790"/>
      <c r="P36" s="4378"/>
      <c r="Q36" s="3816" t="str">
        <f t="shared" si="8"/>
        <v>土地级别</v>
      </c>
      <c r="R36" s="3817" t="s">
        <v>8</v>
      </c>
      <c r="S36" s="3818">
        <f t="shared" si="10"/>
        <v>103</v>
      </c>
      <c r="T36" s="3817" t="s">
        <v>8</v>
      </c>
      <c r="U36" s="3818">
        <f t="shared" si="11"/>
        <v>100</v>
      </c>
      <c r="V36" s="3817" t="s">
        <v>8</v>
      </c>
      <c r="W36" s="3818">
        <f t="shared" si="12"/>
        <v>100</v>
      </c>
      <c r="X36" s="3750"/>
      <c r="Y36" s="4378"/>
      <c r="Z36" s="3819" t="str">
        <f t="shared" si="13"/>
        <v>土地级别</v>
      </c>
      <c r="AA36" s="3819">
        <f t="shared" si="3"/>
        <v>0.970873786407767</v>
      </c>
      <c r="AB36" s="3819">
        <f t="shared" si="4"/>
        <v>1</v>
      </c>
      <c r="AC36" s="3819">
        <f t="shared" si="5"/>
        <v>1</v>
      </c>
    </row>
    <row r="37" spans="1:29" ht="21" hidden="1" thickBot="1">
      <c r="A37" s="3752"/>
      <c r="B37" s="3861">
        <v>111</v>
      </c>
      <c r="C37" s="3862"/>
      <c r="D37" s="3856">
        <v>100</v>
      </c>
      <c r="E37" s="3808"/>
      <c r="F37" s="3800">
        <f>SUMIF(112:112,E37,113:113)-SUMIF(112:112,C37,113:113)+100</f>
        <v>100</v>
      </c>
      <c r="G37" s="3862"/>
      <c r="H37" s="3800">
        <f>SUMIF(112:112,G37,113:113)-SUMIF(112:112,C37,113:113)+100</f>
        <v>100</v>
      </c>
      <c r="I37" s="3808"/>
      <c r="J37" s="3800">
        <f>SUMIF(112:112,I37,113:113)-SUMIF(112:112,C37,113:113)+100</f>
        <v>100</v>
      </c>
      <c r="K37" s="3859"/>
      <c r="L37" s="3802"/>
      <c r="M37" s="3726"/>
      <c r="N37" s="3726"/>
      <c r="O37" s="3790"/>
      <c r="P37" s="4378"/>
      <c r="Q37" s="3816">
        <f t="shared" si="8"/>
        <v>111</v>
      </c>
      <c r="R37" s="3817" t="s">
        <v>8</v>
      </c>
      <c r="S37" s="3818">
        <f t="shared" si="10"/>
        <v>100</v>
      </c>
      <c r="T37" s="3817" t="s">
        <v>8</v>
      </c>
      <c r="U37" s="3818">
        <f t="shared" si="11"/>
        <v>100</v>
      </c>
      <c r="V37" s="3817" t="s">
        <v>8</v>
      </c>
      <c r="W37" s="3818">
        <f t="shared" si="12"/>
        <v>100</v>
      </c>
      <c r="X37" s="3750"/>
      <c r="Y37" s="4378"/>
      <c r="Z37" s="3819">
        <f t="shared" si="13"/>
        <v>111</v>
      </c>
      <c r="AA37" s="3819">
        <f t="shared" si="3"/>
        <v>1</v>
      </c>
      <c r="AB37" s="3819">
        <f t="shared" si="4"/>
        <v>1</v>
      </c>
      <c r="AC37" s="3819">
        <f t="shared" si="5"/>
        <v>1</v>
      </c>
    </row>
    <row r="38" spans="1:29" ht="21" hidden="1" thickBot="1">
      <c r="A38" s="3863"/>
      <c r="B38" s="3864">
        <v>111</v>
      </c>
      <c r="C38" s="3862"/>
      <c r="D38" s="3856">
        <v>100</v>
      </c>
      <c r="E38" s="3808"/>
      <c r="F38" s="3800">
        <f>SUMIF(114:114,E39,115:115)-SUMIF(114:114,C39,115:115)+100</f>
        <v>100</v>
      </c>
      <c r="G38" s="3862"/>
      <c r="H38" s="3800">
        <f>SUMIF(114:114,G38,115:115)-SUMIF(114:114,C38,115:115)+100</f>
        <v>100</v>
      </c>
      <c r="I38" s="3808"/>
      <c r="J38" s="3800">
        <f>SUMIF(114:114,I38,115:115)-SUMIF(114:114,C38,115:115)+100</f>
        <v>100</v>
      </c>
      <c r="K38" s="3859"/>
      <c r="L38" s="3802"/>
      <c r="M38" s="3726"/>
      <c r="N38" s="3726"/>
      <c r="O38" s="3790"/>
      <c r="P38" s="4382" t="s">
        <v>528</v>
      </c>
      <c r="Q38" s="3816">
        <f t="shared" si="8"/>
        <v>111</v>
      </c>
      <c r="R38" s="3817" t="s">
        <v>8</v>
      </c>
      <c r="S38" s="3818">
        <f t="shared" si="10"/>
        <v>100</v>
      </c>
      <c r="T38" s="3817" t="s">
        <v>8</v>
      </c>
      <c r="U38" s="3818">
        <f t="shared" si="11"/>
        <v>100</v>
      </c>
      <c r="V38" s="3817" t="s">
        <v>8</v>
      </c>
      <c r="W38" s="3818">
        <f t="shared" si="12"/>
        <v>100</v>
      </c>
      <c r="X38" s="3750"/>
      <c r="Y38" s="4383" t="s">
        <v>528</v>
      </c>
      <c r="Z38" s="3819">
        <f t="shared" si="13"/>
        <v>111</v>
      </c>
      <c r="AA38" s="3819">
        <f t="shared" si="3"/>
        <v>1</v>
      </c>
      <c r="AB38" s="3819">
        <f t="shared" si="4"/>
        <v>1</v>
      </c>
      <c r="AC38" s="3819">
        <f t="shared" si="5"/>
        <v>1</v>
      </c>
    </row>
    <row r="39" spans="1:29" s="3876" customFormat="1" ht="21" hidden="1" thickBot="1">
      <c r="A39" s="3865"/>
      <c r="B39" s="3866">
        <v>111</v>
      </c>
      <c r="C39" s="3867"/>
      <c r="D39" s="3868">
        <v>100</v>
      </c>
      <c r="E39" s="3869"/>
      <c r="F39" s="3806">
        <f>SUMIF(116:116,E39,117:117)-SUMIF(116:116,C39,117:117)+100</f>
        <v>100</v>
      </c>
      <c r="G39" s="3870"/>
      <c r="H39" s="3806">
        <f>SUMIF(116:116,G39,117:117)-SUMIF(116:116,C39,117:117)+100</f>
        <v>100</v>
      </c>
      <c r="I39" s="3869"/>
      <c r="J39" s="3806">
        <f>SUMIF(116:116,I39,117:117)-SUMIF(116:116,C39,117:117)+100</f>
        <v>100</v>
      </c>
      <c r="K39" s="3859"/>
      <c r="L39" s="3789"/>
      <c r="M39" s="3726"/>
      <c r="N39" s="3726"/>
      <c r="O39" s="3871"/>
      <c r="P39" s="4383"/>
      <c r="Q39" s="3816">
        <f t="shared" si="8"/>
        <v>111</v>
      </c>
      <c r="R39" s="3872" t="s">
        <v>8</v>
      </c>
      <c r="S39" s="3873">
        <f t="shared" si="10"/>
        <v>100</v>
      </c>
      <c r="T39" s="3872" t="s">
        <v>8</v>
      </c>
      <c r="U39" s="3873">
        <f t="shared" si="11"/>
        <v>100</v>
      </c>
      <c r="V39" s="3872" t="s">
        <v>8</v>
      </c>
      <c r="W39" s="3873">
        <f t="shared" si="12"/>
        <v>100</v>
      </c>
      <c r="X39" s="3874"/>
      <c r="Y39" s="4383"/>
      <c r="Z39" s="3875">
        <f t="shared" si="13"/>
        <v>111</v>
      </c>
      <c r="AA39" s="3819">
        <f t="shared" si="3"/>
        <v>1</v>
      </c>
      <c r="AB39" s="3819">
        <f t="shared" si="4"/>
        <v>1</v>
      </c>
      <c r="AC39" s="3819">
        <f t="shared" si="5"/>
        <v>1</v>
      </c>
    </row>
    <row r="40" spans="1:29" ht="20.25">
      <c r="A40" s="3877" t="s">
        <v>3181</v>
      </c>
      <c r="B40" s="3878" t="s">
        <v>571</v>
      </c>
      <c r="C40" s="3879">
        <f>'数据-基础表'!A3</f>
        <v>3580.2900000000009</v>
      </c>
      <c r="D40" s="3880">
        <v>100</v>
      </c>
      <c r="E40" s="3879">
        <v>4698.92</v>
      </c>
      <c r="F40" s="3880">
        <f>LOOKUP(E40,119:119,120:120)-LOOKUP(C40,119:119,120:120)+100</f>
        <v>100</v>
      </c>
      <c r="G40" s="3879">
        <v>16130.79</v>
      </c>
      <c r="H40" s="3880">
        <f>LOOKUP(G40,119:119,120:120)-LOOKUP(C40,119:119,120:120)+100</f>
        <v>100</v>
      </c>
      <c r="I40" s="3881">
        <v>38062.076999999997</v>
      </c>
      <c r="J40" s="3880">
        <f>LOOKUP(I40,119:119,120:120)-LOOKUP(C40,119:119,120:120)+100</f>
        <v>100</v>
      </c>
      <c r="K40" s="3859"/>
      <c r="L40" s="3802"/>
      <c r="M40" s="3726"/>
      <c r="N40" s="3726"/>
      <c r="O40" s="3790"/>
      <c r="P40" s="4383"/>
      <c r="Q40" s="3816" t="str">
        <f>B40</f>
        <v>宗地面积</v>
      </c>
      <c r="R40" s="3817" t="s">
        <v>8</v>
      </c>
      <c r="S40" s="3818">
        <f t="shared" si="10"/>
        <v>100</v>
      </c>
      <c r="T40" s="3817" t="s">
        <v>8</v>
      </c>
      <c r="U40" s="3818">
        <f t="shared" si="11"/>
        <v>100</v>
      </c>
      <c r="V40" s="3817" t="s">
        <v>8</v>
      </c>
      <c r="W40" s="3818">
        <f t="shared" si="12"/>
        <v>100</v>
      </c>
      <c r="X40" s="3750"/>
      <c r="Y40" s="4383"/>
      <c r="Z40" s="3819" t="str">
        <f t="shared" si="13"/>
        <v>宗地面积</v>
      </c>
      <c r="AA40" s="3819">
        <f t="shared" si="3"/>
        <v>1</v>
      </c>
      <c r="AB40" s="3819">
        <f t="shared" si="4"/>
        <v>1</v>
      </c>
      <c r="AC40" s="3819">
        <f t="shared" si="5"/>
        <v>1</v>
      </c>
    </row>
    <row r="41" spans="1:29" ht="20.25">
      <c r="A41" s="3882"/>
      <c r="B41" s="3883" t="s">
        <v>572</v>
      </c>
      <c r="C41" s="3884" t="s">
        <v>3182</v>
      </c>
      <c r="D41" s="3800">
        <v>100</v>
      </c>
      <c r="E41" s="3884" t="s">
        <v>3182</v>
      </c>
      <c r="F41" s="3800">
        <f>SUMIF(121:121,E41,122:122)-SUMIF(121:121,C41,122:122)+100</f>
        <v>100</v>
      </c>
      <c r="G41" s="3884" t="s">
        <v>3182</v>
      </c>
      <c r="H41" s="3800">
        <f>SUMIF(121:121,G41,122:122)-SUMIF(121:121,C41,122:122)+100</f>
        <v>100</v>
      </c>
      <c r="I41" s="3884" t="s">
        <v>3182</v>
      </c>
      <c r="J41" s="3800">
        <f>SUMIF(121:121,I41,122:122)-SUMIF(121:121,C41,122:122)+100</f>
        <v>100</v>
      </c>
      <c r="K41" s="3860">
        <v>1</v>
      </c>
      <c r="L41" s="3802"/>
      <c r="M41" s="3726"/>
      <c r="N41" s="3726"/>
      <c r="O41" s="3790"/>
      <c r="P41" s="4383"/>
      <c r="Q41" s="3816" t="str">
        <f t="shared" ref="Q41:Q47" si="14">B41</f>
        <v>宗地形状</v>
      </c>
      <c r="R41" s="3817" t="s">
        <v>8</v>
      </c>
      <c r="S41" s="3818">
        <f t="shared" si="10"/>
        <v>100</v>
      </c>
      <c r="T41" s="3817" t="s">
        <v>8</v>
      </c>
      <c r="U41" s="3818">
        <f t="shared" si="11"/>
        <v>100</v>
      </c>
      <c r="V41" s="3817" t="s">
        <v>8</v>
      </c>
      <c r="W41" s="3818">
        <f t="shared" si="12"/>
        <v>100</v>
      </c>
      <c r="X41" s="3750"/>
      <c r="Y41" s="4383"/>
      <c r="Z41" s="3819" t="str">
        <f t="shared" si="13"/>
        <v>宗地形状</v>
      </c>
      <c r="AA41" s="3819">
        <f t="shared" si="3"/>
        <v>1</v>
      </c>
      <c r="AB41" s="3819">
        <f t="shared" si="4"/>
        <v>1</v>
      </c>
      <c r="AC41" s="3819">
        <f t="shared" si="5"/>
        <v>1</v>
      </c>
    </row>
    <row r="42" spans="1:29" ht="42.75">
      <c r="A42" s="3882"/>
      <c r="B42" s="3883" t="s">
        <v>573</v>
      </c>
      <c r="C42" s="3884" t="s">
        <v>3183</v>
      </c>
      <c r="D42" s="3800">
        <v>100</v>
      </c>
      <c r="E42" s="3884" t="s">
        <v>3183</v>
      </c>
      <c r="F42" s="3800">
        <f>SUMIF(123:123,E42,124:124)-SUMIF(123:123,C42,124:124)+100</f>
        <v>100</v>
      </c>
      <c r="G42" s="3884" t="s">
        <v>3183</v>
      </c>
      <c r="H42" s="3800">
        <f>SUMIF(123:123,G42,124:124)-SUMIF(123:123,C42,124:124)+100</f>
        <v>100</v>
      </c>
      <c r="I42" s="3884" t="s">
        <v>3183</v>
      </c>
      <c r="J42" s="3800">
        <f>SUMIF(123:123,I42,124:124)-SUMIF(123:123,C42,124:124)+100</f>
        <v>100</v>
      </c>
      <c r="K42" s="3860">
        <v>1</v>
      </c>
      <c r="L42" s="3802"/>
      <c r="M42" s="3726"/>
      <c r="N42" s="3726"/>
      <c r="O42" s="3790"/>
      <c r="P42" s="4383"/>
      <c r="Q42" s="3816" t="str">
        <f t="shared" si="14"/>
        <v>临街宽度及深度</v>
      </c>
      <c r="R42" s="3817" t="s">
        <v>8</v>
      </c>
      <c r="S42" s="3818">
        <f t="shared" si="10"/>
        <v>100</v>
      </c>
      <c r="T42" s="3817" t="s">
        <v>8</v>
      </c>
      <c r="U42" s="3818">
        <f t="shared" si="11"/>
        <v>100</v>
      </c>
      <c r="V42" s="3817" t="s">
        <v>8</v>
      </c>
      <c r="W42" s="3818">
        <f t="shared" si="12"/>
        <v>100</v>
      </c>
      <c r="X42" s="3750"/>
      <c r="Y42" s="4383"/>
      <c r="Z42" s="3819" t="str">
        <f t="shared" si="13"/>
        <v>临街宽度及深度</v>
      </c>
      <c r="AA42" s="3819">
        <f t="shared" si="3"/>
        <v>1</v>
      </c>
      <c r="AB42" s="3819">
        <f t="shared" si="4"/>
        <v>1</v>
      </c>
      <c r="AC42" s="3819">
        <f t="shared" si="5"/>
        <v>1</v>
      </c>
    </row>
    <row r="43" spans="1:29" s="3768" customFormat="1" ht="20.25">
      <c r="A43" s="3885"/>
      <c r="B43" s="3886" t="s">
        <v>2387</v>
      </c>
      <c r="C43" s="3887" t="s">
        <v>3184</v>
      </c>
      <c r="D43" s="3780">
        <v>100</v>
      </c>
      <c r="E43" s="3888" t="s">
        <v>3184</v>
      </c>
      <c r="F43" s="3800">
        <f>SUMIF(125:125,E43,126:126)-SUMIF(125:125,C43,126:126)+100</f>
        <v>100</v>
      </c>
      <c r="G43" s="3888" t="s">
        <v>3184</v>
      </c>
      <c r="H43" s="3800">
        <f>SUMIF(125:125,G43,126:126)-SUMIF(125:125,C43,126:126)+100</f>
        <v>100</v>
      </c>
      <c r="I43" s="3888" t="s">
        <v>3184</v>
      </c>
      <c r="J43" s="3800">
        <f>SUMIF(125:125,I43,126:126)-SUMIF(125:125,C43,126:126)+100</f>
        <v>100</v>
      </c>
      <c r="K43" s="3860">
        <v>1</v>
      </c>
      <c r="L43" s="3762"/>
      <c r="M43" s="3726"/>
      <c r="N43" s="3726"/>
      <c r="O43" s="3776"/>
      <c r="P43" s="4383"/>
      <c r="Q43" s="3816" t="str">
        <f t="shared" si="14"/>
        <v>宗地开发程度</v>
      </c>
      <c r="R43" s="3764" t="s">
        <v>8</v>
      </c>
      <c r="S43" s="3765">
        <f t="shared" si="10"/>
        <v>100</v>
      </c>
      <c r="T43" s="3764" t="s">
        <v>8</v>
      </c>
      <c r="U43" s="3765">
        <f t="shared" si="11"/>
        <v>100</v>
      </c>
      <c r="V43" s="3764" t="s">
        <v>8</v>
      </c>
      <c r="W43" s="3765">
        <f t="shared" si="12"/>
        <v>100</v>
      </c>
      <c r="X43" s="3766"/>
      <c r="Y43" s="4383"/>
      <c r="Z43" s="3767" t="str">
        <f t="shared" si="13"/>
        <v>宗地开发程度</v>
      </c>
      <c r="AA43" s="3767">
        <f t="shared" si="3"/>
        <v>1</v>
      </c>
      <c r="AB43" s="3767">
        <f t="shared" si="4"/>
        <v>1</v>
      </c>
      <c r="AC43" s="3767">
        <f t="shared" si="5"/>
        <v>1</v>
      </c>
    </row>
    <row r="44" spans="1:29" ht="21" thickBot="1">
      <c r="A44" s="3882"/>
      <c r="B44" s="3883" t="s">
        <v>574</v>
      </c>
      <c r="C44" s="3884" t="s">
        <v>3160</v>
      </c>
      <c r="D44" s="3800">
        <v>100</v>
      </c>
      <c r="E44" s="3884" t="s">
        <v>3160</v>
      </c>
      <c r="F44" s="3800">
        <f>SUMIF(127:127,E44,128:128)-SUMIF(127:127,C44,128:128)+100</f>
        <v>100</v>
      </c>
      <c r="G44" s="3884" t="s">
        <v>3160</v>
      </c>
      <c r="H44" s="3800">
        <f>SUMIF(127:127,G44,128:128)-SUMIF(127:127,C44,128:128)+100</f>
        <v>100</v>
      </c>
      <c r="I44" s="3884" t="s">
        <v>3160</v>
      </c>
      <c r="J44" s="3800">
        <f>SUMIF(127:127,I44,128:128)-SUMIF(127:127,C44,128:128)+100</f>
        <v>100</v>
      </c>
      <c r="K44" s="3860">
        <v>1</v>
      </c>
      <c r="L44" s="3802"/>
      <c r="M44" s="3726"/>
      <c r="N44" s="3726"/>
      <c r="O44" s="3790"/>
      <c r="P44" s="4383" t="s">
        <v>528</v>
      </c>
      <c r="Q44" s="3816" t="str">
        <f t="shared" si="14"/>
        <v>工程地质条件</v>
      </c>
      <c r="R44" s="3817" t="s">
        <v>8</v>
      </c>
      <c r="S44" s="3818">
        <f t="shared" si="10"/>
        <v>100</v>
      </c>
      <c r="T44" s="3817" t="s">
        <v>8</v>
      </c>
      <c r="U44" s="3818">
        <f t="shared" si="11"/>
        <v>100</v>
      </c>
      <c r="V44" s="3817" t="s">
        <v>8</v>
      </c>
      <c r="W44" s="3818">
        <f t="shared" si="12"/>
        <v>100</v>
      </c>
      <c r="X44" s="3750"/>
      <c r="Y44" s="4383" t="s">
        <v>528</v>
      </c>
      <c r="Z44" s="3819" t="str">
        <f t="shared" si="13"/>
        <v>工程地质条件</v>
      </c>
      <c r="AA44" s="3819">
        <f t="shared" si="3"/>
        <v>1</v>
      </c>
      <c r="AB44" s="3819">
        <f t="shared" si="4"/>
        <v>1</v>
      </c>
      <c r="AC44" s="3819">
        <f t="shared" si="5"/>
        <v>1</v>
      </c>
    </row>
    <row r="45" spans="1:29" ht="21" hidden="1" thickBot="1">
      <c r="A45" s="3882"/>
      <c r="B45" s="3889">
        <v>111</v>
      </c>
      <c r="C45" s="3808"/>
      <c r="D45" s="3800">
        <v>100</v>
      </c>
      <c r="E45" s="3808"/>
      <c r="F45" s="3800">
        <f>SUMIF(129:129,E45,130:130)-SUMIF(129:129,C45,130:130)+100</f>
        <v>100</v>
      </c>
      <c r="G45" s="3808"/>
      <c r="H45" s="3800">
        <f>SUMIF(129:129,G45,130:130)-SUMIF(129:129,C45,130:130)+100</f>
        <v>100</v>
      </c>
      <c r="I45" s="3807"/>
      <c r="J45" s="3800">
        <f>SUMIF(129:129,I45,130:130)-SUMIF(129:129,C45,130:130)+100</f>
        <v>100</v>
      </c>
      <c r="K45" s="3859"/>
      <c r="L45" s="3802"/>
      <c r="M45" s="3726"/>
      <c r="N45" s="3726"/>
      <c r="O45" s="3790"/>
      <c r="P45" s="4383"/>
      <c r="Q45" s="3816">
        <f t="shared" si="14"/>
        <v>111</v>
      </c>
      <c r="R45" s="3817" t="s">
        <v>8</v>
      </c>
      <c r="S45" s="3818">
        <f t="shared" si="10"/>
        <v>100</v>
      </c>
      <c r="T45" s="3817" t="s">
        <v>8</v>
      </c>
      <c r="U45" s="3818">
        <f t="shared" si="11"/>
        <v>100</v>
      </c>
      <c r="V45" s="3817" t="s">
        <v>8</v>
      </c>
      <c r="W45" s="3818">
        <f t="shared" si="12"/>
        <v>100</v>
      </c>
      <c r="X45" s="3750"/>
      <c r="Y45" s="4383"/>
      <c r="Z45" s="3819">
        <f t="shared" si="13"/>
        <v>111</v>
      </c>
      <c r="AA45" s="3819">
        <f t="shared" si="3"/>
        <v>1</v>
      </c>
      <c r="AB45" s="3819">
        <f t="shared" si="4"/>
        <v>1</v>
      </c>
      <c r="AC45" s="3819">
        <f t="shared" si="5"/>
        <v>1</v>
      </c>
    </row>
    <row r="46" spans="1:29" ht="21" hidden="1" thickBot="1">
      <c r="A46" s="3882"/>
      <c r="B46" s="3889">
        <v>111</v>
      </c>
      <c r="C46" s="3808"/>
      <c r="D46" s="3800">
        <v>100</v>
      </c>
      <c r="E46" s="3808"/>
      <c r="F46" s="3800">
        <f>SUMIF(131:131,E46,132:132)-SUMIF(131:131,C46,132:132)+100</f>
        <v>100</v>
      </c>
      <c r="G46" s="3808"/>
      <c r="H46" s="3800">
        <f>SUMIF(131:131,G46,132:132)-SUMIF(131:131,C46,132:132)+100</f>
        <v>100</v>
      </c>
      <c r="I46" s="3807"/>
      <c r="J46" s="3800">
        <f>SUMIF(131:131,I46,132:132)-SUMIF(131:131,C46,132:132)+100</f>
        <v>100</v>
      </c>
      <c r="K46" s="3859"/>
      <c r="L46" s="3802"/>
      <c r="M46" s="3726"/>
      <c r="N46" s="3726"/>
      <c r="O46" s="3790"/>
      <c r="P46" s="4383"/>
      <c r="Q46" s="3816">
        <f t="shared" si="14"/>
        <v>111</v>
      </c>
      <c r="R46" s="3817" t="s">
        <v>8</v>
      </c>
      <c r="S46" s="3818">
        <f t="shared" si="10"/>
        <v>100</v>
      </c>
      <c r="T46" s="3817" t="s">
        <v>8</v>
      </c>
      <c r="U46" s="3818">
        <f t="shared" si="11"/>
        <v>100</v>
      </c>
      <c r="V46" s="3817" t="s">
        <v>8</v>
      </c>
      <c r="W46" s="3818">
        <f t="shared" si="12"/>
        <v>100</v>
      </c>
      <c r="X46" s="3750"/>
      <c r="Y46" s="4383"/>
      <c r="Z46" s="3819">
        <f t="shared" si="13"/>
        <v>111</v>
      </c>
      <c r="AA46" s="3819">
        <f t="shared" si="3"/>
        <v>1</v>
      </c>
      <c r="AB46" s="3819">
        <f t="shared" si="4"/>
        <v>1</v>
      </c>
      <c r="AC46" s="3819">
        <f t="shared" si="5"/>
        <v>1</v>
      </c>
    </row>
    <row r="47" spans="1:29" s="3876" customFormat="1" ht="21" hidden="1" thickBot="1">
      <c r="A47" s="3890"/>
      <c r="B47" s="3889">
        <v>111</v>
      </c>
      <c r="C47" s="3891"/>
      <c r="D47" s="3892">
        <v>100</v>
      </c>
      <c r="E47" s="3808"/>
      <c r="F47" s="3806">
        <f>SUMIF(133:133,E47,134:134)-SUMIF(133:133,C47,134:134)+100</f>
        <v>100</v>
      </c>
      <c r="G47" s="3808"/>
      <c r="H47" s="3806">
        <f>SUMIF(133:133,G47,134:134)-SUMIF(133:133,C47,134:134)+100</f>
        <v>100</v>
      </c>
      <c r="I47" s="3808"/>
      <c r="J47" s="3806">
        <f>SUMIF(133:133,I47,134:134)-SUMIF(133:133,C47,134:134)+100</f>
        <v>100</v>
      </c>
      <c r="K47" s="3893"/>
      <c r="L47" s="3789"/>
      <c r="M47" s="3726"/>
      <c r="N47" s="3726"/>
      <c r="O47" s="3871"/>
      <c r="P47" s="4383"/>
      <c r="Q47" s="3816">
        <f t="shared" si="14"/>
        <v>111</v>
      </c>
      <c r="R47" s="3872" t="s">
        <v>8</v>
      </c>
      <c r="S47" s="3873">
        <f t="shared" si="10"/>
        <v>100</v>
      </c>
      <c r="T47" s="3872" t="s">
        <v>8</v>
      </c>
      <c r="U47" s="3873">
        <f t="shared" si="11"/>
        <v>100</v>
      </c>
      <c r="V47" s="3872" t="s">
        <v>8</v>
      </c>
      <c r="W47" s="3873">
        <f t="shared" si="12"/>
        <v>100</v>
      </c>
      <c r="X47" s="3874"/>
      <c r="Y47" s="4383"/>
      <c r="Z47" s="3875">
        <f t="shared" si="13"/>
        <v>111</v>
      </c>
      <c r="AA47" s="3819">
        <f t="shared" si="3"/>
        <v>1</v>
      </c>
      <c r="AB47" s="3819">
        <f t="shared" si="4"/>
        <v>1</v>
      </c>
      <c r="AC47" s="3819">
        <f t="shared" si="5"/>
        <v>1</v>
      </c>
    </row>
    <row r="48" spans="1:29" ht="20.25">
      <c r="A48" s="3894" t="s">
        <v>534</v>
      </c>
      <c r="B48" s="3895" t="s">
        <v>3185</v>
      </c>
      <c r="C48" s="3896" t="s">
        <v>1</v>
      </c>
      <c r="D48" s="3897"/>
      <c r="E48" s="3898">
        <f>[1]土地案例!Z4</f>
        <v>15424</v>
      </c>
      <c r="F48" s="3899"/>
      <c r="G48" s="3900">
        <f>[1]土地案例!AB16</f>
        <v>13640</v>
      </c>
      <c r="H48" s="3901"/>
      <c r="I48" s="3898">
        <f>[1]土地案例!AB22</f>
        <v>13155</v>
      </c>
      <c r="J48" s="3901"/>
      <c r="K48" s="3902"/>
      <c r="L48" s="3903"/>
      <c r="M48" s="3726"/>
      <c r="N48" s="3726"/>
      <c r="O48" s="3749"/>
      <c r="P48" s="4375" t="str">
        <f>A48</f>
        <v>成交单价</v>
      </c>
      <c r="Q48" s="4375"/>
      <c r="R48" s="4384">
        <f>E48</f>
        <v>15424</v>
      </c>
      <c r="S48" s="4384"/>
      <c r="T48" s="4384">
        <f>G48</f>
        <v>13640</v>
      </c>
      <c r="U48" s="4384"/>
      <c r="V48" s="4384">
        <f>I48</f>
        <v>13155</v>
      </c>
      <c r="W48" s="4384"/>
      <c r="X48" s="3904"/>
      <c r="Y48" s="3905"/>
      <c r="Z48" s="3904"/>
      <c r="AA48" s="3904"/>
      <c r="AB48" s="3904"/>
      <c r="AC48" s="3904"/>
    </row>
    <row r="49" spans="1:29" ht="21" thickBot="1">
      <c r="A49" s="3906" t="s">
        <v>2646</v>
      </c>
      <c r="B49" s="3907"/>
      <c r="C49" s="3908">
        <f>R50</f>
        <v>13041</v>
      </c>
      <c r="D49" s="3909" t="s">
        <v>2937</v>
      </c>
      <c r="E49" s="3908">
        <f>R49</f>
        <v>13719</v>
      </c>
      <c r="F49" s="3910"/>
      <c r="G49" s="3911">
        <f>T49</f>
        <v>12871</v>
      </c>
      <c r="H49" s="3910"/>
      <c r="I49" s="3912">
        <f>V49</f>
        <v>12534</v>
      </c>
      <c r="J49" s="3910"/>
      <c r="K49" s="3913">
        <f>F49+H49+J49</f>
        <v>0</v>
      </c>
      <c r="L49" s="3903"/>
      <c r="M49" s="3726"/>
      <c r="N49" s="3726"/>
      <c r="O49" s="3749"/>
      <c r="P49" s="4375" t="str">
        <f>A49</f>
        <v>比较价格（元/平方米）</v>
      </c>
      <c r="Q49" s="4375"/>
      <c r="R49" s="4376">
        <f>ROUND(PRODUCT(R48,AA9:AA47),0)</f>
        <v>13719</v>
      </c>
      <c r="S49" s="4376"/>
      <c r="T49" s="4376">
        <f>ROUND(PRODUCT(T48,AB9:AB47),0)</f>
        <v>12871</v>
      </c>
      <c r="U49" s="4376"/>
      <c r="V49" s="4376">
        <f>ROUND(PRODUCT(V48,AC9:AC47),0)</f>
        <v>12534</v>
      </c>
      <c r="W49" s="4376"/>
      <c r="X49" s="3904"/>
      <c r="Y49" s="3904"/>
      <c r="Z49" s="3904"/>
      <c r="AA49" s="3904"/>
      <c r="AB49" s="3904"/>
      <c r="AC49" s="3904"/>
    </row>
    <row r="50" spans="1:29" ht="21" thickBot="1">
      <c r="A50" s="3914" t="s">
        <v>2873</v>
      </c>
      <c r="B50" s="3915"/>
      <c r="C50" s="3916">
        <f>R50</f>
        <v>13041</v>
      </c>
      <c r="D50" s="3916"/>
      <c r="E50" s="3916"/>
      <c r="F50" s="3916"/>
      <c r="G50" s="3916"/>
      <c r="H50" s="3916"/>
      <c r="I50" s="3916"/>
      <c r="J50" s="3916"/>
      <c r="K50" s="3917"/>
      <c r="L50" s="3903"/>
      <c r="M50" s="3726"/>
      <c r="N50" s="3726"/>
      <c r="O50" s="3749"/>
      <c r="P50" s="4379" t="str">
        <f>A50</f>
        <v>估价对象XX用房的比较价格（楼面单价，元/平方米）</v>
      </c>
      <c r="Q50" s="4380"/>
      <c r="R50" s="4381">
        <f>ROUND(IF(D49="简单平均",AVERAGE(R49:W49),R49*F49+T49*H49+V49*J49),0)</f>
        <v>13041</v>
      </c>
      <c r="S50" s="4381"/>
      <c r="T50" s="4381"/>
      <c r="U50" s="4381"/>
      <c r="V50" s="4381"/>
      <c r="W50" s="4381"/>
      <c r="X50" s="3904"/>
      <c r="Y50" s="3904"/>
      <c r="Z50" s="3904"/>
      <c r="AA50" s="3904"/>
      <c r="AB50" s="3904"/>
      <c r="AC50" s="3904"/>
    </row>
    <row r="51" spans="1:29" ht="20.25">
      <c r="A51" s="3918"/>
      <c r="B51" s="3918"/>
      <c r="C51" s="3918"/>
      <c r="D51" s="3918"/>
      <c r="E51" s="3918"/>
      <c r="F51" s="3918"/>
      <c r="G51" s="3919"/>
      <c r="H51" s="3918"/>
      <c r="I51" s="3918"/>
      <c r="J51" s="3918"/>
      <c r="K51" s="3920"/>
      <c r="L51" s="3921"/>
      <c r="M51" s="3726"/>
      <c r="N51" s="3726"/>
      <c r="O51" s="3749"/>
      <c r="P51" s="3749"/>
      <c r="Q51" s="3749"/>
      <c r="R51" s="3749"/>
      <c r="S51" s="3749"/>
      <c r="T51" s="3749"/>
      <c r="U51" s="3749"/>
      <c r="V51" s="3749"/>
      <c r="W51" s="3749"/>
      <c r="X51" s="3749"/>
      <c r="Y51" s="3749"/>
      <c r="Z51" s="3749"/>
      <c r="AA51" s="3749"/>
      <c r="AB51" s="3749"/>
      <c r="AC51" s="3749"/>
    </row>
    <row r="52" spans="1:29" ht="20.25">
      <c r="A52" s="3918"/>
      <c r="B52" s="3918"/>
      <c r="C52" s="3918"/>
      <c r="D52" s="3918"/>
      <c r="E52" s="3918"/>
      <c r="F52" s="3918"/>
      <c r="G52" s="3918"/>
      <c r="H52" s="3918"/>
      <c r="I52" s="3918"/>
      <c r="J52" s="3918"/>
      <c r="K52" s="3920"/>
      <c r="L52" s="3921"/>
      <c r="M52" s="3726"/>
      <c r="N52" s="3726"/>
      <c r="O52" s="3749"/>
      <c r="P52" s="3749"/>
      <c r="Q52" s="3749"/>
      <c r="R52" s="3749"/>
      <c r="S52" s="3749"/>
      <c r="T52" s="3749"/>
      <c r="U52" s="3749"/>
      <c r="V52" s="3749"/>
      <c r="W52" s="3749"/>
      <c r="X52" s="3749"/>
      <c r="Y52" s="3749"/>
      <c r="Z52" s="3749"/>
      <c r="AA52" s="3749"/>
      <c r="AB52" s="3749"/>
      <c r="AC52" s="3749"/>
    </row>
    <row r="53" spans="1:29" ht="13.5" customHeight="1">
      <c r="A53" s="3918"/>
      <c r="B53" s="3918"/>
      <c r="C53" s="3922" t="s">
        <v>535</v>
      </c>
      <c r="D53" s="3923"/>
      <c r="E53" s="3924">
        <f>IF(E48&lt;E49,E49/E48-1,E48/E49-1)</f>
        <v>0.12428019534951518</v>
      </c>
      <c r="F53" s="3925" t="str">
        <f>IF(OR(E53&gt;=0.3,E53&lt;=-0.3),"超过30%","")</f>
        <v/>
      </c>
      <c r="G53" s="3924">
        <f>IF(G48&lt;G49,G49/G48-1,G48/G49-1)</f>
        <v>5.9746717426773399E-2</v>
      </c>
      <c r="H53" s="3925" t="str">
        <f>IF(OR(G53&gt;=0.3,G53&lt;=-0.3),"超过30%","")</f>
        <v/>
      </c>
      <c r="I53" s="3924">
        <f>IF(I48&lt;I49,I49/I48-1,I48/I49-1)</f>
        <v>4.9545236955481187E-2</v>
      </c>
      <c r="J53" s="3925" t="str">
        <f>IF(OR(I53&gt;=0.3,I53&lt;=-0.3),"超过30%","")</f>
        <v/>
      </c>
      <c r="K53" s="3920"/>
      <c r="L53" s="3921"/>
      <c r="M53" s="3726"/>
      <c r="N53" s="3726"/>
      <c r="O53" s="3749"/>
      <c r="P53" s="3749"/>
      <c r="Q53" s="3749"/>
      <c r="R53" s="3749"/>
      <c r="S53" s="3749"/>
      <c r="T53" s="3749"/>
      <c r="U53" s="3749"/>
      <c r="V53" s="3749"/>
      <c r="W53" s="3749"/>
      <c r="X53" s="3749"/>
      <c r="Y53" s="3749"/>
      <c r="Z53" s="3749"/>
      <c r="AA53" s="3749"/>
      <c r="AB53" s="3749"/>
      <c r="AC53" s="3749"/>
    </row>
    <row r="54" spans="1:29" ht="13.5" customHeight="1">
      <c r="A54" s="3918"/>
      <c r="B54" s="3918"/>
      <c r="C54" s="3922" t="s">
        <v>536</v>
      </c>
      <c r="D54" s="3926"/>
      <c r="E54" s="3924">
        <f>IF(E49&lt;G49,G49/E49-1,E49/G49-1)</f>
        <v>6.5884546655271548E-2</v>
      </c>
      <c r="F54" s="3925" t="str">
        <f>IF(OR(E54&gt;=0.2,E54&lt;=-0.2),"超过20%","")</f>
        <v/>
      </c>
      <c r="G54" s="3924">
        <f>IF(G49&lt;I49,I49/G49-1,G49/I49-1)</f>
        <v>2.6886867719802199E-2</v>
      </c>
      <c r="H54" s="3925" t="str">
        <f>IF(OR(G54&gt;=0.2,G54&lt;=-0.2),"超过20%","")</f>
        <v/>
      </c>
      <c r="I54" s="3924">
        <f>IF(I49&lt;E49,E49/I49-1,I49/E49-1)</f>
        <v>9.454284346577313E-2</v>
      </c>
      <c r="J54" s="3925" t="str">
        <f>IF(OR(I54&gt;=0.2,I54&lt;=-0.2),"超过20%","")</f>
        <v/>
      </c>
      <c r="K54" s="3920"/>
      <c r="L54" s="3921"/>
      <c r="M54" s="3726"/>
      <c r="N54" s="3726"/>
      <c r="O54" s="3749"/>
      <c r="P54" s="3749"/>
      <c r="Q54" s="3749"/>
      <c r="R54" s="3749"/>
      <c r="S54" s="3749"/>
      <c r="T54" s="3749"/>
      <c r="U54" s="3749"/>
      <c r="V54" s="3749"/>
      <c r="W54" s="3749"/>
      <c r="X54" s="3749"/>
      <c r="Y54" s="3749"/>
      <c r="Z54" s="3749"/>
      <c r="AA54" s="3749"/>
      <c r="AB54" s="3749"/>
      <c r="AC54" s="3749"/>
    </row>
    <row r="55" spans="1:29" s="3931" customFormat="1" ht="13.5" customHeight="1">
      <c r="A55" s="3927"/>
      <c r="B55" s="3927"/>
      <c r="C55" s="3922" t="s">
        <v>537</v>
      </c>
      <c r="D55" s="3926"/>
      <c r="E55" s="3924">
        <f>IF(E48&lt;G48,G48/E48-1,E48/G48-1)</f>
        <v>0.13079178885630505</v>
      </c>
      <c r="F55" s="3925" t="str">
        <f>IF(OR(E55&gt;=0.3,E55&lt;=-0.3),"超过30%","")</f>
        <v/>
      </c>
      <c r="G55" s="3924">
        <f>IF(G48&lt;I48,I48/G48-1,G48/I48-1)</f>
        <v>3.6868110984416669E-2</v>
      </c>
      <c r="H55" s="3925" t="str">
        <f>IF(OR(G55&gt;=0.3,G55&lt;=-0.3),"超过30%","")</f>
        <v/>
      </c>
      <c r="I55" s="3924">
        <f>IF(I48&lt;E48,E48/I48-1,I48/E48-1)</f>
        <v>0.17248194602812617</v>
      </c>
      <c r="J55" s="3925" t="str">
        <f>IF(OR(I55&gt;=0.3,I55&lt;=-0.3),"超过30%","")</f>
        <v/>
      </c>
      <c r="K55" s="3928"/>
      <c r="L55" s="3929"/>
      <c r="M55" s="3726"/>
      <c r="N55" s="3726"/>
      <c r="O55" s="3930"/>
      <c r="P55" s="3930"/>
      <c r="Q55" s="3930"/>
      <c r="R55" s="3930"/>
      <c r="S55" s="3930"/>
      <c r="T55" s="3930"/>
      <c r="U55" s="3930"/>
      <c r="V55" s="3930"/>
      <c r="W55" s="3930"/>
      <c r="X55" s="3930"/>
      <c r="Y55" s="3930"/>
      <c r="Z55" s="3930"/>
      <c r="AA55" s="3930"/>
      <c r="AB55" s="3930"/>
      <c r="AC55" s="3930"/>
    </row>
    <row r="56" spans="1:29" s="3931" customFormat="1" ht="21" thickBot="1">
      <c r="A56" s="3930"/>
      <c r="B56" s="3932"/>
      <c r="C56" s="3933"/>
      <c r="D56" s="3930"/>
      <c r="E56" s="3930"/>
      <c r="F56" s="3930"/>
      <c r="G56" s="3930"/>
      <c r="H56" s="3930"/>
      <c r="I56" s="3930"/>
      <c r="J56" s="3930"/>
      <c r="K56" s="3928"/>
      <c r="L56" s="3929"/>
      <c r="M56" s="3726"/>
      <c r="N56" s="3726"/>
      <c r="O56" s="3930"/>
      <c r="P56" s="3930"/>
      <c r="Q56" s="3930"/>
      <c r="R56" s="3930"/>
      <c r="S56" s="3930"/>
      <c r="T56" s="3930"/>
      <c r="U56" s="3930"/>
      <c r="V56" s="3930"/>
      <c r="W56" s="3930"/>
      <c r="X56" s="3930"/>
      <c r="Y56" s="3930"/>
      <c r="Z56" s="3930"/>
      <c r="AA56" s="3930"/>
      <c r="AB56" s="3930"/>
      <c r="AC56" s="3930"/>
    </row>
    <row r="57" spans="1:29" ht="26.25" customHeight="1">
      <c r="A57" s="3934" t="s">
        <v>3186</v>
      </c>
      <c r="B57" s="3935" t="s">
        <v>3187</v>
      </c>
      <c r="C57" s="3936" t="s">
        <v>1699</v>
      </c>
      <c r="D57" s="3937" t="s">
        <v>2258</v>
      </c>
      <c r="E57" s="3938" t="s">
        <v>3188</v>
      </c>
      <c r="F57" s="3939" t="s">
        <v>3189</v>
      </c>
      <c r="G57" s="4370" t="s">
        <v>2247</v>
      </c>
      <c r="H57" s="4371"/>
      <c r="I57" s="3940" t="s">
        <v>3190</v>
      </c>
      <c r="J57" s="3940">
        <f>[1]项目基本情况!F41</f>
        <v>0</v>
      </c>
      <c r="K57" s="3941" t="s">
        <v>3191</v>
      </c>
      <c r="L57" s="3921"/>
      <c r="M57" s="3749"/>
      <c r="N57" s="3749"/>
      <c r="O57" s="3749"/>
      <c r="P57" s="3749"/>
      <c r="Q57" s="3749"/>
      <c r="R57" s="3749"/>
      <c r="S57" s="3749"/>
      <c r="T57" s="3749"/>
      <c r="U57" s="3749"/>
      <c r="V57" s="3749"/>
      <c r="W57" s="3749"/>
      <c r="X57" s="3749"/>
      <c r="Y57" s="3749"/>
      <c r="Z57" s="3749"/>
      <c r="AA57" s="3749"/>
      <c r="AB57" s="3749"/>
      <c r="AC57" s="3749"/>
    </row>
    <row r="58" spans="1:29" s="3950" customFormat="1" ht="12.75">
      <c r="A58" s="3942" t="s">
        <v>3192</v>
      </c>
      <c r="B58" s="3943">
        <f>C50</f>
        <v>13041</v>
      </c>
      <c r="C58" s="3944">
        <v>1</v>
      </c>
      <c r="D58" s="3945">
        <v>1</v>
      </c>
      <c r="E58" s="3944">
        <f>'[1]数据-汇总表'!E8+'[1]数据-汇总表'!E9</f>
        <v>291606.86</v>
      </c>
      <c r="F58" s="3946">
        <f t="shared" ref="F58:F67" si="15">ROUND(B58*E58/10000,0)</f>
        <v>380285</v>
      </c>
      <c r="G58" s="4372"/>
      <c r="H58" s="4373"/>
      <c r="I58" s="3947">
        <v>1</v>
      </c>
      <c r="J58" s="3947">
        <v>1</v>
      </c>
      <c r="K58" s="3948"/>
      <c r="L58" s="3949"/>
      <c r="M58" s="3949"/>
      <c r="N58" s="3949"/>
      <c r="O58" s="3949"/>
      <c r="P58" s="3949"/>
      <c r="Q58" s="3949"/>
      <c r="R58" s="3949"/>
      <c r="S58" s="3949"/>
      <c r="T58" s="3949"/>
      <c r="U58" s="3949"/>
      <c r="V58" s="3949"/>
      <c r="W58" s="3949"/>
      <c r="X58" s="3949"/>
      <c r="Y58" s="3949"/>
      <c r="Z58" s="3949"/>
      <c r="AA58" s="3949"/>
      <c r="AB58" s="3949"/>
      <c r="AC58" s="3949"/>
    </row>
    <row r="59" spans="1:29" s="3950" customFormat="1" ht="12.75">
      <c r="A59" s="3951" t="s">
        <v>3193</v>
      </c>
      <c r="B59" s="3952">
        <f>ROUND($C$50*C59*D59,0)</f>
        <v>2282</v>
      </c>
      <c r="C59" s="3953">
        <f t="shared" ref="C59:C67" si="16">IF($C$57="北京市系数",I59,J59)</f>
        <v>0.7</v>
      </c>
      <c r="D59" s="3954">
        <v>0.25</v>
      </c>
      <c r="E59" s="3955">
        <v>0</v>
      </c>
      <c r="F59" s="3946">
        <f t="shared" si="15"/>
        <v>0</v>
      </c>
      <c r="G59" s="4374" t="s">
        <v>2248</v>
      </c>
      <c r="H59" s="3956" t="str">
        <f>[1]项目基本情况!B43</f>
        <v>七级</v>
      </c>
      <c r="I59" s="3947">
        <f>SUMIF([1]修正!$A$45:$A$56,H59,[1]修正!B45:B56)</f>
        <v>0.7</v>
      </c>
      <c r="J59" s="3957"/>
      <c r="K59" s="3948"/>
      <c r="L59" s="3949"/>
      <c r="M59" s="3949"/>
      <c r="N59" s="3949"/>
      <c r="O59" s="3949"/>
      <c r="P59" s="3949"/>
      <c r="Q59" s="3949"/>
      <c r="R59" s="3949"/>
      <c r="S59" s="3949"/>
      <c r="T59" s="3949"/>
      <c r="U59" s="3949"/>
      <c r="V59" s="3949"/>
      <c r="W59" s="3949"/>
      <c r="X59" s="3949"/>
      <c r="Y59" s="3949"/>
      <c r="Z59" s="3949"/>
      <c r="AA59" s="3949"/>
      <c r="AB59" s="3949"/>
      <c r="AC59" s="3949"/>
    </row>
    <row r="60" spans="1:29" s="3950" customFormat="1" ht="12.75">
      <c r="A60" s="3951" t="s">
        <v>3194</v>
      </c>
      <c r="B60" s="3952">
        <f t="shared" ref="B60:B67" si="17">ROUND($C$50*C60*D60,0)</f>
        <v>1304</v>
      </c>
      <c r="C60" s="3953">
        <f t="shared" si="16"/>
        <v>0.4</v>
      </c>
      <c r="D60" s="3954">
        <v>0.25</v>
      </c>
      <c r="E60" s="3955">
        <v>0</v>
      </c>
      <c r="F60" s="3946">
        <f t="shared" si="15"/>
        <v>0</v>
      </c>
      <c r="G60" s="4374"/>
      <c r="H60" s="3956" t="str">
        <f>[1]项目基本情况!B43</f>
        <v>七级</v>
      </c>
      <c r="I60" s="3947">
        <f>SUMIF([1]修正!$A$45:$A$56,H60,[1]修正!C45:C56)</f>
        <v>0.4</v>
      </c>
      <c r="J60" s="3957"/>
      <c r="K60" s="3948"/>
      <c r="L60" s="3949"/>
      <c r="M60" s="3949"/>
      <c r="N60" s="3949"/>
      <c r="O60" s="3949"/>
      <c r="P60" s="3949"/>
      <c r="Q60" s="3949"/>
      <c r="R60" s="3949"/>
      <c r="S60" s="3949"/>
      <c r="T60" s="3949"/>
      <c r="U60" s="3949"/>
      <c r="V60" s="3949"/>
      <c r="W60" s="3949"/>
      <c r="X60" s="3949"/>
      <c r="Y60" s="3949"/>
      <c r="Z60" s="3949"/>
      <c r="AA60" s="3949"/>
      <c r="AB60" s="3949"/>
      <c r="AC60" s="3949"/>
    </row>
    <row r="61" spans="1:29" s="3950" customFormat="1" ht="12.75">
      <c r="A61" s="3951" t="s">
        <v>3195</v>
      </c>
      <c r="B61" s="3952">
        <f t="shared" si="17"/>
        <v>913</v>
      </c>
      <c r="C61" s="3953">
        <f t="shared" si="16"/>
        <v>0.28000000000000003</v>
      </c>
      <c r="D61" s="3954">
        <v>0.25</v>
      </c>
      <c r="E61" s="3955">
        <v>0</v>
      </c>
      <c r="F61" s="3946">
        <f t="shared" si="15"/>
        <v>0</v>
      </c>
      <c r="G61" s="4374"/>
      <c r="H61" s="3956" t="str">
        <f>[1]项目基本情况!B43</f>
        <v>七级</v>
      </c>
      <c r="I61" s="3947">
        <f>SUMIF([1]修正!$A$45:$A$56,H61,[1]修正!D45:D56)</f>
        <v>0.28000000000000003</v>
      </c>
      <c r="J61" s="3957"/>
      <c r="K61" s="3948"/>
      <c r="L61" s="3949"/>
      <c r="M61" s="3949"/>
      <c r="N61" s="3949"/>
      <c r="O61" s="3949"/>
      <c r="P61" s="3949"/>
      <c r="Q61" s="3949"/>
      <c r="R61" s="3949"/>
      <c r="S61" s="3949"/>
      <c r="T61" s="3949"/>
      <c r="U61" s="3949"/>
      <c r="V61" s="3949"/>
      <c r="W61" s="3949"/>
      <c r="X61" s="3949"/>
      <c r="Y61" s="3949"/>
      <c r="Z61" s="3949"/>
      <c r="AA61" s="3949"/>
      <c r="AB61" s="3949"/>
      <c r="AC61" s="3949"/>
    </row>
    <row r="62" spans="1:29" s="3950" customFormat="1" ht="12.75">
      <c r="A62" s="3951" t="s">
        <v>3196</v>
      </c>
      <c r="B62" s="3952">
        <f t="shared" si="17"/>
        <v>815</v>
      </c>
      <c r="C62" s="3953">
        <f t="shared" si="16"/>
        <v>0.25</v>
      </c>
      <c r="D62" s="3954">
        <v>0.25</v>
      </c>
      <c r="E62" s="3955">
        <v>0</v>
      </c>
      <c r="F62" s="3946">
        <f t="shared" si="15"/>
        <v>0</v>
      </c>
      <c r="G62" s="4374"/>
      <c r="H62" s="3956" t="str">
        <f>[1]项目基本情况!B43</f>
        <v>七级</v>
      </c>
      <c r="I62" s="3947">
        <f>SUMIF([1]修正!$A$45:$A$56,H62,[1]修正!E45:E56)</f>
        <v>0.25</v>
      </c>
      <c r="J62" s="3957"/>
      <c r="K62" s="3948"/>
      <c r="L62" s="3949"/>
      <c r="M62" s="3949"/>
      <c r="N62" s="3949"/>
      <c r="O62" s="3949"/>
      <c r="P62" s="3949"/>
      <c r="Q62" s="3949"/>
      <c r="R62" s="3949"/>
      <c r="S62" s="3949"/>
      <c r="T62" s="3949"/>
      <c r="U62" s="3949"/>
      <c r="V62" s="3949"/>
      <c r="W62" s="3949"/>
      <c r="X62" s="3949"/>
      <c r="Y62" s="3949"/>
      <c r="Z62" s="3949"/>
      <c r="AA62" s="3949"/>
      <c r="AB62" s="3949"/>
      <c r="AC62" s="3949"/>
    </row>
    <row r="63" spans="1:29" s="3950" customFormat="1" ht="12.75">
      <c r="A63" s="3958" t="s">
        <v>3197</v>
      </c>
      <c r="B63" s="3952">
        <f t="shared" si="17"/>
        <v>815</v>
      </c>
      <c r="C63" s="3953">
        <f t="shared" si="16"/>
        <v>0.25</v>
      </c>
      <c r="D63" s="3954">
        <v>0.25</v>
      </c>
      <c r="E63" s="3959">
        <f>'[1]数据-汇总表'!E11</f>
        <v>86938.16</v>
      </c>
      <c r="F63" s="3946">
        <f t="shared" si="15"/>
        <v>7085</v>
      </c>
      <c r="G63" s="3960" t="s">
        <v>2249</v>
      </c>
      <c r="H63" s="3956" t="str">
        <f>[1]项目基本情况!C43</f>
        <v>七级</v>
      </c>
      <c r="I63" s="3947">
        <f>SUMIF([1]修正!$A$45:$A$56,H63,[1]修正!F45:F56)</f>
        <v>0.25</v>
      </c>
      <c r="J63" s="3957"/>
      <c r="K63" s="3948"/>
      <c r="L63" s="3949"/>
      <c r="M63" s="3949"/>
      <c r="N63" s="3949"/>
      <c r="O63" s="3949"/>
      <c r="P63" s="3949"/>
      <c r="Q63" s="3949"/>
      <c r="R63" s="3949"/>
      <c r="S63" s="3949"/>
      <c r="T63" s="3949"/>
      <c r="U63" s="3949"/>
      <c r="V63" s="3949"/>
      <c r="W63" s="3949"/>
      <c r="X63" s="3949"/>
      <c r="Y63" s="3949"/>
      <c r="Z63" s="3949"/>
      <c r="AA63" s="3949"/>
      <c r="AB63" s="3949"/>
      <c r="AC63" s="3949"/>
    </row>
    <row r="64" spans="1:29" s="3950" customFormat="1" ht="12.75">
      <c r="A64" s="3951" t="s">
        <v>3198</v>
      </c>
      <c r="B64" s="3952">
        <f t="shared" si="17"/>
        <v>815</v>
      </c>
      <c r="C64" s="3953">
        <f t="shared" si="16"/>
        <v>0.25</v>
      </c>
      <c r="D64" s="3954">
        <v>0.25</v>
      </c>
      <c r="E64" s="3959">
        <f>'[1]数据-汇总表'!E12</f>
        <v>0</v>
      </c>
      <c r="F64" s="3946">
        <f t="shared" si="15"/>
        <v>0</v>
      </c>
      <c r="G64" s="3961" t="s">
        <v>1652</v>
      </c>
      <c r="H64" s="3962" t="str">
        <f>IF(G64="商业",[1]项目基本情况!B43,IF(G64="办公",[1]项目基本情况!C43,IF(G64="住宅",[1]项目基本情况!D43,[1]项目基本情况!E43)))</f>
        <v>七级</v>
      </c>
      <c r="I64" s="3947">
        <f>SUMIF([1]修正!$A$45:$A$56,H64,[1]修正!G45:G56)</f>
        <v>0.25</v>
      </c>
      <c r="J64" s="3957"/>
      <c r="K64" s="3948"/>
      <c r="L64" s="3949"/>
      <c r="M64" s="3949"/>
      <c r="N64" s="3949"/>
      <c r="O64" s="3949"/>
      <c r="P64" s="3949"/>
      <c r="Q64" s="3949"/>
      <c r="R64" s="3949"/>
      <c r="S64" s="3949"/>
      <c r="T64" s="3949"/>
      <c r="U64" s="3949"/>
      <c r="V64" s="3949"/>
      <c r="W64" s="3949"/>
      <c r="X64" s="3949"/>
      <c r="Y64" s="3949"/>
      <c r="Z64" s="3949"/>
      <c r="AA64" s="3949"/>
      <c r="AB64" s="3949"/>
      <c r="AC64" s="3949"/>
    </row>
    <row r="65" spans="1:29" s="3950" customFormat="1" ht="12.75">
      <c r="A65" s="3951" t="s">
        <v>3199</v>
      </c>
      <c r="B65" s="3952">
        <f t="shared" si="17"/>
        <v>0</v>
      </c>
      <c r="C65" s="3953">
        <f t="shared" si="16"/>
        <v>0</v>
      </c>
      <c r="D65" s="3954">
        <v>0.25</v>
      </c>
      <c r="E65" s="3959">
        <f>'[1]数据-汇总表'!E13</f>
        <v>0</v>
      </c>
      <c r="F65" s="3946">
        <f t="shared" si="15"/>
        <v>0</v>
      </c>
      <c r="G65" s="3961" t="s">
        <v>898</v>
      </c>
      <c r="H65" s="3962">
        <f>IF(G65="商业",[1]项目基本情况!B43,IF(G65="办公",[1]项目基本情况!C43,IF(G65="住宅",[1]项目基本情况!D43,[1]项目基本情况!E43)))</f>
        <v>0</v>
      </c>
      <c r="I65" s="3947">
        <f>SUMIF([1]修正!$A$45:$A$56,H65,[1]修正!H45:H56)</f>
        <v>0</v>
      </c>
      <c r="J65" s="3957"/>
      <c r="K65" s="3948"/>
      <c r="L65" s="3949"/>
      <c r="M65" s="3949"/>
      <c r="N65" s="3949"/>
      <c r="O65" s="3949"/>
      <c r="P65" s="3949"/>
      <c r="Q65" s="3949"/>
      <c r="R65" s="3949"/>
      <c r="S65" s="3949"/>
      <c r="T65" s="3949"/>
      <c r="U65" s="3949"/>
      <c r="V65" s="3949"/>
      <c r="W65" s="3949"/>
      <c r="X65" s="3949"/>
      <c r="Y65" s="3949"/>
      <c r="Z65" s="3949"/>
      <c r="AA65" s="3949"/>
      <c r="AB65" s="3949"/>
      <c r="AC65" s="3949"/>
    </row>
    <row r="66" spans="1:29" s="3950" customFormat="1" ht="12.75">
      <c r="A66" s="3951" t="s">
        <v>3200</v>
      </c>
      <c r="B66" s="3952">
        <f t="shared" si="17"/>
        <v>652</v>
      </c>
      <c r="C66" s="3953">
        <f t="shared" si="16"/>
        <v>0.2</v>
      </c>
      <c r="D66" s="3954">
        <v>0.25</v>
      </c>
      <c r="E66" s="3959">
        <f>'[1]数据-汇总表'!E14</f>
        <v>0</v>
      </c>
      <c r="F66" s="3946">
        <f t="shared" si="15"/>
        <v>0</v>
      </c>
      <c r="G66" s="3960" t="s">
        <v>2248</v>
      </c>
      <c r="H66" s="3956" t="str">
        <f>[1]项目基本情况!B43</f>
        <v>七级</v>
      </c>
      <c r="I66" s="3947">
        <f>SUMIF([1]修正!$A$45:$A$56,H66,[1]修正!H45:H56)</f>
        <v>0.2</v>
      </c>
      <c r="J66" s="3957"/>
      <c r="K66" s="3948"/>
      <c r="L66" s="3949"/>
      <c r="M66" s="3949"/>
      <c r="N66" s="3949"/>
      <c r="O66" s="3949"/>
      <c r="P66" s="3949"/>
      <c r="Q66" s="3949"/>
      <c r="R66" s="3949"/>
      <c r="S66" s="3949"/>
      <c r="T66" s="3949"/>
      <c r="U66" s="3949"/>
      <c r="V66" s="3949"/>
      <c r="W66" s="3949"/>
      <c r="X66" s="3949"/>
      <c r="Y66" s="3949"/>
      <c r="Z66" s="3949"/>
      <c r="AA66" s="3949"/>
      <c r="AB66" s="3949"/>
      <c r="AC66" s="3949"/>
    </row>
    <row r="67" spans="1:29" s="3950" customFormat="1" ht="13.5" thickBot="1">
      <c r="A67" s="3951" t="s">
        <v>3201</v>
      </c>
      <c r="B67" s="3952">
        <f t="shared" si="17"/>
        <v>652</v>
      </c>
      <c r="C67" s="3953">
        <f t="shared" si="16"/>
        <v>0.2</v>
      </c>
      <c r="D67" s="3954">
        <v>0.25</v>
      </c>
      <c r="E67" s="3959">
        <f>'[1]数据-汇总表'!E15</f>
        <v>0</v>
      </c>
      <c r="F67" s="3946">
        <f t="shared" si="15"/>
        <v>0</v>
      </c>
      <c r="G67" s="3963" t="s">
        <v>2249</v>
      </c>
      <c r="H67" s="3964" t="str">
        <f>[1]项目基本情况!C43</f>
        <v>七级</v>
      </c>
      <c r="I67" s="3947">
        <f>SUMIF([1]修正!$A$45:$A$56,H67,[1]修正!H45:H56)</f>
        <v>0.2</v>
      </c>
      <c r="J67" s="3957"/>
      <c r="K67" s="3948"/>
      <c r="L67" s="3949"/>
      <c r="M67" s="3949"/>
      <c r="N67" s="3949"/>
      <c r="O67" s="3949"/>
      <c r="P67" s="3949"/>
      <c r="Q67" s="3949"/>
      <c r="R67" s="3949"/>
      <c r="S67" s="3949"/>
      <c r="T67" s="3949"/>
      <c r="U67" s="3949"/>
      <c r="V67" s="3949"/>
      <c r="W67" s="3949"/>
      <c r="X67" s="3949"/>
      <c r="Y67" s="3949"/>
      <c r="Z67" s="3949"/>
      <c r="AA67" s="3949"/>
      <c r="AB67" s="3949"/>
      <c r="AC67" s="3949"/>
    </row>
    <row r="68" spans="1:29" s="3950" customFormat="1" ht="13.5" thickBot="1">
      <c r="A68" s="3965" t="s">
        <v>3202</v>
      </c>
      <c r="B68" s="3966" t="s">
        <v>2259</v>
      </c>
      <c r="C68" s="3966" t="s">
        <v>2259</v>
      </c>
      <c r="D68" s="3966" t="s">
        <v>2259</v>
      </c>
      <c r="E68" s="3966">
        <f>IF(B48="楼面地价",SUM(E58:E67),'[1]数据-汇总表'!D3)</f>
        <v>378545.02</v>
      </c>
      <c r="F68" s="3967">
        <f>IF(B48="楼面地价",SUM(F58:F67),ROUND(C50*E68/10000,0))</f>
        <v>387370</v>
      </c>
      <c r="G68" s="3968"/>
      <c r="H68" s="3968"/>
      <c r="I68" s="3968"/>
      <c r="J68" s="3968"/>
      <c r="K68" s="3968"/>
      <c r="L68" s="3949"/>
      <c r="M68" s="3949"/>
      <c r="N68" s="3949"/>
      <c r="O68" s="3949"/>
      <c r="P68" s="3949"/>
      <c r="Q68" s="3949"/>
      <c r="R68" s="3949"/>
      <c r="S68" s="3949"/>
      <c r="T68" s="3949"/>
      <c r="U68" s="3949"/>
      <c r="V68" s="3949"/>
      <c r="W68" s="3949"/>
      <c r="X68" s="3949"/>
      <c r="Y68" s="3949"/>
      <c r="Z68" s="3949"/>
      <c r="AA68" s="3949"/>
      <c r="AB68" s="3949"/>
      <c r="AC68" s="3949"/>
    </row>
    <row r="69" spans="1:29">
      <c r="A69" s="3749"/>
      <c r="B69" s="3932"/>
      <c r="C69" s="3933"/>
      <c r="D69" s="3749"/>
      <c r="E69" s="3749"/>
      <c r="F69" s="3749"/>
      <c r="G69" s="3749"/>
      <c r="H69" s="3749"/>
      <c r="I69" s="3749"/>
      <c r="J69" s="3749"/>
      <c r="K69" s="3969"/>
      <c r="L69" s="3921"/>
      <c r="M69" s="3749"/>
      <c r="N69" s="3749"/>
      <c r="O69" s="3749"/>
      <c r="P69" s="3749"/>
      <c r="Q69" s="3749"/>
      <c r="R69" s="3749"/>
      <c r="S69" s="3749"/>
      <c r="T69" s="3749"/>
      <c r="U69" s="3749"/>
      <c r="V69" s="3749"/>
      <c r="W69" s="3749"/>
      <c r="X69" s="3749"/>
      <c r="Y69" s="3749"/>
      <c r="Z69" s="3749"/>
      <c r="AA69" s="3749"/>
      <c r="AB69" s="3749"/>
      <c r="AC69" s="3749"/>
    </row>
    <row r="70" spans="1:29">
      <c r="A70" s="3749"/>
      <c r="B70" s="3932"/>
      <c r="C70" s="3970" t="str">
        <f>YEAR(C9)&amp;"-"&amp;MONTH(C9)&amp;"-1"</f>
        <v>2021-11-1</v>
      </c>
      <c r="D70" s="3970">
        <f>EDATE(C70,-3)</f>
        <v>44409</v>
      </c>
      <c r="E70" s="3970">
        <f t="shared" ref="E70:P70" si="18">EDATE(D70,-3)</f>
        <v>44317</v>
      </c>
      <c r="F70" s="3970">
        <f t="shared" si="18"/>
        <v>44228</v>
      </c>
      <c r="G70" s="3970">
        <f t="shared" si="18"/>
        <v>44136</v>
      </c>
      <c r="H70" s="3970">
        <f t="shared" si="18"/>
        <v>44044</v>
      </c>
      <c r="I70" s="3970">
        <f t="shared" si="18"/>
        <v>43952</v>
      </c>
      <c r="J70" s="3970">
        <f t="shared" si="18"/>
        <v>43862</v>
      </c>
      <c r="K70" s="3970">
        <f t="shared" si="18"/>
        <v>43770</v>
      </c>
      <c r="L70" s="3970">
        <f t="shared" si="18"/>
        <v>43678</v>
      </c>
      <c r="M70" s="3970">
        <f t="shared" si="18"/>
        <v>43586</v>
      </c>
      <c r="N70" s="3970">
        <f t="shared" si="18"/>
        <v>43497</v>
      </c>
      <c r="O70" s="3932">
        <f t="shared" si="18"/>
        <v>43405</v>
      </c>
      <c r="P70" s="3932">
        <f t="shared" si="18"/>
        <v>43313</v>
      </c>
      <c r="Q70" s="3749"/>
      <c r="R70" s="3749"/>
      <c r="S70" s="3749"/>
      <c r="T70" s="3749"/>
      <c r="U70" s="3749"/>
      <c r="V70" s="3749"/>
      <c r="W70" s="3749"/>
      <c r="X70" s="3749"/>
      <c r="Y70" s="3749"/>
      <c r="Z70" s="3749"/>
      <c r="AA70" s="3749"/>
      <c r="AB70" s="3749"/>
      <c r="AC70" s="3749"/>
    </row>
    <row r="71" spans="1:29" ht="21.75" thickBot="1">
      <c r="A71" s="3971" t="s">
        <v>552</v>
      </c>
      <c r="B71" s="3904"/>
      <c r="C71" s="3972"/>
      <c r="D71" s="3972"/>
      <c r="E71" s="3972"/>
      <c r="F71" s="3973"/>
      <c r="G71" s="3973"/>
      <c r="H71" s="3972"/>
      <c r="I71" s="3972"/>
      <c r="J71" s="3972"/>
      <c r="K71" s="3974"/>
      <c r="L71" s="3975"/>
      <c r="M71" s="3972"/>
      <c r="N71" s="3972"/>
      <c r="O71" s="3976"/>
      <c r="P71" s="3976"/>
      <c r="Q71" s="3977"/>
      <c r="R71" s="3749"/>
      <c r="S71" s="3749"/>
      <c r="T71" s="3749"/>
      <c r="U71" s="3749"/>
      <c r="V71" s="3749"/>
      <c r="W71" s="3749"/>
      <c r="X71" s="3749"/>
      <c r="Y71" s="3749"/>
      <c r="Z71" s="3749"/>
      <c r="AA71" s="3749"/>
      <c r="AB71" s="3749"/>
      <c r="AC71" s="3749"/>
    </row>
    <row r="72" spans="1:29" s="3983" customFormat="1" ht="15">
      <c r="A72" s="3978" t="s">
        <v>2486</v>
      </c>
      <c r="B72" s="3979"/>
      <c r="C72" s="3980" t="str">
        <f>YEAR(C70)&amp;"-"&amp;ROUNDUP(MONTH(C70)/3,0)</f>
        <v>2021-4</v>
      </c>
      <c r="D72" s="3980" t="str">
        <f>YEAR(D70)&amp;"-"&amp;ROUNDUP(MONTH(D70)/3,0)</f>
        <v>2021-3</v>
      </c>
      <c r="E72" s="3980" t="str">
        <f t="shared" ref="E72:P72" si="19">YEAR(E70)&amp;"-"&amp;ROUNDUP(MONTH(E70)/3,0)</f>
        <v>2021-2</v>
      </c>
      <c r="F72" s="3980" t="str">
        <f t="shared" si="19"/>
        <v>2021-1</v>
      </c>
      <c r="G72" s="3980" t="str">
        <f t="shared" si="19"/>
        <v>2020-4</v>
      </c>
      <c r="H72" s="3980" t="str">
        <f t="shared" si="19"/>
        <v>2020-3</v>
      </c>
      <c r="I72" s="3980" t="str">
        <f t="shared" si="19"/>
        <v>2020-2</v>
      </c>
      <c r="J72" s="3980" t="str">
        <f t="shared" si="19"/>
        <v>2020-1</v>
      </c>
      <c r="K72" s="3980" t="str">
        <f t="shared" si="19"/>
        <v>2019-4</v>
      </c>
      <c r="L72" s="3980" t="str">
        <f t="shared" si="19"/>
        <v>2019-3</v>
      </c>
      <c r="M72" s="3980" t="str">
        <f t="shared" si="19"/>
        <v>2019-2</v>
      </c>
      <c r="N72" s="3980" t="str">
        <f t="shared" si="19"/>
        <v>2019-1</v>
      </c>
      <c r="O72" s="3981" t="str">
        <f t="shared" si="19"/>
        <v>2018-4</v>
      </c>
      <c r="P72" s="3981" t="str">
        <f t="shared" si="19"/>
        <v>2018-3</v>
      </c>
      <c r="Q72" s="3982"/>
      <c r="R72" s="3982"/>
      <c r="S72" s="3982"/>
      <c r="T72" s="3982"/>
      <c r="U72" s="3982"/>
      <c r="V72" s="3982"/>
      <c r="W72" s="3982"/>
      <c r="X72" s="3982"/>
      <c r="Y72" s="3982"/>
      <c r="Z72" s="3982"/>
      <c r="AA72" s="3982"/>
      <c r="AB72" s="3982"/>
      <c r="AC72" s="3982"/>
    </row>
    <row r="73" spans="1:29" s="3768" customFormat="1" ht="27" customHeight="1">
      <c r="A73" s="3984" t="s">
        <v>2600</v>
      </c>
      <c r="B73" s="3985" t="str">
        <f>"北京市平均增长率"&amp;TEXT(SUMIF('[1]基准地价-商业'!N21:N25,A73,'[1]基准地价-商业'!P21:P25),"0.00%")</f>
        <v>北京市平均增长率1.66%</v>
      </c>
      <c r="C73" s="3777">
        <v>100</v>
      </c>
      <c r="D73" s="3986">
        <v>100</v>
      </c>
      <c r="E73" s="3986">
        <v>100</v>
      </c>
      <c r="F73" s="3986">
        <v>100</v>
      </c>
      <c r="G73" s="3986">
        <v>99</v>
      </c>
      <c r="H73" s="3986">
        <v>99</v>
      </c>
      <c r="I73" s="3986">
        <v>99</v>
      </c>
      <c r="J73" s="3986">
        <v>99</v>
      </c>
      <c r="K73" s="3986">
        <v>98</v>
      </c>
      <c r="L73" s="3986">
        <v>97</v>
      </c>
      <c r="M73" s="3987">
        <v>97</v>
      </c>
      <c r="N73" s="3861">
        <v>97</v>
      </c>
      <c r="O73" s="3988">
        <v>97</v>
      </c>
      <c r="P73" s="3977"/>
      <c r="Q73" s="3763"/>
      <c r="R73" s="3763"/>
      <c r="S73" s="3763"/>
      <c r="T73" s="3763"/>
      <c r="U73" s="3763"/>
      <c r="V73" s="3763"/>
      <c r="W73" s="3763"/>
      <c r="X73" s="3763"/>
      <c r="Y73" s="3763"/>
      <c r="Z73" s="3763"/>
      <c r="AA73" s="3763"/>
      <c r="AB73" s="3763"/>
      <c r="AC73" s="3763"/>
    </row>
    <row r="74" spans="1:29" s="3768" customFormat="1" ht="15" customHeight="1" thickBot="1">
      <c r="A74" s="3989" t="s">
        <v>3203</v>
      </c>
      <c r="B74" s="3990"/>
      <c r="C74" s="3991"/>
      <c r="D74" s="3992"/>
      <c r="E74" s="3992"/>
      <c r="F74" s="3992"/>
      <c r="G74" s="3992"/>
      <c r="H74" s="3992"/>
      <c r="I74" s="3992"/>
      <c r="J74" s="3992"/>
      <c r="K74" s="3992"/>
      <c r="L74" s="3992"/>
      <c r="M74" s="3992"/>
      <c r="N74" s="3992"/>
      <c r="O74" s="3988"/>
      <c r="P74" s="3977"/>
      <c r="Q74" s="3977"/>
      <c r="R74" s="3763"/>
      <c r="S74" s="3763"/>
      <c r="T74" s="3763"/>
      <c r="U74" s="3763"/>
      <c r="V74" s="3763"/>
      <c r="W74" s="3763"/>
      <c r="X74" s="3763"/>
      <c r="Y74" s="3763"/>
      <c r="Z74" s="3763"/>
      <c r="AA74" s="3763"/>
      <c r="AB74" s="3763"/>
      <c r="AC74" s="3763"/>
    </row>
    <row r="75" spans="1:29" s="3768" customFormat="1" ht="15">
      <c r="A75" s="3993" t="s">
        <v>509</v>
      </c>
      <c r="B75" s="3994"/>
      <c r="C75" s="3995" t="s">
        <v>3204</v>
      </c>
      <c r="D75" s="3996"/>
      <c r="E75" s="3996"/>
      <c r="F75" s="3996"/>
      <c r="G75" s="3996"/>
      <c r="H75" s="3996"/>
      <c r="I75" s="3996"/>
      <c r="J75" s="3996"/>
      <c r="K75" s="3996"/>
      <c r="L75" s="3997"/>
      <c r="M75" s="3998"/>
      <c r="N75" s="3988"/>
      <c r="O75" s="3988"/>
      <c r="P75" s="3999"/>
      <c r="Q75" s="3977"/>
      <c r="R75" s="3763"/>
      <c r="S75" s="3763"/>
      <c r="T75" s="3763"/>
      <c r="U75" s="3763"/>
      <c r="V75" s="3763"/>
      <c r="W75" s="3763"/>
      <c r="X75" s="3763"/>
      <c r="Y75" s="3763"/>
      <c r="Z75" s="3763"/>
      <c r="AA75" s="3763"/>
      <c r="AB75" s="3763"/>
      <c r="AC75" s="3763"/>
    </row>
    <row r="76" spans="1:29" s="3768" customFormat="1" ht="15.75" thickBot="1">
      <c r="A76" s="3993"/>
      <c r="B76" s="3994"/>
      <c r="C76" s="4000">
        <v>100</v>
      </c>
      <c r="D76" s="4001"/>
      <c r="E76" s="4001"/>
      <c r="F76" s="4001"/>
      <c r="G76" s="4001"/>
      <c r="H76" s="4001"/>
      <c r="I76" s="4001"/>
      <c r="J76" s="4001"/>
      <c r="K76" s="4001"/>
      <c r="L76" s="4001"/>
      <c r="M76" s="4002"/>
      <c r="N76" s="3988"/>
      <c r="O76" s="3988"/>
      <c r="P76" s="3977"/>
      <c r="Q76" s="3977"/>
      <c r="R76" s="3763"/>
      <c r="S76" s="3763"/>
      <c r="T76" s="3763"/>
      <c r="U76" s="3763"/>
      <c r="V76" s="3763"/>
      <c r="W76" s="3763"/>
      <c r="X76" s="3763"/>
      <c r="Y76" s="3763"/>
      <c r="Z76" s="3763"/>
      <c r="AA76" s="3763"/>
      <c r="AB76" s="3763"/>
      <c r="AC76" s="3763"/>
    </row>
    <row r="77" spans="1:29">
      <c r="A77" s="4003" t="s">
        <v>555</v>
      </c>
      <c r="B77" s="4004" t="s">
        <v>512</v>
      </c>
      <c r="C77" s="4005" t="s">
        <v>1917</v>
      </c>
      <c r="D77" s="3881"/>
      <c r="E77" s="3881"/>
      <c r="F77" s="3881"/>
      <c r="G77" s="3881"/>
      <c r="H77" s="3881"/>
      <c r="I77" s="3881"/>
      <c r="J77" s="3881"/>
      <c r="K77" s="4006"/>
      <c r="L77" s="4007"/>
      <c r="M77" s="4008"/>
      <c r="N77" s="4009"/>
      <c r="O77" s="4009"/>
      <c r="P77" s="3988"/>
      <c r="Q77" s="3977"/>
      <c r="R77" s="3749"/>
      <c r="S77" s="3749"/>
      <c r="T77" s="3749"/>
      <c r="U77" s="3749"/>
      <c r="V77" s="3749"/>
      <c r="W77" s="3749"/>
      <c r="X77" s="3749"/>
      <c r="Y77" s="3749"/>
      <c r="Z77" s="3749"/>
      <c r="AA77" s="3749"/>
      <c r="AB77" s="3749"/>
      <c r="AC77" s="3749"/>
    </row>
    <row r="78" spans="1:29" ht="15.75" thickBot="1">
      <c r="A78" s="3820"/>
      <c r="B78" s="4010"/>
      <c r="C78" s="4011">
        <v>100</v>
      </c>
      <c r="D78" s="4011"/>
      <c r="E78" s="4011"/>
      <c r="F78" s="4011"/>
      <c r="G78" s="4011"/>
      <c r="H78" s="4011"/>
      <c r="I78" s="4011"/>
      <c r="J78" s="4011"/>
      <c r="K78" s="4011"/>
      <c r="L78" s="4011"/>
      <c r="M78" s="4012"/>
      <c r="N78" s="4013"/>
      <c r="O78" s="4013"/>
      <c r="P78" s="3988"/>
      <c r="Q78" s="3977"/>
      <c r="R78" s="3749"/>
      <c r="S78" s="3749"/>
      <c r="T78" s="3749"/>
      <c r="U78" s="3749"/>
      <c r="V78" s="3749"/>
      <c r="W78" s="3749"/>
      <c r="X78" s="3749"/>
      <c r="Y78" s="3749"/>
      <c r="Z78" s="3749"/>
      <c r="AA78" s="3749"/>
      <c r="AB78" s="3749"/>
      <c r="AC78" s="3749"/>
    </row>
    <row r="79" spans="1:29" ht="27.75" thickTop="1">
      <c r="A79" s="3820"/>
      <c r="B79" s="4014" t="s">
        <v>515</v>
      </c>
      <c r="C79" s="4015"/>
      <c r="D79" s="4015"/>
      <c r="E79" s="4015"/>
      <c r="F79" s="4015"/>
      <c r="G79" s="4015"/>
      <c r="H79" s="4015"/>
      <c r="I79" s="4015"/>
      <c r="J79" s="4015"/>
      <c r="K79" s="4016"/>
      <c r="L79" s="4017"/>
      <c r="M79" s="4018"/>
      <c r="N79" s="4009"/>
      <c r="O79" s="4009"/>
      <c r="P79" s="3988"/>
      <c r="Q79" s="3977"/>
      <c r="R79" s="3749"/>
      <c r="S79" s="3749"/>
      <c r="T79" s="3749"/>
      <c r="U79" s="3749"/>
      <c r="V79" s="3749"/>
      <c r="W79" s="3749"/>
      <c r="X79" s="3749"/>
      <c r="Y79" s="3749"/>
      <c r="Z79" s="3749"/>
      <c r="AA79" s="3749"/>
      <c r="AB79" s="3749"/>
      <c r="AC79" s="3749"/>
    </row>
    <row r="80" spans="1:29" ht="15.75" thickBot="1">
      <c r="A80" s="3820"/>
      <c r="B80" s="4019"/>
      <c r="C80" s="4020"/>
      <c r="D80" s="4020"/>
      <c r="E80" s="4020"/>
      <c r="F80" s="4020"/>
      <c r="G80" s="4020"/>
      <c r="H80" s="4020"/>
      <c r="I80" s="4020"/>
      <c r="J80" s="4020"/>
      <c r="K80" s="4020"/>
      <c r="L80" s="4020"/>
      <c r="M80" s="4021"/>
      <c r="N80" s="4013"/>
      <c r="O80" s="4013"/>
      <c r="P80" s="3988"/>
      <c r="Q80" s="3977"/>
      <c r="R80" s="3749"/>
      <c r="S80" s="3749"/>
      <c r="T80" s="3749"/>
      <c r="U80" s="3749"/>
      <c r="V80" s="3749"/>
      <c r="W80" s="3749"/>
      <c r="X80" s="3749"/>
      <c r="Y80" s="3749"/>
      <c r="Z80" s="3749"/>
      <c r="AA80" s="3749"/>
      <c r="AB80" s="3749"/>
      <c r="AC80" s="3749"/>
    </row>
    <row r="81" spans="1:29" ht="15.75" thickTop="1">
      <c r="A81" s="3820"/>
      <c r="B81" s="4022" t="s">
        <v>516</v>
      </c>
      <c r="C81" s="4023" t="str">
        <f>C82&amp;"（含）"&amp;"-"&amp;D82</f>
        <v>0（含）-1</v>
      </c>
      <c r="D81" s="4023" t="str">
        <f t="shared" ref="D81:L81" si="20">D82&amp;"（含）"&amp;"-"&amp;E82</f>
        <v>1（含）-2</v>
      </c>
      <c r="E81" s="4023" t="str">
        <f t="shared" si="20"/>
        <v>2（含）-3</v>
      </c>
      <c r="F81" s="4023" t="str">
        <f t="shared" si="20"/>
        <v>3（含）-</v>
      </c>
      <c r="G81" s="4023" t="str">
        <f t="shared" si="20"/>
        <v>（含）-</v>
      </c>
      <c r="H81" s="4023" t="str">
        <f t="shared" si="20"/>
        <v>（含）-</v>
      </c>
      <c r="I81" s="4023" t="str">
        <f t="shared" si="20"/>
        <v>（含）-</v>
      </c>
      <c r="J81" s="4023" t="str">
        <f t="shared" si="20"/>
        <v>（含）-</v>
      </c>
      <c r="K81" s="4023" t="str">
        <f t="shared" si="20"/>
        <v>（含）-</v>
      </c>
      <c r="L81" s="4023" t="str">
        <f t="shared" si="20"/>
        <v>（含）-</v>
      </c>
      <c r="M81" s="3825" t="str">
        <f>M82&amp;"（含）"&amp;"-"&amp;P82</f>
        <v>（含）-</v>
      </c>
      <c r="N81" s="4013"/>
      <c r="O81" s="4013"/>
      <c r="P81" s="3988"/>
      <c r="Q81" s="3977"/>
      <c r="R81" s="3749"/>
      <c r="S81" s="3749"/>
      <c r="T81" s="3749"/>
      <c r="U81" s="3749"/>
      <c r="V81" s="3749"/>
      <c r="W81" s="3749"/>
      <c r="X81" s="3749"/>
      <c r="Y81" s="3749"/>
      <c r="Z81" s="3749"/>
      <c r="AA81" s="3749"/>
      <c r="AB81" s="3749"/>
      <c r="AC81" s="3749"/>
    </row>
    <row r="82" spans="1:29" ht="15">
      <c r="A82" s="3820"/>
      <c r="B82" s="4024"/>
      <c r="C82" s="3807">
        <v>0</v>
      </c>
      <c r="D82" s="3807">
        <v>1</v>
      </c>
      <c r="E82" s="3807">
        <v>2</v>
      </c>
      <c r="F82" s="3807">
        <v>3</v>
      </c>
      <c r="G82" s="3807"/>
      <c r="H82" s="3807"/>
      <c r="I82" s="3807"/>
      <c r="J82" s="3807"/>
      <c r="K82" s="4025"/>
      <c r="L82" s="4026"/>
      <c r="M82" s="4027"/>
      <c r="N82" s="4009"/>
      <c r="O82" s="4009"/>
      <c r="P82" s="3988"/>
      <c r="Q82" s="3977"/>
      <c r="R82" s="3749"/>
      <c r="S82" s="3749"/>
      <c r="T82" s="3749"/>
      <c r="U82" s="3749"/>
      <c r="V82" s="3749"/>
      <c r="W82" s="3749"/>
      <c r="X82" s="3749"/>
      <c r="Y82" s="3749"/>
      <c r="Z82" s="3749"/>
      <c r="AA82" s="3749"/>
      <c r="AB82" s="3749"/>
      <c r="AC82" s="3749"/>
    </row>
    <row r="83" spans="1:29" ht="15.75" thickBot="1">
      <c r="A83" s="3820"/>
      <c r="B83" s="4010"/>
      <c r="C83" s="4020">
        <v>100</v>
      </c>
      <c r="D83" s="4020">
        <f>IF($B$48="单位面积地价",C83+$K13,C83-$K13)</f>
        <v>98</v>
      </c>
      <c r="E83" s="4020">
        <f t="shared" ref="E83:M83" si="21">IF($B$48="单位面积地价",D83+$K13,D83-$K13)</f>
        <v>96</v>
      </c>
      <c r="F83" s="4020">
        <f t="shared" si="21"/>
        <v>94</v>
      </c>
      <c r="G83" s="4020">
        <f t="shared" si="21"/>
        <v>92</v>
      </c>
      <c r="H83" s="4020">
        <f t="shared" si="21"/>
        <v>90</v>
      </c>
      <c r="I83" s="4020">
        <f t="shared" si="21"/>
        <v>88</v>
      </c>
      <c r="J83" s="4020">
        <f t="shared" si="21"/>
        <v>86</v>
      </c>
      <c r="K83" s="4020">
        <f t="shared" si="21"/>
        <v>84</v>
      </c>
      <c r="L83" s="4020">
        <f t="shared" si="21"/>
        <v>82</v>
      </c>
      <c r="M83" s="4020">
        <f t="shared" si="21"/>
        <v>80</v>
      </c>
      <c r="N83" s="4013"/>
      <c r="O83" s="4013"/>
      <c r="P83" s="3988"/>
      <c r="Q83" s="3977"/>
      <c r="R83" s="3749"/>
      <c r="S83" s="3749"/>
      <c r="T83" s="3749"/>
      <c r="U83" s="3749"/>
      <c r="V83" s="3749"/>
      <c r="W83" s="3749"/>
      <c r="X83" s="3749"/>
      <c r="Y83" s="3749"/>
      <c r="Z83" s="3749"/>
      <c r="AA83" s="3749"/>
      <c r="AB83" s="3749"/>
      <c r="AC83" s="3749"/>
    </row>
    <row r="84" spans="1:29" s="3876" customFormat="1" ht="15.75" thickTop="1">
      <c r="A84" s="4028"/>
      <c r="B84" s="4014" t="str">
        <f>B14</f>
        <v>配建</v>
      </c>
      <c r="C84" s="4029"/>
      <c r="D84" s="4030"/>
      <c r="E84" s="4031"/>
      <c r="F84" s="4029"/>
      <c r="G84" s="4029"/>
      <c r="H84" s="4032"/>
      <c r="I84" s="4032"/>
      <c r="J84" s="4032"/>
      <c r="K84" s="4032"/>
      <c r="L84" s="4033"/>
      <c r="M84" s="4034"/>
      <c r="N84" s="4035"/>
      <c r="O84" s="4035"/>
      <c r="P84" s="4035"/>
      <c r="Q84" s="4036"/>
      <c r="R84" s="4037"/>
      <c r="S84" s="4037"/>
      <c r="T84" s="4037"/>
      <c r="U84" s="4037"/>
      <c r="V84" s="4037"/>
      <c r="W84" s="4037"/>
      <c r="X84" s="4037"/>
      <c r="Y84" s="4037"/>
      <c r="Z84" s="4037"/>
      <c r="AA84" s="4037"/>
      <c r="AB84" s="4037"/>
      <c r="AC84" s="4037"/>
    </row>
    <row r="85" spans="1:29" s="3876" customFormat="1" ht="15.75" thickBot="1">
      <c r="A85" s="4028"/>
      <c r="B85" s="4019"/>
      <c r="C85" s="4038"/>
      <c r="D85" s="4011"/>
      <c r="E85" s="4011"/>
      <c r="F85" s="4011"/>
      <c r="G85" s="4011"/>
      <c r="H85" s="4011"/>
      <c r="I85" s="4011"/>
      <c r="J85" s="4011"/>
      <c r="K85" s="4011"/>
      <c r="L85" s="4011"/>
      <c r="M85" s="4012"/>
      <c r="N85" s="4013"/>
      <c r="O85" s="4013"/>
      <c r="P85" s="4035"/>
      <c r="Q85" s="4036"/>
      <c r="R85" s="4037"/>
      <c r="S85" s="4037"/>
      <c r="T85" s="4037"/>
      <c r="U85" s="4037"/>
      <c r="V85" s="4037"/>
      <c r="W85" s="4037"/>
      <c r="X85" s="4037"/>
      <c r="Y85" s="4037"/>
      <c r="Z85" s="4037"/>
      <c r="AA85" s="4037"/>
      <c r="AB85" s="4037"/>
      <c r="AC85" s="4037"/>
    </row>
    <row r="86" spans="1:29" s="3876" customFormat="1" ht="15.75" thickTop="1">
      <c r="A86" s="4028"/>
      <c r="B86" s="4014" t="str">
        <f>B15</f>
        <v>产业限制</v>
      </c>
      <c r="C86" s="4031" t="s">
        <v>3154</v>
      </c>
      <c r="D86" s="4031" t="s">
        <v>3155</v>
      </c>
      <c r="E86" s="4029"/>
      <c r="F86" s="4029"/>
      <c r="G86" s="4029"/>
      <c r="H86" s="4032"/>
      <c r="I86" s="4032"/>
      <c r="J86" s="4032"/>
      <c r="K86" s="4032"/>
      <c r="L86" s="4033"/>
      <c r="M86" s="4034"/>
      <c r="N86" s="4035"/>
      <c r="O86" s="4035"/>
      <c r="P86" s="4037"/>
      <c r="Q86" s="4039"/>
      <c r="R86" s="4037"/>
      <c r="S86" s="4037"/>
      <c r="T86" s="4037"/>
      <c r="U86" s="4037"/>
      <c r="V86" s="4037"/>
      <c r="W86" s="4037"/>
      <c r="X86" s="4037"/>
      <c r="Y86" s="4037"/>
      <c r="Z86" s="4037"/>
      <c r="AA86" s="4037"/>
      <c r="AB86" s="4037"/>
      <c r="AC86" s="4037"/>
    </row>
    <row r="87" spans="1:29" s="3876" customFormat="1" ht="15.75" thickBot="1">
      <c r="A87" s="4028"/>
      <c r="B87" s="4019"/>
      <c r="C87" s="4038">
        <v>100</v>
      </c>
      <c r="D87" s="4038">
        <v>105</v>
      </c>
      <c r="E87" s="4038"/>
      <c r="F87" s="4038"/>
      <c r="G87" s="4038"/>
      <c r="H87" s="4040"/>
      <c r="I87" s="4040"/>
      <c r="J87" s="4040"/>
      <c r="K87" s="4040"/>
      <c r="L87" s="4040"/>
      <c r="M87" s="4041"/>
      <c r="N87" s="4035"/>
      <c r="O87" s="4035"/>
      <c r="P87" s="4035"/>
      <c r="Q87" s="4036"/>
      <c r="R87" s="4037"/>
      <c r="S87" s="4037"/>
      <c r="T87" s="4037"/>
      <c r="U87" s="4037"/>
      <c r="V87" s="4037"/>
      <c r="W87" s="4037"/>
      <c r="X87" s="4037"/>
      <c r="Y87" s="4037"/>
      <c r="Z87" s="4037"/>
      <c r="AA87" s="4037"/>
      <c r="AB87" s="4037"/>
      <c r="AC87" s="4037"/>
    </row>
    <row r="88" spans="1:29" s="3876" customFormat="1" ht="15.75" thickTop="1">
      <c r="A88" s="4028"/>
      <c r="B88" s="4022">
        <f>B16</f>
        <v>111</v>
      </c>
      <c r="C88" s="3996"/>
      <c r="D88" s="3996"/>
      <c r="E88" s="3996"/>
      <c r="F88" s="3996"/>
      <c r="G88" s="3996"/>
      <c r="H88" s="4042"/>
      <c r="I88" s="4042"/>
      <c r="J88" s="4042"/>
      <c r="K88" s="4042"/>
      <c r="L88" s="4043"/>
      <c r="M88" s="4044"/>
      <c r="N88" s="4035"/>
      <c r="O88" s="4035"/>
      <c r="P88" s="4045"/>
      <c r="Q88" s="4036"/>
      <c r="R88" s="4037"/>
      <c r="S88" s="4037"/>
      <c r="T88" s="4037"/>
      <c r="U88" s="4037"/>
      <c r="V88" s="4037"/>
      <c r="W88" s="4037"/>
      <c r="X88" s="4037"/>
      <c r="Y88" s="4037"/>
      <c r="Z88" s="4037"/>
      <c r="AA88" s="4037"/>
      <c r="AB88" s="4037"/>
      <c r="AC88" s="4037"/>
    </row>
    <row r="89" spans="1:29" s="3876" customFormat="1" ht="15.75" thickBot="1">
      <c r="A89" s="4046"/>
      <c r="B89" s="4047"/>
      <c r="C89" s="4048"/>
      <c r="D89" s="4048"/>
      <c r="E89" s="4048"/>
      <c r="F89" s="4048"/>
      <c r="G89" s="4048"/>
      <c r="H89" s="4049"/>
      <c r="I89" s="4049"/>
      <c r="J89" s="4049"/>
      <c r="K89" s="4049"/>
      <c r="L89" s="4049"/>
      <c r="M89" s="4050"/>
      <c r="N89" s="4035"/>
      <c r="O89" s="4035"/>
      <c r="P89" s="4035"/>
      <c r="Q89" s="4036"/>
      <c r="R89" s="4037"/>
      <c r="S89" s="4037"/>
      <c r="T89" s="4037"/>
      <c r="U89" s="4037"/>
      <c r="V89" s="4037"/>
      <c r="W89" s="4037"/>
      <c r="X89" s="4037"/>
      <c r="Y89" s="4037"/>
      <c r="Z89" s="4037"/>
      <c r="AA89" s="4037"/>
      <c r="AB89" s="4037"/>
      <c r="AC89" s="4037"/>
    </row>
    <row r="90" spans="1:29">
      <c r="A90" s="4003" t="s">
        <v>517</v>
      </c>
      <c r="B90" s="4004" t="s">
        <v>556</v>
      </c>
      <c r="C90" s="4051" t="s">
        <v>557</v>
      </c>
      <c r="D90" s="4051" t="s">
        <v>558</v>
      </c>
      <c r="E90" s="4051" t="s">
        <v>559</v>
      </c>
      <c r="F90" s="4051" t="s">
        <v>560</v>
      </c>
      <c r="G90" s="4051" t="s">
        <v>561</v>
      </c>
      <c r="H90" s="4052"/>
      <c r="I90" s="4052"/>
      <c r="J90" s="4052"/>
      <c r="K90" s="4053"/>
      <c r="L90" s="4054"/>
      <c r="M90" s="4055"/>
      <c r="N90" s="4009"/>
      <c r="O90" s="4009"/>
      <c r="P90" s="4056"/>
      <c r="Q90" s="3977"/>
      <c r="R90" s="3749"/>
      <c r="S90" s="3749"/>
      <c r="T90" s="3749"/>
      <c r="U90" s="3749"/>
      <c r="V90" s="3749"/>
      <c r="W90" s="3749"/>
      <c r="X90" s="3749"/>
      <c r="Y90" s="3749"/>
      <c r="Z90" s="3749"/>
      <c r="AA90" s="3749"/>
      <c r="AB90" s="3749"/>
      <c r="AC90" s="3749"/>
    </row>
    <row r="91" spans="1:29" ht="15.75" thickBot="1">
      <c r="A91" s="3820"/>
      <c r="B91" s="4019"/>
      <c r="C91" s="4020">
        <v>100</v>
      </c>
      <c r="D91" s="4020">
        <f>C91-$K17</f>
        <v>100</v>
      </c>
      <c r="E91" s="4020">
        <f>D91-$K17</f>
        <v>100</v>
      </c>
      <c r="F91" s="4020">
        <f>E91-$K17</f>
        <v>100</v>
      </c>
      <c r="G91" s="4020">
        <f>F91-$K17</f>
        <v>100</v>
      </c>
      <c r="H91" s="4020"/>
      <c r="I91" s="4020"/>
      <c r="J91" s="4020"/>
      <c r="K91" s="4020"/>
      <c r="L91" s="4020"/>
      <c r="M91" s="4021"/>
      <c r="N91" s="4013"/>
      <c r="O91" s="4013"/>
      <c r="P91" s="3988"/>
      <c r="Q91" s="3977"/>
      <c r="R91" s="3749"/>
      <c r="S91" s="3749"/>
      <c r="T91" s="3749"/>
      <c r="U91" s="3749"/>
      <c r="V91" s="3749"/>
      <c r="W91" s="3749"/>
      <c r="X91" s="3749"/>
      <c r="Y91" s="3749"/>
      <c r="Z91" s="3749"/>
      <c r="AA91" s="3749"/>
      <c r="AB91" s="3749"/>
      <c r="AC91" s="3749"/>
    </row>
    <row r="92" spans="1:29" ht="15.75" thickTop="1">
      <c r="A92" s="3820"/>
      <c r="B92" s="4014" t="s">
        <v>562</v>
      </c>
      <c r="C92" s="4057" t="s">
        <v>557</v>
      </c>
      <c r="D92" s="4057" t="s">
        <v>558</v>
      </c>
      <c r="E92" s="4057" t="s">
        <v>559</v>
      </c>
      <c r="F92" s="4057" t="s">
        <v>560</v>
      </c>
      <c r="G92" s="4057" t="s">
        <v>561</v>
      </c>
      <c r="H92" s="4015"/>
      <c r="I92" s="4015"/>
      <c r="J92" s="4015"/>
      <c r="K92" s="4016"/>
      <c r="L92" s="4017"/>
      <c r="M92" s="4018"/>
      <c r="N92" s="4009"/>
      <c r="O92" s="4009"/>
      <c r="P92" s="3988"/>
      <c r="Q92" s="3977"/>
      <c r="R92" s="3749"/>
      <c r="S92" s="3749"/>
      <c r="T92" s="3749"/>
      <c r="U92" s="3749"/>
      <c r="V92" s="3749"/>
      <c r="W92" s="3749"/>
      <c r="X92" s="3749"/>
      <c r="Y92" s="3749"/>
      <c r="Z92" s="3749"/>
      <c r="AA92" s="3749"/>
      <c r="AB92" s="3749"/>
      <c r="AC92" s="3749"/>
    </row>
    <row r="93" spans="1:29" ht="15.75" thickBot="1">
      <c r="A93" s="3820"/>
      <c r="B93" s="4019"/>
      <c r="C93" s="4020">
        <v>100</v>
      </c>
      <c r="D93" s="4020">
        <f>C93-$K19</f>
        <v>97</v>
      </c>
      <c r="E93" s="4020">
        <f>D93-$K19</f>
        <v>94</v>
      </c>
      <c r="F93" s="4020">
        <f>E93-$K19</f>
        <v>91</v>
      </c>
      <c r="G93" s="4020">
        <f>F93-$K19</f>
        <v>88</v>
      </c>
      <c r="H93" s="4020"/>
      <c r="I93" s="4020"/>
      <c r="J93" s="4020"/>
      <c r="K93" s="4020"/>
      <c r="L93" s="4020"/>
      <c r="M93" s="4021"/>
      <c r="N93" s="4013"/>
      <c r="O93" s="4013"/>
      <c r="P93" s="3988"/>
      <c r="Q93" s="3977"/>
      <c r="R93" s="3749"/>
      <c r="S93" s="3749"/>
      <c r="T93" s="3749"/>
      <c r="U93" s="3749"/>
      <c r="V93" s="3749"/>
      <c r="W93" s="3749"/>
      <c r="X93" s="3749"/>
      <c r="Y93" s="3749"/>
      <c r="Z93" s="3749"/>
      <c r="AA93" s="3749"/>
      <c r="AB93" s="3749"/>
      <c r="AC93" s="3749"/>
    </row>
    <row r="94" spans="1:29" ht="15.75" thickTop="1">
      <c r="A94" s="3820"/>
      <c r="B94" s="4014" t="s">
        <v>563</v>
      </c>
      <c r="C94" s="4057" t="s">
        <v>557</v>
      </c>
      <c r="D94" s="4057" t="s">
        <v>558</v>
      </c>
      <c r="E94" s="4057" t="s">
        <v>559</v>
      </c>
      <c r="F94" s="4057" t="s">
        <v>560</v>
      </c>
      <c r="G94" s="4057" t="s">
        <v>561</v>
      </c>
      <c r="H94" s="4015"/>
      <c r="I94" s="4015"/>
      <c r="J94" s="4015"/>
      <c r="K94" s="4016"/>
      <c r="L94" s="4017"/>
      <c r="M94" s="4018"/>
      <c r="N94" s="4009"/>
      <c r="O94" s="4009"/>
      <c r="P94" s="3988"/>
      <c r="Q94" s="3977"/>
      <c r="R94" s="3749"/>
      <c r="S94" s="3749"/>
      <c r="T94" s="3749"/>
      <c r="U94" s="3749"/>
      <c r="V94" s="3749"/>
      <c r="W94" s="3749"/>
      <c r="X94" s="3749"/>
      <c r="Y94" s="3749"/>
      <c r="Z94" s="3749"/>
      <c r="AA94" s="3749"/>
      <c r="AB94" s="3749"/>
      <c r="AC94" s="3749"/>
    </row>
    <row r="95" spans="1:29" ht="15.75" thickBot="1">
      <c r="A95" s="3820"/>
      <c r="B95" s="4019"/>
      <c r="C95" s="4020">
        <v>100</v>
      </c>
      <c r="D95" s="4020">
        <f>C95-$K21</f>
        <v>100</v>
      </c>
      <c r="E95" s="4020">
        <f>D95-$K21</f>
        <v>100</v>
      </c>
      <c r="F95" s="4020">
        <f>E95-$K21</f>
        <v>100</v>
      </c>
      <c r="G95" s="4020">
        <f>F95-$K21</f>
        <v>100</v>
      </c>
      <c r="H95" s="4020"/>
      <c r="I95" s="4020"/>
      <c r="J95" s="4020"/>
      <c r="K95" s="4020"/>
      <c r="L95" s="4020"/>
      <c r="M95" s="4021"/>
      <c r="N95" s="4013"/>
      <c r="O95" s="4013"/>
      <c r="P95" s="3988"/>
      <c r="Q95" s="3977"/>
      <c r="R95" s="3749"/>
      <c r="S95" s="3749"/>
      <c r="T95" s="3749"/>
      <c r="U95" s="3749"/>
      <c r="V95" s="3749"/>
      <c r="W95" s="3749"/>
      <c r="X95" s="3749"/>
      <c r="Y95" s="3749"/>
      <c r="Z95" s="3749"/>
      <c r="AA95" s="3749"/>
      <c r="AB95" s="3749"/>
      <c r="AC95" s="3749"/>
    </row>
    <row r="96" spans="1:29" ht="15.75" thickTop="1">
      <c r="A96" s="3820"/>
      <c r="B96" s="4014" t="s">
        <v>564</v>
      </c>
      <c r="C96" s="4057" t="s">
        <v>557</v>
      </c>
      <c r="D96" s="4057" t="s">
        <v>558</v>
      </c>
      <c r="E96" s="4057" t="s">
        <v>559</v>
      </c>
      <c r="F96" s="4057" t="s">
        <v>560</v>
      </c>
      <c r="G96" s="4057" t="s">
        <v>561</v>
      </c>
      <c r="H96" s="4015"/>
      <c r="I96" s="4015"/>
      <c r="J96" s="4015"/>
      <c r="K96" s="4016"/>
      <c r="L96" s="4017"/>
      <c r="M96" s="4018"/>
      <c r="N96" s="4009"/>
      <c r="O96" s="4009"/>
      <c r="P96" s="3988"/>
      <c r="Q96" s="3977"/>
      <c r="R96" s="3749"/>
      <c r="S96" s="3749"/>
      <c r="T96" s="3749"/>
      <c r="U96" s="3749"/>
      <c r="V96" s="3749"/>
      <c r="W96" s="3749"/>
      <c r="X96" s="3749"/>
      <c r="Y96" s="3749"/>
      <c r="Z96" s="3749"/>
      <c r="AA96" s="3749"/>
      <c r="AB96" s="3749"/>
      <c r="AC96" s="3749"/>
    </row>
    <row r="97" spans="1:29" ht="15.75" thickBot="1">
      <c r="A97" s="3820"/>
      <c r="B97" s="4019"/>
      <c r="C97" s="4020">
        <v>100</v>
      </c>
      <c r="D97" s="4020">
        <f>C97-$K23</f>
        <v>98</v>
      </c>
      <c r="E97" s="4020">
        <f>D97-$K23</f>
        <v>96</v>
      </c>
      <c r="F97" s="4020">
        <f>E97-$K23</f>
        <v>94</v>
      </c>
      <c r="G97" s="4020">
        <f>F97-$K23</f>
        <v>92</v>
      </c>
      <c r="H97" s="4020"/>
      <c r="I97" s="4020"/>
      <c r="J97" s="4020"/>
      <c r="K97" s="4020"/>
      <c r="L97" s="4020"/>
      <c r="M97" s="4021"/>
      <c r="N97" s="4013"/>
      <c r="O97" s="4013"/>
      <c r="P97" s="3988"/>
      <c r="Q97" s="3977"/>
      <c r="R97" s="3749"/>
      <c r="S97" s="3749"/>
      <c r="T97" s="3749"/>
      <c r="U97" s="3749"/>
      <c r="V97" s="3749"/>
      <c r="W97" s="3749"/>
      <c r="X97" s="3749"/>
      <c r="Y97" s="3749"/>
      <c r="Z97" s="3749"/>
      <c r="AA97" s="3749"/>
      <c r="AB97" s="3749"/>
      <c r="AC97" s="3749"/>
    </row>
    <row r="98" spans="1:29" s="3768" customFormat="1" ht="27.75" thickTop="1">
      <c r="A98" s="4058"/>
      <c r="B98" s="4014" t="s">
        <v>565</v>
      </c>
      <c r="C98" s="4057" t="s">
        <v>557</v>
      </c>
      <c r="D98" s="4057" t="s">
        <v>558</v>
      </c>
      <c r="E98" s="4057" t="s">
        <v>559</v>
      </c>
      <c r="F98" s="4057" t="s">
        <v>560</v>
      </c>
      <c r="G98" s="4057" t="s">
        <v>561</v>
      </c>
      <c r="H98" s="4057"/>
      <c r="I98" s="4057"/>
      <c r="J98" s="4057"/>
      <c r="K98" s="4057"/>
      <c r="L98" s="4059"/>
      <c r="M98" s="4060"/>
      <c r="N98" s="3988"/>
      <c r="O98" s="3988"/>
      <c r="P98" s="3988"/>
      <c r="Q98" s="3977"/>
      <c r="R98" s="3763"/>
      <c r="S98" s="3763"/>
      <c r="T98" s="3763"/>
      <c r="U98" s="3763"/>
      <c r="V98" s="3763"/>
      <c r="W98" s="3763"/>
      <c r="X98" s="3763"/>
      <c r="Y98" s="3763"/>
      <c r="Z98" s="3763"/>
      <c r="AA98" s="3763"/>
      <c r="AB98" s="3763"/>
      <c r="AC98" s="3763"/>
    </row>
    <row r="99" spans="1:29" s="3768" customFormat="1" ht="15.75" thickBot="1">
      <c r="A99" s="4058"/>
      <c r="B99" s="4019"/>
      <c r="C99" s="4061">
        <v>100</v>
      </c>
      <c r="D99" s="4020">
        <f>C99-$K25</f>
        <v>98</v>
      </c>
      <c r="E99" s="4020">
        <f>D99-$K25</f>
        <v>96</v>
      </c>
      <c r="F99" s="4020">
        <f>E99-$K25</f>
        <v>94</v>
      </c>
      <c r="G99" s="4020">
        <f>F99-$K25</f>
        <v>92</v>
      </c>
      <c r="H99" s="4020"/>
      <c r="I99" s="4020"/>
      <c r="J99" s="4020"/>
      <c r="K99" s="4020"/>
      <c r="L99" s="4020"/>
      <c r="M99" s="4021"/>
      <c r="N99" s="4013"/>
      <c r="O99" s="4013"/>
      <c r="P99" s="3988"/>
      <c r="Q99" s="3977"/>
      <c r="R99" s="3763"/>
      <c r="S99" s="3763"/>
      <c r="T99" s="3763"/>
      <c r="U99" s="3763"/>
      <c r="V99" s="3763"/>
      <c r="W99" s="3763"/>
      <c r="X99" s="3763"/>
      <c r="Y99" s="3763"/>
      <c r="Z99" s="3763"/>
      <c r="AA99" s="3763"/>
      <c r="AB99" s="3763"/>
      <c r="AC99" s="3763"/>
    </row>
    <row r="100" spans="1:29" s="3768" customFormat="1" ht="27.75" thickTop="1">
      <c r="A100" s="4058"/>
      <c r="B100" s="4014" t="s">
        <v>566</v>
      </c>
      <c r="C100" s="4051" t="s">
        <v>557</v>
      </c>
      <c r="D100" s="4051" t="s">
        <v>558</v>
      </c>
      <c r="E100" s="4051" t="s">
        <v>559</v>
      </c>
      <c r="F100" s="4051" t="s">
        <v>560</v>
      </c>
      <c r="G100" s="4051" t="s">
        <v>561</v>
      </c>
      <c r="H100" s="4057"/>
      <c r="I100" s="4057"/>
      <c r="J100" s="4057"/>
      <c r="K100" s="4057"/>
      <c r="L100" s="4057"/>
      <c r="M100" s="4060"/>
      <c r="N100" s="3988"/>
      <c r="O100" s="3988"/>
      <c r="P100" s="3988"/>
      <c r="Q100" s="3977"/>
      <c r="R100" s="3763"/>
      <c r="S100" s="3763"/>
      <c r="T100" s="3763"/>
      <c r="U100" s="3763"/>
      <c r="V100" s="3763"/>
      <c r="W100" s="3763"/>
      <c r="X100" s="3763"/>
      <c r="Y100" s="3763"/>
      <c r="Z100" s="3763"/>
      <c r="AA100" s="3763"/>
      <c r="AB100" s="3763"/>
      <c r="AC100" s="3763"/>
    </row>
    <row r="101" spans="1:29" s="3768" customFormat="1" ht="15.75" thickBot="1">
      <c r="A101" s="4058"/>
      <c r="B101" s="4019"/>
      <c r="C101" s="4020">
        <v>100</v>
      </c>
      <c r="D101" s="4020">
        <f>C101-$K27</f>
        <v>99</v>
      </c>
      <c r="E101" s="4020">
        <f>D101-$K27</f>
        <v>98</v>
      </c>
      <c r="F101" s="4020">
        <f>E101-$K27</f>
        <v>97</v>
      </c>
      <c r="G101" s="4020">
        <f>F101-$K27</f>
        <v>96</v>
      </c>
      <c r="H101" s="4020"/>
      <c r="I101" s="4020"/>
      <c r="J101" s="4020"/>
      <c r="K101" s="4020"/>
      <c r="L101" s="4020"/>
      <c r="M101" s="4021"/>
      <c r="N101" s="4013"/>
      <c r="O101" s="4013"/>
      <c r="P101" s="3988"/>
      <c r="Q101" s="3977"/>
      <c r="R101" s="3763"/>
      <c r="S101" s="3763"/>
      <c r="T101" s="3763"/>
      <c r="U101" s="3763"/>
      <c r="V101" s="3763"/>
      <c r="W101" s="3763"/>
      <c r="X101" s="3763"/>
      <c r="Y101" s="3763"/>
      <c r="Z101" s="3763"/>
      <c r="AA101" s="3763"/>
      <c r="AB101" s="3763"/>
      <c r="AC101" s="3763"/>
    </row>
    <row r="102" spans="1:29" s="3876" customFormat="1" ht="15.75" thickTop="1">
      <c r="A102" s="4028"/>
      <c r="B102" s="4062" t="s">
        <v>2282</v>
      </c>
      <c r="C102" s="4051" t="s">
        <v>557</v>
      </c>
      <c r="D102" s="4051" t="s">
        <v>558</v>
      </c>
      <c r="E102" s="4051" t="s">
        <v>559</v>
      </c>
      <c r="F102" s="4051" t="s">
        <v>560</v>
      </c>
      <c r="G102" s="4051" t="s">
        <v>561</v>
      </c>
      <c r="H102" s="4063"/>
      <c r="I102" s="4063"/>
      <c r="J102" s="4063"/>
      <c r="K102" s="4063"/>
      <c r="L102" s="4064"/>
      <c r="M102" s="4065"/>
      <c r="N102" s="4035"/>
      <c r="O102" s="4035"/>
      <c r="P102" s="4035"/>
      <c r="Q102" s="4036"/>
      <c r="R102" s="4037"/>
      <c r="S102" s="4037"/>
      <c r="T102" s="4037"/>
      <c r="U102" s="4037"/>
      <c r="V102" s="4037"/>
      <c r="W102" s="4037"/>
      <c r="X102" s="4037"/>
      <c r="Y102" s="4037"/>
      <c r="Z102" s="4037"/>
      <c r="AA102" s="4037"/>
      <c r="AB102" s="4037"/>
      <c r="AC102" s="4037"/>
    </row>
    <row r="103" spans="1:29" s="3876" customFormat="1" ht="15.75" thickBot="1">
      <c r="A103" s="4028"/>
      <c r="B103" s="4019"/>
      <c r="C103" s="4020">
        <v>100</v>
      </c>
      <c r="D103" s="4020">
        <f>C103-$K29</f>
        <v>99</v>
      </c>
      <c r="E103" s="4020">
        <f>D103-$K29</f>
        <v>98</v>
      </c>
      <c r="F103" s="4020">
        <f>E103-$K29</f>
        <v>97</v>
      </c>
      <c r="G103" s="4020">
        <f>F103-$K29</f>
        <v>96</v>
      </c>
      <c r="H103" s="4066"/>
      <c r="I103" s="4066"/>
      <c r="J103" s="4066"/>
      <c r="K103" s="4066"/>
      <c r="L103" s="4066"/>
      <c r="M103" s="4067"/>
      <c r="N103" s="4035"/>
      <c r="O103" s="4035"/>
      <c r="P103" s="4035"/>
      <c r="Q103" s="4036"/>
      <c r="R103" s="4037"/>
      <c r="S103" s="4037"/>
      <c r="T103" s="4037"/>
      <c r="U103" s="4037"/>
      <c r="V103" s="4037"/>
      <c r="W103" s="4037"/>
      <c r="X103" s="4037"/>
      <c r="Y103" s="4037"/>
      <c r="Z103" s="4037"/>
      <c r="AA103" s="4037"/>
      <c r="AB103" s="4037"/>
      <c r="AC103" s="4037"/>
    </row>
    <row r="104" spans="1:29" s="3876" customFormat="1" ht="15.75" thickTop="1">
      <c r="A104" s="4028"/>
      <c r="B104" s="4068" t="s">
        <v>3172</v>
      </c>
      <c r="C104" s="4069" t="s">
        <v>1951</v>
      </c>
      <c r="D104" s="4069" t="s">
        <v>1950</v>
      </c>
      <c r="E104" s="4069" t="s">
        <v>1949</v>
      </c>
      <c r="F104" s="4069" t="s">
        <v>1948</v>
      </c>
      <c r="G104" s="4069" t="s">
        <v>1947</v>
      </c>
      <c r="H104" s="4063"/>
      <c r="I104" s="4063"/>
      <c r="J104" s="4063"/>
      <c r="K104" s="4063"/>
      <c r="L104" s="4063"/>
      <c r="M104" s="4065"/>
      <c r="N104" s="4035"/>
      <c r="O104" s="4035"/>
      <c r="P104" s="4035"/>
      <c r="Q104" s="4036"/>
      <c r="R104" s="4037"/>
      <c r="S104" s="4037"/>
      <c r="T104" s="4037"/>
      <c r="U104" s="4037"/>
      <c r="V104" s="4037"/>
      <c r="W104" s="4037"/>
      <c r="X104" s="4037"/>
      <c r="Y104" s="4037"/>
      <c r="Z104" s="4037"/>
      <c r="AA104" s="4037"/>
      <c r="AB104" s="4037"/>
      <c r="AC104" s="4037"/>
    </row>
    <row r="105" spans="1:29" s="3876" customFormat="1" ht="15.75" thickBot="1">
      <c r="A105" s="4028"/>
      <c r="B105" s="4022"/>
      <c r="C105" s="4020">
        <v>100</v>
      </c>
      <c r="D105" s="4020">
        <f>C105-$K31</f>
        <v>98</v>
      </c>
      <c r="E105" s="4020">
        <f>D105-$K31</f>
        <v>96</v>
      </c>
      <c r="F105" s="4020">
        <f>E105-$K31</f>
        <v>94</v>
      </c>
      <c r="G105" s="4020">
        <f>F105-$K31</f>
        <v>92</v>
      </c>
      <c r="H105" s="4024"/>
      <c r="I105" s="4024"/>
      <c r="J105" s="4024"/>
      <c r="K105" s="4024"/>
      <c r="L105" s="4024"/>
      <c r="M105" s="4070"/>
      <c r="N105" s="4035"/>
      <c r="O105" s="4035"/>
      <c r="P105" s="4035"/>
      <c r="Q105" s="4036"/>
      <c r="R105" s="4037"/>
      <c r="S105" s="4037"/>
      <c r="T105" s="4037"/>
      <c r="U105" s="4037"/>
      <c r="V105" s="4037"/>
      <c r="W105" s="4037"/>
      <c r="X105" s="4037"/>
      <c r="Y105" s="4037"/>
      <c r="Z105" s="4037"/>
      <c r="AA105" s="4037"/>
      <c r="AB105" s="4037"/>
      <c r="AC105" s="4037"/>
    </row>
    <row r="106" spans="1:29" ht="15.75" thickTop="1">
      <c r="A106" s="3820"/>
      <c r="B106" s="4014" t="str">
        <f>B33</f>
        <v>临街状况</v>
      </c>
      <c r="C106" s="4015" t="s">
        <v>3205</v>
      </c>
      <c r="D106" s="4015" t="s">
        <v>3206</v>
      </c>
      <c r="E106" s="4015" t="s">
        <v>3207</v>
      </c>
      <c r="F106" s="4015" t="s">
        <v>3208</v>
      </c>
      <c r="G106" s="4015"/>
      <c r="H106" s="4015"/>
      <c r="I106" s="4015"/>
      <c r="J106" s="4015"/>
      <c r="K106" s="4016"/>
      <c r="L106" s="4017"/>
      <c r="M106" s="4018"/>
      <c r="N106" s="4009"/>
      <c r="O106" s="4009"/>
      <c r="P106" s="3988"/>
      <c r="Q106" s="3977"/>
      <c r="R106" s="3749"/>
      <c r="S106" s="3749"/>
      <c r="T106" s="3749"/>
      <c r="U106" s="3749"/>
      <c r="V106" s="3749"/>
      <c r="W106" s="3749"/>
      <c r="X106" s="3749"/>
      <c r="Y106" s="3749"/>
      <c r="Z106" s="3749"/>
      <c r="AA106" s="3749"/>
      <c r="AB106" s="3749"/>
      <c r="AC106" s="3749"/>
    </row>
    <row r="107" spans="1:29" ht="15.75" thickBot="1">
      <c r="A107" s="3820"/>
      <c r="B107" s="4019"/>
      <c r="C107" s="4020">
        <v>100</v>
      </c>
      <c r="D107" s="4020">
        <f>C107-$K33</f>
        <v>99</v>
      </c>
      <c r="E107" s="4020">
        <f t="shared" ref="E107:M107" si="22">D107-$K33</f>
        <v>98</v>
      </c>
      <c r="F107" s="4020">
        <f t="shared" si="22"/>
        <v>97</v>
      </c>
      <c r="G107" s="4020">
        <f t="shared" si="22"/>
        <v>96</v>
      </c>
      <c r="H107" s="4020">
        <f t="shared" si="22"/>
        <v>95</v>
      </c>
      <c r="I107" s="4020">
        <f t="shared" si="22"/>
        <v>94</v>
      </c>
      <c r="J107" s="4020">
        <f t="shared" si="22"/>
        <v>93</v>
      </c>
      <c r="K107" s="4020">
        <f t="shared" si="22"/>
        <v>92</v>
      </c>
      <c r="L107" s="4020">
        <f t="shared" si="22"/>
        <v>91</v>
      </c>
      <c r="M107" s="4020">
        <f t="shared" si="22"/>
        <v>90</v>
      </c>
      <c r="N107" s="4013"/>
      <c r="O107" s="4013"/>
      <c r="P107" s="3988"/>
      <c r="Q107" s="3977"/>
      <c r="R107" s="3749"/>
      <c r="S107" s="3749"/>
      <c r="T107" s="3749"/>
      <c r="U107" s="3749"/>
      <c r="V107" s="3749"/>
      <c r="W107" s="3749"/>
      <c r="X107" s="3749"/>
      <c r="Y107" s="3749"/>
      <c r="Z107" s="3749"/>
      <c r="AA107" s="3749"/>
      <c r="AB107" s="3749"/>
      <c r="AC107" s="3749"/>
    </row>
    <row r="108" spans="1:29" ht="27.75" thickTop="1">
      <c r="A108" s="3820"/>
      <c r="B108" s="4014" t="s">
        <v>763</v>
      </c>
      <c r="C108" s="4031" t="s">
        <v>3209</v>
      </c>
      <c r="D108" s="4031" t="s">
        <v>3210</v>
      </c>
      <c r="E108" s="4031" t="s">
        <v>3211</v>
      </c>
      <c r="F108" s="4029"/>
      <c r="G108" s="4029"/>
      <c r="H108" s="4071"/>
      <c r="I108" s="4071"/>
      <c r="J108" s="4071"/>
      <c r="K108" s="4072"/>
      <c r="L108" s="4073"/>
      <c r="M108" s="4074"/>
      <c r="N108" s="4009"/>
      <c r="O108" s="4009"/>
      <c r="P108" s="3988"/>
      <c r="Q108" s="3977"/>
      <c r="R108" s="3749"/>
      <c r="S108" s="3749"/>
      <c r="T108" s="3749"/>
      <c r="U108" s="3749"/>
      <c r="V108" s="3749"/>
      <c r="W108" s="3749"/>
      <c r="X108" s="3749"/>
      <c r="Y108" s="3749"/>
      <c r="Z108" s="3749"/>
      <c r="AA108" s="3749"/>
      <c r="AB108" s="3749"/>
      <c r="AC108" s="3749"/>
    </row>
    <row r="109" spans="1:29" ht="15.75" thickBot="1">
      <c r="A109" s="3820"/>
      <c r="B109" s="4019"/>
      <c r="C109" s="4020">
        <v>100</v>
      </c>
      <c r="D109" s="4020">
        <f>C109-$K34</f>
        <v>99</v>
      </c>
      <c r="E109" s="4020">
        <f t="shared" ref="E109:M109" si="23">D109-$K34</f>
        <v>98</v>
      </c>
      <c r="F109" s="4020">
        <f t="shared" si="23"/>
        <v>97</v>
      </c>
      <c r="G109" s="4020">
        <f t="shared" si="23"/>
        <v>96</v>
      </c>
      <c r="H109" s="4020">
        <f t="shared" si="23"/>
        <v>95</v>
      </c>
      <c r="I109" s="4020">
        <f t="shared" si="23"/>
        <v>94</v>
      </c>
      <c r="J109" s="4020">
        <f t="shared" si="23"/>
        <v>93</v>
      </c>
      <c r="K109" s="4020">
        <f t="shared" si="23"/>
        <v>92</v>
      </c>
      <c r="L109" s="4020">
        <f t="shared" si="23"/>
        <v>91</v>
      </c>
      <c r="M109" s="4020">
        <f t="shared" si="23"/>
        <v>90</v>
      </c>
      <c r="N109" s="4013"/>
      <c r="O109" s="4013"/>
      <c r="P109" s="3988"/>
      <c r="Q109" s="3977"/>
      <c r="R109" s="3749"/>
      <c r="S109" s="3749"/>
      <c r="T109" s="3749"/>
      <c r="U109" s="3749"/>
      <c r="V109" s="3749"/>
      <c r="W109" s="3749"/>
      <c r="X109" s="3749"/>
      <c r="Y109" s="3749"/>
      <c r="Z109" s="3749"/>
      <c r="AA109" s="3749"/>
      <c r="AB109" s="3749"/>
      <c r="AC109" s="3749"/>
    </row>
    <row r="110" spans="1:29" ht="15.75" thickTop="1">
      <c r="A110" s="3820"/>
      <c r="B110" s="4014" t="s">
        <v>3180</v>
      </c>
      <c r="C110" s="4075" t="s">
        <v>2848</v>
      </c>
      <c r="D110" s="4075" t="s">
        <v>2849</v>
      </c>
      <c r="E110" s="4075" t="s">
        <v>2850</v>
      </c>
      <c r="F110" s="4071"/>
      <c r="G110" s="4071"/>
      <c r="H110" s="4071"/>
      <c r="I110" s="4071"/>
      <c r="J110" s="4071"/>
      <c r="K110" s="4072"/>
      <c r="L110" s="4073"/>
      <c r="M110" s="4074"/>
      <c r="N110" s="4009"/>
      <c r="O110" s="4009"/>
      <c r="P110" s="3988"/>
      <c r="Q110" s="3977"/>
      <c r="R110" s="3749"/>
      <c r="S110" s="3749"/>
      <c r="T110" s="3749"/>
      <c r="U110" s="3749"/>
      <c r="V110" s="3749"/>
      <c r="W110" s="3749"/>
      <c r="X110" s="3749"/>
      <c r="Y110" s="3749"/>
      <c r="Z110" s="3749"/>
      <c r="AA110" s="3749"/>
      <c r="AB110" s="3749"/>
      <c r="AC110" s="3749"/>
    </row>
    <row r="111" spans="1:29" ht="15.75" thickBot="1">
      <c r="A111" s="3820"/>
      <c r="B111" s="4019"/>
      <c r="C111" s="4020">
        <v>100</v>
      </c>
      <c r="D111" s="4020">
        <f>C111-$K36</f>
        <v>97</v>
      </c>
      <c r="E111" s="4020">
        <f t="shared" ref="E111:M111" si="24">D111-$K36</f>
        <v>94</v>
      </c>
      <c r="F111" s="4020">
        <f t="shared" si="24"/>
        <v>91</v>
      </c>
      <c r="G111" s="4020">
        <f t="shared" si="24"/>
        <v>88</v>
      </c>
      <c r="H111" s="4020">
        <f t="shared" si="24"/>
        <v>85</v>
      </c>
      <c r="I111" s="4020">
        <f t="shared" si="24"/>
        <v>82</v>
      </c>
      <c r="J111" s="4020">
        <f t="shared" si="24"/>
        <v>79</v>
      </c>
      <c r="K111" s="4020">
        <f t="shared" si="24"/>
        <v>76</v>
      </c>
      <c r="L111" s="4020">
        <f t="shared" si="24"/>
        <v>73</v>
      </c>
      <c r="M111" s="4020">
        <f t="shared" si="24"/>
        <v>70</v>
      </c>
      <c r="N111" s="4013"/>
      <c r="O111" s="4013"/>
      <c r="P111" s="3988"/>
      <c r="Q111" s="3977"/>
      <c r="R111" s="3749"/>
      <c r="S111" s="3749"/>
      <c r="T111" s="3749"/>
      <c r="U111" s="3749"/>
      <c r="V111" s="3749"/>
      <c r="W111" s="3749"/>
      <c r="X111" s="3749"/>
      <c r="Y111" s="3749"/>
      <c r="Z111" s="3749"/>
      <c r="AA111" s="3749"/>
      <c r="AB111" s="3749"/>
      <c r="AC111" s="3749"/>
    </row>
    <row r="112" spans="1:29" ht="15.75" thickTop="1">
      <c r="A112" s="3820"/>
      <c r="B112" s="4022">
        <f>B37</f>
        <v>111</v>
      </c>
      <c r="C112" s="4029"/>
      <c r="D112" s="4029"/>
      <c r="E112" s="4029"/>
      <c r="F112" s="4029"/>
      <c r="G112" s="4076"/>
      <c r="H112" s="4076"/>
      <c r="I112" s="4076"/>
      <c r="J112" s="4076"/>
      <c r="K112" s="4077"/>
      <c r="L112" s="4078"/>
      <c r="M112" s="4079"/>
      <c r="N112" s="4009"/>
      <c r="O112" s="4009"/>
      <c r="P112" s="3988"/>
      <c r="Q112" s="3977"/>
      <c r="R112" s="3749"/>
      <c r="S112" s="3749"/>
      <c r="T112" s="3749"/>
      <c r="U112" s="3749"/>
      <c r="V112" s="3749"/>
      <c r="W112" s="3749"/>
      <c r="X112" s="3749"/>
      <c r="Y112" s="3749"/>
      <c r="Z112" s="3749"/>
      <c r="AA112" s="3749"/>
      <c r="AB112" s="3749"/>
      <c r="AC112" s="3749"/>
    </row>
    <row r="113" spans="1:29" ht="15.75" thickBot="1">
      <c r="A113" s="3820"/>
      <c r="B113" s="4047"/>
      <c r="C113" s="4038"/>
      <c r="D113" s="4038"/>
      <c r="E113" s="4038"/>
      <c r="F113" s="4038"/>
      <c r="G113" s="4080"/>
      <c r="H113" s="4080"/>
      <c r="I113" s="4080"/>
      <c r="J113" s="4080"/>
      <c r="K113" s="4080"/>
      <c r="L113" s="4080"/>
      <c r="M113" s="4081"/>
      <c r="N113" s="4013"/>
      <c r="O113" s="4013"/>
      <c r="P113" s="3988"/>
      <c r="Q113" s="3977"/>
      <c r="R113" s="3749"/>
      <c r="S113" s="3749"/>
      <c r="T113" s="3749"/>
      <c r="U113" s="3749"/>
      <c r="V113" s="3749"/>
      <c r="W113" s="3749"/>
      <c r="X113" s="3749"/>
      <c r="Y113" s="3749"/>
      <c r="Z113" s="3749"/>
      <c r="AA113" s="3749"/>
      <c r="AB113" s="3749"/>
      <c r="AC113" s="3749"/>
    </row>
    <row r="114" spans="1:29" ht="15" thickTop="1">
      <c r="A114" s="3863"/>
      <c r="B114" s="4014">
        <f>B38</f>
        <v>111</v>
      </c>
      <c r="C114" s="3996"/>
      <c r="D114" s="3996"/>
      <c r="E114" s="3996"/>
      <c r="F114" s="3996"/>
      <c r="G114" s="4071"/>
      <c r="H114" s="4071"/>
      <c r="I114" s="4071"/>
      <c r="J114" s="4071"/>
      <c r="K114" s="4072"/>
      <c r="L114" s="4073"/>
      <c r="M114" s="4074"/>
      <c r="N114" s="4009"/>
      <c r="O114" s="4009"/>
      <c r="P114" s="3988"/>
      <c r="Q114" s="3977"/>
      <c r="R114" s="3749"/>
      <c r="S114" s="3749"/>
      <c r="T114" s="3749"/>
      <c r="U114" s="3749"/>
      <c r="V114" s="3749"/>
      <c r="W114" s="3749"/>
      <c r="X114" s="3749"/>
      <c r="Y114" s="3749"/>
      <c r="Z114" s="3749"/>
      <c r="AA114" s="3749"/>
      <c r="AB114" s="3749"/>
      <c r="AC114" s="3749"/>
    </row>
    <row r="115" spans="1:29" ht="15.75" thickBot="1">
      <c r="A115" s="3820"/>
      <c r="B115" s="4019"/>
      <c r="C115" s="4048"/>
      <c r="D115" s="4048"/>
      <c r="E115" s="4048"/>
      <c r="F115" s="4048"/>
      <c r="G115" s="4011"/>
      <c r="H115" s="4011"/>
      <c r="I115" s="4011"/>
      <c r="J115" s="4011"/>
      <c r="K115" s="4011"/>
      <c r="L115" s="4011"/>
      <c r="M115" s="4012"/>
      <c r="N115" s="4013"/>
      <c r="O115" s="4013"/>
      <c r="P115" s="3988"/>
      <c r="Q115" s="3977"/>
      <c r="R115" s="3749"/>
      <c r="S115" s="3749"/>
      <c r="T115" s="3749"/>
      <c r="U115" s="3749"/>
      <c r="V115" s="3749"/>
      <c r="W115" s="3749"/>
      <c r="X115" s="3749"/>
      <c r="Y115" s="3749"/>
      <c r="Z115" s="3749"/>
      <c r="AA115" s="3749"/>
      <c r="AB115" s="3749"/>
      <c r="AC115" s="3749"/>
    </row>
    <row r="116" spans="1:29" s="3876" customFormat="1" ht="15" thickTop="1">
      <c r="A116" s="3890"/>
      <c r="B116" s="4082">
        <f>B39</f>
        <v>111</v>
      </c>
      <c r="C116" s="3986"/>
      <c r="D116" s="3986"/>
      <c r="E116" s="3986"/>
      <c r="F116" s="3986"/>
      <c r="G116" s="3986"/>
      <c r="H116" s="3986"/>
      <c r="I116" s="3986"/>
      <c r="J116" s="4083"/>
      <c r="K116" s="4083"/>
      <c r="L116" s="4084"/>
      <c r="M116" s="4085"/>
      <c r="N116" s="4035"/>
      <c r="O116" s="4035"/>
      <c r="P116" s="4035"/>
      <c r="Q116" s="4036"/>
      <c r="R116" s="4037"/>
      <c r="S116" s="4037"/>
      <c r="T116" s="4037"/>
      <c r="U116" s="4037"/>
      <c r="V116" s="4037"/>
      <c r="W116" s="4037"/>
      <c r="X116" s="4037"/>
      <c r="Y116" s="4037"/>
      <c r="Z116" s="4037"/>
      <c r="AA116" s="4037"/>
      <c r="AB116" s="4037"/>
      <c r="AC116" s="4037"/>
    </row>
    <row r="117" spans="1:29" s="3876" customFormat="1" ht="15.75" thickBot="1">
      <c r="A117" s="4028"/>
      <c r="B117" s="4022"/>
      <c r="C117" s="4001"/>
      <c r="D117" s="4086"/>
      <c r="E117" s="4086"/>
      <c r="F117" s="4086"/>
      <c r="G117" s="4086"/>
      <c r="H117" s="4086"/>
      <c r="I117" s="4086"/>
      <c r="J117" s="4086"/>
      <c r="K117" s="4086"/>
      <c r="L117" s="4086"/>
      <c r="M117" s="4087"/>
      <c r="N117" s="4013"/>
      <c r="O117" s="4013"/>
      <c r="P117" s="4035"/>
      <c r="Q117" s="4036"/>
      <c r="R117" s="4037"/>
      <c r="S117" s="4037"/>
      <c r="T117" s="4037"/>
      <c r="U117" s="4037"/>
      <c r="V117" s="4037"/>
      <c r="W117" s="4037"/>
      <c r="X117" s="4037"/>
      <c r="Y117" s="4037"/>
      <c r="Z117" s="4037"/>
      <c r="AA117" s="4037"/>
      <c r="AB117" s="4037"/>
      <c r="AC117" s="4037"/>
    </row>
    <row r="118" spans="1:29" ht="28.5">
      <c r="A118" s="4003" t="s">
        <v>529</v>
      </c>
      <c r="B118" s="4004" t="s">
        <v>571</v>
      </c>
      <c r="C118" s="4052" t="str">
        <f t="shared" ref="C118:L118" si="25">C119&amp;"(含)"&amp;"-"&amp;D119</f>
        <v>0(含)-50000</v>
      </c>
      <c r="D118" s="4052" t="str">
        <f t="shared" si="25"/>
        <v>50000(含)-100000</v>
      </c>
      <c r="E118" s="4052" t="str">
        <f t="shared" si="25"/>
        <v>100000(含)-150000</v>
      </c>
      <c r="F118" s="4052" t="str">
        <f t="shared" si="25"/>
        <v>150000(含)-200000</v>
      </c>
      <c r="G118" s="4052" t="str">
        <f t="shared" si="25"/>
        <v>200000(含)-</v>
      </c>
      <c r="H118" s="4052" t="str">
        <f t="shared" si="25"/>
        <v>(含)-</v>
      </c>
      <c r="I118" s="4052" t="str">
        <f t="shared" si="25"/>
        <v>(含)-</v>
      </c>
      <c r="J118" s="4088" t="str">
        <f t="shared" si="25"/>
        <v>(含)-</v>
      </c>
      <c r="K118" s="4088" t="str">
        <f t="shared" si="25"/>
        <v>(含)-</v>
      </c>
      <c r="L118" s="4089" t="str">
        <f t="shared" si="25"/>
        <v>(含)-</v>
      </c>
      <c r="M118" s="4090" t="str">
        <f>M119&amp;"(含)"&amp;"-"&amp;P119</f>
        <v>(含)-</v>
      </c>
      <c r="N118" s="4009"/>
      <c r="O118" s="4009"/>
      <c r="P118" s="3988"/>
      <c r="Q118" s="3977"/>
      <c r="R118" s="3749"/>
      <c r="S118" s="3749"/>
      <c r="T118" s="3749"/>
      <c r="U118" s="3749"/>
      <c r="V118" s="3749"/>
      <c r="W118" s="3749"/>
      <c r="X118" s="3749"/>
      <c r="Y118" s="3749"/>
      <c r="Z118" s="3749"/>
      <c r="AA118" s="3749"/>
      <c r="AB118" s="3749"/>
      <c r="AC118" s="3749"/>
    </row>
    <row r="119" spans="1:29" ht="15">
      <c r="A119" s="3820"/>
      <c r="B119" s="4022"/>
      <c r="C119" s="3986">
        <v>0</v>
      </c>
      <c r="D119" s="3986">
        <v>50000</v>
      </c>
      <c r="E119" s="3986">
        <v>100000</v>
      </c>
      <c r="F119" s="3986">
        <v>150000</v>
      </c>
      <c r="G119" s="3986">
        <v>200000</v>
      </c>
      <c r="H119" s="3986"/>
      <c r="I119" s="3986"/>
      <c r="J119" s="4091"/>
      <c r="K119" s="4091"/>
      <c r="L119" s="4092"/>
      <c r="M119" s="4093"/>
      <c r="N119" s="4009"/>
      <c r="O119" s="4009"/>
      <c r="P119" s="3988"/>
      <c r="Q119" s="3977"/>
      <c r="R119" s="3749"/>
      <c r="S119" s="3749"/>
      <c r="T119" s="3749"/>
      <c r="U119" s="3749"/>
      <c r="V119" s="3749"/>
      <c r="W119" s="3749"/>
      <c r="X119" s="3749"/>
      <c r="Y119" s="3749"/>
      <c r="Z119" s="3749"/>
      <c r="AA119" s="3749"/>
      <c r="AB119" s="3749"/>
      <c r="AC119" s="3749"/>
    </row>
    <row r="120" spans="1:29" ht="15.75" thickBot="1">
      <c r="A120" s="3820"/>
      <c r="B120" s="4019"/>
      <c r="C120" s="4048">
        <v>100</v>
      </c>
      <c r="D120" s="4080">
        <v>102</v>
      </c>
      <c r="E120" s="4080">
        <v>104</v>
      </c>
      <c r="F120" s="4080">
        <v>106</v>
      </c>
      <c r="G120" s="4080">
        <v>108</v>
      </c>
      <c r="H120" s="4080"/>
      <c r="I120" s="4080"/>
      <c r="J120" s="4080"/>
      <c r="K120" s="4080"/>
      <c r="L120" s="4080"/>
      <c r="M120" s="4081"/>
      <c r="N120" s="4013"/>
      <c r="O120" s="4013"/>
      <c r="P120" s="3988"/>
      <c r="Q120" s="3977"/>
      <c r="R120" s="3749"/>
      <c r="S120" s="3749"/>
      <c r="T120" s="3749"/>
      <c r="U120" s="3749"/>
      <c r="V120" s="3749"/>
      <c r="W120" s="3749"/>
      <c r="X120" s="3749"/>
      <c r="Y120" s="3749"/>
      <c r="Z120" s="3749"/>
      <c r="AA120" s="3749"/>
      <c r="AB120" s="3749"/>
      <c r="AC120" s="3749"/>
    </row>
    <row r="121" spans="1:29" ht="15" thickTop="1">
      <c r="A121" s="3882"/>
      <c r="B121" s="4014" t="s">
        <v>572</v>
      </c>
      <c r="C121" s="4075" t="s">
        <v>3212</v>
      </c>
      <c r="D121" s="4075" t="s">
        <v>3213</v>
      </c>
      <c r="E121" s="4071"/>
      <c r="F121" s="4071"/>
      <c r="G121" s="4071"/>
      <c r="H121" s="4071"/>
      <c r="I121" s="4071"/>
      <c r="J121" s="4071"/>
      <c r="K121" s="4072"/>
      <c r="L121" s="4073"/>
      <c r="M121" s="4074"/>
      <c r="N121" s="4009"/>
      <c r="O121" s="4009"/>
      <c r="P121" s="3988"/>
      <c r="Q121" s="3977"/>
      <c r="R121" s="3749"/>
      <c r="S121" s="3749"/>
      <c r="T121" s="3749"/>
      <c r="U121" s="3749"/>
      <c r="V121" s="3749"/>
      <c r="W121" s="3749"/>
      <c r="X121" s="3749"/>
      <c r="Y121" s="3749"/>
      <c r="Z121" s="3749"/>
      <c r="AA121" s="3749"/>
      <c r="AB121" s="3749"/>
      <c r="AC121" s="3749"/>
    </row>
    <row r="122" spans="1:29" ht="15.75" thickBot="1">
      <c r="A122" s="3820"/>
      <c r="B122" s="4019"/>
      <c r="C122" s="4020">
        <v>100</v>
      </c>
      <c r="D122" s="4020">
        <f t="shared" ref="D122:M122" si="26">C122-$K41</f>
        <v>99</v>
      </c>
      <c r="E122" s="4020">
        <f t="shared" si="26"/>
        <v>98</v>
      </c>
      <c r="F122" s="4020">
        <f t="shared" si="26"/>
        <v>97</v>
      </c>
      <c r="G122" s="4020">
        <f t="shared" si="26"/>
        <v>96</v>
      </c>
      <c r="H122" s="4020">
        <f t="shared" si="26"/>
        <v>95</v>
      </c>
      <c r="I122" s="4020">
        <f t="shared" si="26"/>
        <v>94</v>
      </c>
      <c r="J122" s="4020">
        <f t="shared" si="26"/>
        <v>93</v>
      </c>
      <c r="K122" s="4020">
        <f t="shared" si="26"/>
        <v>92</v>
      </c>
      <c r="L122" s="4020">
        <f t="shared" si="26"/>
        <v>91</v>
      </c>
      <c r="M122" s="4021">
        <f t="shared" si="26"/>
        <v>90</v>
      </c>
      <c r="N122" s="4013"/>
      <c r="O122" s="4013"/>
      <c r="P122" s="3988"/>
      <c r="Q122" s="3977"/>
      <c r="R122" s="3749"/>
      <c r="S122" s="3749"/>
      <c r="T122" s="3749"/>
      <c r="U122" s="3749"/>
      <c r="V122" s="3749"/>
      <c r="W122" s="3749"/>
      <c r="X122" s="3749"/>
      <c r="Y122" s="3749"/>
      <c r="Z122" s="3749"/>
      <c r="AA122" s="3749"/>
      <c r="AB122" s="3749"/>
      <c r="AC122" s="3749"/>
    </row>
    <row r="123" spans="1:29" ht="15" thickTop="1">
      <c r="A123" s="3882"/>
      <c r="B123" s="4014" t="s">
        <v>573</v>
      </c>
      <c r="C123" s="3858" t="s">
        <v>3183</v>
      </c>
      <c r="D123" s="4029"/>
      <c r="E123" s="4029"/>
      <c r="F123" s="4071"/>
      <c r="G123" s="4071"/>
      <c r="H123" s="4071"/>
      <c r="I123" s="4071"/>
      <c r="J123" s="4071"/>
      <c r="K123" s="4072"/>
      <c r="L123" s="4073"/>
      <c r="M123" s="4074"/>
      <c r="N123" s="4009"/>
      <c r="O123" s="4009"/>
      <c r="P123" s="3988"/>
      <c r="Q123" s="3977"/>
      <c r="R123" s="3749"/>
      <c r="S123" s="3749"/>
      <c r="T123" s="3749"/>
      <c r="U123" s="3749"/>
      <c r="V123" s="3749"/>
      <c r="W123" s="3749"/>
      <c r="X123" s="3749"/>
      <c r="Y123" s="3749"/>
      <c r="Z123" s="3749"/>
      <c r="AA123" s="3749"/>
      <c r="AB123" s="3749"/>
      <c r="AC123" s="3749"/>
    </row>
    <row r="124" spans="1:29" ht="15.75" thickBot="1">
      <c r="A124" s="3820"/>
      <c r="B124" s="4019"/>
      <c r="C124" s="4020">
        <v>100</v>
      </c>
      <c r="D124" s="4020">
        <f t="shared" ref="D124:M124" si="27">C124-$K42</f>
        <v>99</v>
      </c>
      <c r="E124" s="4020">
        <f t="shared" si="27"/>
        <v>98</v>
      </c>
      <c r="F124" s="4020">
        <f t="shared" si="27"/>
        <v>97</v>
      </c>
      <c r="G124" s="4020">
        <f t="shared" si="27"/>
        <v>96</v>
      </c>
      <c r="H124" s="4020">
        <f t="shared" si="27"/>
        <v>95</v>
      </c>
      <c r="I124" s="4020">
        <f t="shared" si="27"/>
        <v>94</v>
      </c>
      <c r="J124" s="4020">
        <f t="shared" si="27"/>
        <v>93</v>
      </c>
      <c r="K124" s="4020">
        <f t="shared" si="27"/>
        <v>92</v>
      </c>
      <c r="L124" s="4020">
        <f t="shared" si="27"/>
        <v>91</v>
      </c>
      <c r="M124" s="4021">
        <f t="shared" si="27"/>
        <v>90</v>
      </c>
      <c r="N124" s="4013"/>
      <c r="O124" s="4013"/>
      <c r="P124" s="3988"/>
      <c r="Q124" s="3977"/>
      <c r="R124" s="3749"/>
      <c r="S124" s="3749"/>
      <c r="T124" s="3749"/>
      <c r="U124" s="3749"/>
      <c r="V124" s="3749"/>
      <c r="W124" s="3749"/>
      <c r="X124" s="3749"/>
      <c r="Y124" s="3749"/>
      <c r="Z124" s="3749"/>
      <c r="AA124" s="3749"/>
      <c r="AB124" s="3749"/>
      <c r="AC124" s="3749"/>
    </row>
    <row r="125" spans="1:29" s="3876" customFormat="1" ht="15" thickTop="1">
      <c r="A125" s="3890"/>
      <c r="B125" s="4062" t="s">
        <v>2387</v>
      </c>
      <c r="C125" s="4030" t="s">
        <v>3173</v>
      </c>
      <c r="D125" s="4030" t="s">
        <v>3214</v>
      </c>
      <c r="E125" s="4030" t="s">
        <v>3184</v>
      </c>
      <c r="F125" s="4030" t="s">
        <v>3215</v>
      </c>
      <c r="G125" s="4030" t="s">
        <v>3216</v>
      </c>
      <c r="H125" s="4071"/>
      <c r="I125" s="4071"/>
      <c r="J125" s="4071"/>
      <c r="K125" s="4072"/>
      <c r="L125" s="4073"/>
      <c r="M125" s="4074"/>
      <c r="N125" s="4035"/>
      <c r="O125" s="4035"/>
      <c r="P125" s="4035"/>
      <c r="Q125" s="4036"/>
      <c r="R125" s="4037"/>
      <c r="S125" s="4037"/>
      <c r="T125" s="4037"/>
      <c r="U125" s="4037"/>
      <c r="V125" s="4037"/>
      <c r="W125" s="4037"/>
      <c r="X125" s="4037"/>
      <c r="Y125" s="4037"/>
      <c r="Z125" s="4037"/>
      <c r="AA125" s="4037"/>
      <c r="AB125" s="4037"/>
      <c r="AC125" s="4037"/>
    </row>
    <row r="126" spans="1:29" s="3876" customFormat="1" ht="15.75" thickBot="1">
      <c r="A126" s="4028"/>
      <c r="B126" s="4019"/>
      <c r="C126" s="4020">
        <v>100</v>
      </c>
      <c r="D126" s="4020">
        <f>C126-$K43</f>
        <v>99</v>
      </c>
      <c r="E126" s="4020">
        <f t="shared" ref="E126:M126" si="28">D126-$K43</f>
        <v>98</v>
      </c>
      <c r="F126" s="4020">
        <f t="shared" si="28"/>
        <v>97</v>
      </c>
      <c r="G126" s="4020">
        <f t="shared" si="28"/>
        <v>96</v>
      </c>
      <c r="H126" s="4020">
        <f t="shared" si="28"/>
        <v>95</v>
      </c>
      <c r="I126" s="4020">
        <f t="shared" si="28"/>
        <v>94</v>
      </c>
      <c r="J126" s="4020">
        <f t="shared" si="28"/>
        <v>93</v>
      </c>
      <c r="K126" s="4020">
        <f t="shared" si="28"/>
        <v>92</v>
      </c>
      <c r="L126" s="4020">
        <f t="shared" si="28"/>
        <v>91</v>
      </c>
      <c r="M126" s="4021">
        <f t="shared" si="28"/>
        <v>90</v>
      </c>
      <c r="N126" s="4035"/>
      <c r="O126" s="4035"/>
      <c r="P126" s="4035"/>
      <c r="Q126" s="4036"/>
      <c r="R126" s="4037"/>
      <c r="S126" s="4037"/>
      <c r="T126" s="4037"/>
      <c r="U126" s="4037"/>
      <c r="V126" s="4037"/>
      <c r="W126" s="4037"/>
      <c r="X126" s="4037"/>
      <c r="Y126" s="4037"/>
      <c r="Z126" s="4037"/>
      <c r="AA126" s="4037"/>
      <c r="AB126" s="4037"/>
      <c r="AC126" s="4037"/>
    </row>
    <row r="127" spans="1:29" ht="15" thickTop="1">
      <c r="A127" s="3882"/>
      <c r="B127" s="4014" t="s">
        <v>574</v>
      </c>
      <c r="C127" s="4031" t="s">
        <v>3217</v>
      </c>
      <c r="D127" s="4029"/>
      <c r="E127" s="4071"/>
      <c r="F127" s="4071"/>
      <c r="G127" s="4071"/>
      <c r="H127" s="4071"/>
      <c r="I127" s="4071"/>
      <c r="J127" s="4071"/>
      <c r="K127" s="4072"/>
      <c r="L127" s="4073"/>
      <c r="M127" s="4074"/>
      <c r="N127" s="4009"/>
      <c r="O127" s="4009"/>
      <c r="P127" s="3988"/>
      <c r="Q127" s="3977"/>
      <c r="R127" s="3749"/>
      <c r="S127" s="3749"/>
      <c r="T127" s="3749"/>
      <c r="U127" s="3749"/>
      <c r="V127" s="3749"/>
      <c r="W127" s="3749"/>
      <c r="X127" s="3749"/>
      <c r="Y127" s="3749"/>
      <c r="Z127" s="3749"/>
      <c r="AA127" s="3749"/>
      <c r="AB127" s="3749"/>
      <c r="AC127" s="3749"/>
    </row>
    <row r="128" spans="1:29" ht="15.75" thickBot="1">
      <c r="A128" s="3820"/>
      <c r="B128" s="4019"/>
      <c r="C128" s="4020">
        <v>100</v>
      </c>
      <c r="D128" s="4020">
        <f t="shared" ref="D128:M128" si="29">C128-$K44</f>
        <v>99</v>
      </c>
      <c r="E128" s="4020">
        <f t="shared" si="29"/>
        <v>98</v>
      </c>
      <c r="F128" s="4020">
        <f t="shared" si="29"/>
        <v>97</v>
      </c>
      <c r="G128" s="4020">
        <f t="shared" si="29"/>
        <v>96</v>
      </c>
      <c r="H128" s="4020">
        <f t="shared" si="29"/>
        <v>95</v>
      </c>
      <c r="I128" s="4020">
        <f t="shared" si="29"/>
        <v>94</v>
      </c>
      <c r="J128" s="4020">
        <f t="shared" si="29"/>
        <v>93</v>
      </c>
      <c r="K128" s="4020">
        <f t="shared" si="29"/>
        <v>92</v>
      </c>
      <c r="L128" s="4020">
        <f t="shared" si="29"/>
        <v>91</v>
      </c>
      <c r="M128" s="4021">
        <f t="shared" si="29"/>
        <v>90</v>
      </c>
      <c r="N128" s="4013"/>
      <c r="O128" s="4013"/>
      <c r="P128" s="3988"/>
      <c r="Q128" s="3977"/>
      <c r="R128" s="3749"/>
      <c r="S128" s="3749"/>
      <c r="T128" s="3749"/>
      <c r="U128" s="3749"/>
      <c r="V128" s="3749"/>
      <c r="W128" s="3749"/>
      <c r="X128" s="3749"/>
      <c r="Y128" s="3749"/>
      <c r="Z128" s="3749"/>
      <c r="AA128" s="3749"/>
      <c r="AB128" s="3749"/>
      <c r="AC128" s="3749"/>
    </row>
    <row r="129" spans="1:29" ht="15" thickTop="1">
      <c r="A129" s="3882"/>
      <c r="B129" s="4014">
        <f>B45</f>
        <v>111</v>
      </c>
      <c r="C129" s="4029"/>
      <c r="D129" s="4029"/>
      <c r="E129" s="4029"/>
      <c r="F129" s="4029"/>
      <c r="G129" s="4029"/>
      <c r="H129" s="4071"/>
      <c r="I129" s="4071"/>
      <c r="J129" s="4071"/>
      <c r="K129" s="4072"/>
      <c r="L129" s="4073"/>
      <c r="M129" s="4074"/>
      <c r="N129" s="4009"/>
      <c r="O129" s="4009"/>
      <c r="P129" s="3988"/>
      <c r="Q129" s="3977"/>
      <c r="R129" s="3749"/>
      <c r="S129" s="3749"/>
      <c r="T129" s="3749"/>
      <c r="U129" s="3749"/>
      <c r="V129" s="3749"/>
      <c r="W129" s="3749"/>
      <c r="X129" s="3749"/>
      <c r="Y129" s="3749"/>
      <c r="Z129" s="3749"/>
      <c r="AA129" s="3749"/>
      <c r="AB129" s="3749"/>
      <c r="AC129" s="3749"/>
    </row>
    <row r="130" spans="1:29" ht="15.75" thickBot="1">
      <c r="A130" s="3820"/>
      <c r="B130" s="4019"/>
      <c r="C130" s="4038"/>
      <c r="D130" s="4038"/>
      <c r="E130" s="4038"/>
      <c r="F130" s="4038"/>
      <c r="G130" s="4011"/>
      <c r="H130" s="4011"/>
      <c r="I130" s="4011"/>
      <c r="J130" s="4011"/>
      <c r="K130" s="4011"/>
      <c r="L130" s="4011"/>
      <c r="M130" s="4012"/>
      <c r="N130" s="4013"/>
      <c r="O130" s="4013"/>
      <c r="P130" s="3988"/>
      <c r="Q130" s="3977"/>
      <c r="R130" s="3749"/>
      <c r="S130" s="3749"/>
      <c r="T130" s="3749"/>
      <c r="U130" s="3749"/>
      <c r="V130" s="3749"/>
      <c r="W130" s="3749"/>
      <c r="X130" s="3749"/>
      <c r="Y130" s="3749"/>
      <c r="Z130" s="3749"/>
      <c r="AA130" s="3749"/>
      <c r="AB130" s="3749"/>
      <c r="AC130" s="3749"/>
    </row>
    <row r="131" spans="1:29" ht="15" thickTop="1">
      <c r="A131" s="3882"/>
      <c r="B131" s="4014">
        <f>B46</f>
        <v>111</v>
      </c>
      <c r="C131" s="3996"/>
      <c r="D131" s="3996"/>
      <c r="E131" s="3996"/>
      <c r="F131" s="3996"/>
      <c r="G131" s="4071"/>
      <c r="H131" s="4071"/>
      <c r="I131" s="4071"/>
      <c r="J131" s="4071"/>
      <c r="K131" s="4072"/>
      <c r="L131" s="4073"/>
      <c r="M131" s="4074"/>
      <c r="N131" s="4009"/>
      <c r="O131" s="4009"/>
      <c r="P131" s="3988"/>
      <c r="Q131" s="3977"/>
      <c r="R131" s="3749"/>
      <c r="S131" s="3749"/>
      <c r="T131" s="3749"/>
      <c r="U131" s="3749"/>
      <c r="V131" s="3749"/>
      <c r="W131" s="3749"/>
      <c r="X131" s="3749"/>
      <c r="Y131" s="3749"/>
      <c r="Z131" s="3749"/>
      <c r="AA131" s="3749"/>
      <c r="AB131" s="3749"/>
      <c r="AC131" s="3749"/>
    </row>
    <row r="132" spans="1:29" ht="15.75" thickBot="1">
      <c r="A132" s="3820"/>
      <c r="B132" s="4019"/>
      <c r="C132" s="4048"/>
      <c r="D132" s="4048"/>
      <c r="E132" s="4048"/>
      <c r="F132" s="4048"/>
      <c r="G132" s="4011"/>
      <c r="H132" s="4011"/>
      <c r="I132" s="4011"/>
      <c r="J132" s="4011"/>
      <c r="K132" s="4011"/>
      <c r="L132" s="4011"/>
      <c r="M132" s="4012"/>
      <c r="N132" s="4013"/>
      <c r="O132" s="4013"/>
      <c r="P132" s="3988"/>
      <c r="Q132" s="3977"/>
      <c r="R132" s="3749"/>
      <c r="S132" s="3749"/>
      <c r="T132" s="3749"/>
      <c r="U132" s="3749"/>
      <c r="V132" s="3749"/>
      <c r="W132" s="3749"/>
      <c r="X132" s="3749"/>
      <c r="Y132" s="3749"/>
      <c r="Z132" s="3749"/>
      <c r="AA132" s="3749"/>
      <c r="AB132" s="3749"/>
      <c r="AC132" s="3749"/>
    </row>
    <row r="133" spans="1:29" s="3876" customFormat="1" ht="15" thickTop="1">
      <c r="A133" s="3890"/>
      <c r="B133" s="4014">
        <f>B47</f>
        <v>111</v>
      </c>
      <c r="C133" s="3996"/>
      <c r="D133" s="3996"/>
      <c r="E133" s="3996"/>
      <c r="F133" s="3996"/>
      <c r="G133" s="4032"/>
      <c r="H133" s="4032"/>
      <c r="I133" s="4032"/>
      <c r="J133" s="4032"/>
      <c r="K133" s="4032"/>
      <c r="L133" s="4033"/>
      <c r="M133" s="4034"/>
      <c r="N133" s="4035"/>
      <c r="O133" s="4035"/>
      <c r="P133" s="4035"/>
      <c r="Q133" s="4036"/>
      <c r="R133" s="4037"/>
      <c r="S133" s="4037"/>
      <c r="T133" s="4037"/>
      <c r="U133" s="4037"/>
      <c r="V133" s="4037"/>
      <c r="W133" s="4037"/>
      <c r="X133" s="4037"/>
      <c r="Y133" s="4037"/>
      <c r="Z133" s="4037"/>
      <c r="AA133" s="4037"/>
      <c r="AB133" s="4037"/>
      <c r="AC133" s="4037"/>
    </row>
    <row r="134" spans="1:29" s="3876" customFormat="1" ht="15.75" thickBot="1">
      <c r="A134" s="4046"/>
      <c r="B134" s="4094"/>
      <c r="C134" s="4048"/>
      <c r="D134" s="4048"/>
      <c r="E134" s="4048"/>
      <c r="F134" s="4048"/>
      <c r="G134" s="4080"/>
      <c r="H134" s="4080"/>
      <c r="I134" s="4080"/>
      <c r="J134" s="4080"/>
      <c r="K134" s="4080"/>
      <c r="L134" s="4080"/>
      <c r="M134" s="4081"/>
      <c r="N134" s="4035"/>
      <c r="O134" s="4035"/>
      <c r="P134" s="4035"/>
      <c r="Q134" s="4036"/>
      <c r="R134" s="4037"/>
      <c r="S134" s="4037"/>
      <c r="T134" s="4037"/>
      <c r="U134" s="4037"/>
      <c r="V134" s="4037"/>
      <c r="W134" s="4037"/>
      <c r="X134" s="4037"/>
      <c r="Y134" s="4037"/>
      <c r="Z134" s="4037"/>
      <c r="AA134" s="4037"/>
      <c r="AB134" s="4037"/>
      <c r="AC134" s="4037"/>
    </row>
    <row r="135" spans="1:29" s="4098" customFormat="1">
      <c r="A135" s="4095"/>
      <c r="B135" s="4095"/>
      <c r="C135" s="4095"/>
      <c r="D135" s="4095"/>
      <c r="E135" s="4095"/>
      <c r="F135" s="4095"/>
      <c r="G135" s="4095"/>
      <c r="H135" s="4095"/>
      <c r="I135" s="4095"/>
      <c r="J135" s="4095"/>
      <c r="K135" s="4096"/>
      <c r="L135" s="4097"/>
      <c r="M135" s="4095"/>
      <c r="N135" s="4095"/>
      <c r="O135" s="4095"/>
      <c r="P135" s="4095"/>
      <c r="Q135" s="4095"/>
      <c r="R135" s="4095"/>
      <c r="S135" s="4095"/>
      <c r="T135" s="4095"/>
      <c r="U135" s="4095"/>
      <c r="V135" s="4095"/>
      <c r="W135" s="4095"/>
      <c r="X135" s="4095"/>
      <c r="Y135" s="4095"/>
      <c r="Z135" s="4095"/>
      <c r="AA135" s="4095"/>
      <c r="AB135" s="4095"/>
      <c r="AC135" s="4095"/>
    </row>
    <row r="136" spans="1:29" s="4098" customFormat="1">
      <c r="A136" s="4095"/>
      <c r="B136" s="4095"/>
      <c r="C136" s="4095"/>
      <c r="D136" s="4095"/>
      <c r="E136" s="4095"/>
      <c r="F136" s="4095"/>
      <c r="G136" s="4095"/>
      <c r="H136" s="4095"/>
      <c r="I136" s="4095"/>
      <c r="J136" s="4095"/>
      <c r="K136" s="4096"/>
      <c r="L136" s="4097"/>
      <c r="M136" s="4095"/>
      <c r="N136" s="4095"/>
      <c r="O136" s="4095"/>
      <c r="P136" s="4095"/>
      <c r="Q136" s="4095"/>
      <c r="R136" s="4095"/>
      <c r="S136" s="4095"/>
      <c r="T136" s="4095"/>
      <c r="U136" s="4095"/>
      <c r="V136" s="4095"/>
      <c r="W136" s="4095"/>
      <c r="X136" s="4095"/>
      <c r="Y136" s="4095"/>
      <c r="Z136" s="4095"/>
      <c r="AA136" s="4095"/>
      <c r="AB136" s="4095"/>
      <c r="AC136" s="4095"/>
    </row>
    <row r="137" spans="1:29" s="4098" customFormat="1">
      <c r="A137" s="4095"/>
      <c r="B137" s="4095"/>
      <c r="C137" s="4095"/>
      <c r="D137" s="4095"/>
      <c r="E137" s="4095"/>
      <c r="F137" s="4095"/>
      <c r="G137" s="4095"/>
      <c r="H137" s="4095"/>
      <c r="I137" s="4095"/>
      <c r="J137" s="4095"/>
      <c r="K137" s="4096"/>
      <c r="L137" s="4097"/>
      <c r="M137" s="4095"/>
      <c r="N137" s="4095"/>
      <c r="O137" s="4095"/>
      <c r="P137" s="4095"/>
      <c r="Q137" s="4095"/>
      <c r="R137" s="4095"/>
      <c r="S137" s="4095"/>
      <c r="T137" s="4095"/>
      <c r="U137" s="4095"/>
      <c r="V137" s="4095"/>
      <c r="W137" s="4095"/>
      <c r="X137" s="4095"/>
      <c r="Y137" s="4095"/>
      <c r="Z137" s="4095"/>
      <c r="AA137" s="4095"/>
      <c r="AB137" s="4095"/>
      <c r="AC137" s="4095"/>
    </row>
    <row r="138" spans="1:29" s="4098" customFormat="1">
      <c r="A138" s="4095"/>
      <c r="B138" s="4095"/>
      <c r="C138" s="4095"/>
      <c r="D138" s="4095"/>
      <c r="E138" s="4095"/>
      <c r="F138" s="4095"/>
      <c r="G138" s="4095"/>
      <c r="H138" s="4095"/>
      <c r="I138" s="4095"/>
      <c r="J138" s="4095"/>
      <c r="K138" s="4096"/>
      <c r="L138" s="4097"/>
      <c r="M138" s="4095"/>
      <c r="N138" s="4095"/>
      <c r="O138" s="4095"/>
      <c r="P138" s="4095"/>
      <c r="Q138" s="4095"/>
      <c r="R138" s="4095"/>
      <c r="S138" s="4095"/>
      <c r="T138" s="4095"/>
      <c r="U138" s="4095"/>
      <c r="V138" s="4095"/>
      <c r="W138" s="4095"/>
      <c r="X138" s="4095"/>
      <c r="Y138" s="4095"/>
      <c r="Z138" s="4095"/>
      <c r="AA138" s="4095"/>
      <c r="AB138" s="4095"/>
      <c r="AC138" s="4095"/>
    </row>
    <row r="139" spans="1:29" s="4098" customFormat="1">
      <c r="A139" s="4095"/>
      <c r="B139" s="4095"/>
      <c r="C139" s="4095"/>
      <c r="D139" s="4095"/>
      <c r="E139" s="4095"/>
      <c r="F139" s="4095"/>
      <c r="G139" s="4095"/>
      <c r="H139" s="4095"/>
      <c r="I139" s="4095"/>
      <c r="J139" s="4095"/>
      <c r="K139" s="4096"/>
      <c r="L139" s="4097"/>
      <c r="M139" s="4095"/>
      <c r="N139" s="4095"/>
      <c r="O139" s="4095"/>
      <c r="P139" s="4095"/>
      <c r="Q139" s="4095"/>
      <c r="R139" s="4095"/>
      <c r="S139" s="4095"/>
      <c r="T139" s="4095"/>
      <c r="U139" s="4095"/>
      <c r="V139" s="4095"/>
      <c r="W139" s="4095"/>
      <c r="X139" s="4095"/>
      <c r="Y139" s="4095"/>
      <c r="Z139" s="4095"/>
      <c r="AA139" s="4095"/>
      <c r="AB139" s="4095"/>
      <c r="AC139" s="4095"/>
    </row>
    <row r="140" spans="1:29" s="4098" customFormat="1">
      <c r="A140" s="4095"/>
      <c r="B140" s="4095"/>
      <c r="C140" s="4095"/>
      <c r="D140" s="4095"/>
      <c r="E140" s="4095"/>
      <c r="F140" s="4095"/>
      <c r="G140" s="4095"/>
      <c r="H140" s="4095"/>
      <c r="I140" s="4095"/>
      <c r="J140" s="4095"/>
      <c r="K140" s="4096"/>
      <c r="L140" s="4097"/>
      <c r="M140" s="4095"/>
      <c r="N140" s="4095"/>
      <c r="O140" s="4095"/>
      <c r="P140" s="4095"/>
      <c r="Q140" s="4095"/>
      <c r="R140" s="4095"/>
      <c r="S140" s="4095"/>
      <c r="T140" s="4095"/>
      <c r="U140" s="4095"/>
      <c r="V140" s="4095"/>
      <c r="W140" s="4095"/>
      <c r="X140" s="4095"/>
      <c r="Y140" s="4095"/>
      <c r="Z140" s="4095"/>
      <c r="AA140" s="4095"/>
      <c r="AB140" s="4095"/>
      <c r="AC140" s="4095"/>
    </row>
    <row r="141" spans="1:29" s="4098" customFormat="1">
      <c r="A141" s="4095"/>
      <c r="B141" s="4095"/>
      <c r="C141" s="4095"/>
      <c r="D141" s="4095"/>
      <c r="E141" s="4095"/>
      <c r="F141" s="4095"/>
      <c r="G141" s="4095"/>
      <c r="H141" s="4095"/>
      <c r="I141" s="4095"/>
      <c r="J141" s="4095"/>
      <c r="K141" s="4096"/>
      <c r="L141" s="4097"/>
      <c r="M141" s="4095"/>
      <c r="N141" s="4095"/>
      <c r="O141" s="4095"/>
      <c r="P141" s="4095"/>
      <c r="Q141" s="4095"/>
      <c r="R141" s="4095"/>
      <c r="S141" s="4095"/>
      <c r="T141" s="4095"/>
      <c r="U141" s="4095"/>
      <c r="V141" s="4095"/>
      <c r="W141" s="4095"/>
      <c r="X141" s="4095"/>
      <c r="Y141" s="4095"/>
      <c r="Z141" s="4095"/>
      <c r="AA141" s="4095"/>
      <c r="AB141" s="4095"/>
      <c r="AC141" s="4095"/>
    </row>
    <row r="142" spans="1:29" s="4098" customFormat="1">
      <c r="A142" s="4095"/>
      <c r="B142" s="4095"/>
      <c r="C142" s="4095"/>
      <c r="D142" s="4095"/>
      <c r="E142" s="4095"/>
      <c r="F142" s="4095"/>
      <c r="G142" s="4095"/>
      <c r="H142" s="4095"/>
      <c r="I142" s="4095"/>
      <c r="J142" s="4095"/>
      <c r="K142" s="4096"/>
      <c r="L142" s="4097"/>
      <c r="M142" s="4095"/>
      <c r="N142" s="4095"/>
      <c r="O142" s="4095"/>
      <c r="P142" s="4095"/>
      <c r="Q142" s="4095"/>
      <c r="R142" s="4095"/>
      <c r="S142" s="4095"/>
      <c r="T142" s="4095"/>
      <c r="U142" s="4095"/>
      <c r="V142" s="4095"/>
      <c r="W142" s="4095"/>
      <c r="X142" s="4095"/>
      <c r="Y142" s="4095"/>
      <c r="Z142" s="4095"/>
      <c r="AA142" s="4095"/>
      <c r="AB142" s="4095"/>
      <c r="AC142" s="4095"/>
    </row>
    <row r="143" spans="1:29" s="4098" customFormat="1">
      <c r="A143" s="4095"/>
      <c r="B143" s="4095"/>
      <c r="C143" s="4095"/>
      <c r="D143" s="4095"/>
      <c r="E143" s="4095"/>
      <c r="F143" s="4095"/>
      <c r="G143" s="4095"/>
      <c r="H143" s="4095"/>
      <c r="I143" s="4095"/>
      <c r="J143" s="4095"/>
      <c r="K143" s="4096"/>
      <c r="L143" s="4097"/>
      <c r="M143" s="4095"/>
      <c r="N143" s="4095"/>
      <c r="O143" s="4095"/>
      <c r="P143" s="4095"/>
      <c r="Q143" s="4095"/>
      <c r="R143" s="4095"/>
      <c r="S143" s="4095"/>
      <c r="T143" s="4095"/>
      <c r="U143" s="4095"/>
      <c r="V143" s="4095"/>
      <c r="W143" s="4095"/>
      <c r="X143" s="4095"/>
      <c r="Y143" s="4095"/>
      <c r="Z143" s="4095"/>
      <c r="AA143" s="4095"/>
      <c r="AB143" s="4095"/>
      <c r="AC143" s="4095"/>
    </row>
    <row r="144" spans="1:29" s="4098" customFormat="1">
      <c r="A144" s="4095"/>
      <c r="B144" s="4095"/>
      <c r="C144" s="4095"/>
      <c r="D144" s="4095"/>
      <c r="E144" s="4095"/>
      <c r="F144" s="4095"/>
      <c r="G144" s="4095"/>
      <c r="H144" s="4095"/>
      <c r="I144" s="4095"/>
      <c r="J144" s="4095"/>
      <c r="K144" s="4096"/>
      <c r="L144" s="4097"/>
      <c r="M144" s="4095"/>
      <c r="N144" s="4095"/>
      <c r="O144" s="4095"/>
      <c r="P144" s="4095"/>
      <c r="Q144" s="4095"/>
      <c r="R144" s="4095"/>
      <c r="S144" s="4095"/>
      <c r="T144" s="4095"/>
      <c r="U144" s="4095"/>
      <c r="V144" s="4095"/>
      <c r="W144" s="4095"/>
      <c r="X144" s="4095"/>
      <c r="Y144" s="4095"/>
      <c r="Z144" s="4095"/>
      <c r="AA144" s="4095"/>
      <c r="AB144" s="4095"/>
      <c r="AC144" s="4095"/>
    </row>
    <row r="145" spans="1:29" s="4098" customFormat="1">
      <c r="A145" s="4095"/>
      <c r="B145" s="4095"/>
      <c r="C145" s="4095"/>
      <c r="D145" s="4095"/>
      <c r="E145" s="4095"/>
      <c r="F145" s="4095"/>
      <c r="G145" s="4095"/>
      <c r="H145" s="4095"/>
      <c r="I145" s="4095"/>
      <c r="J145" s="4095"/>
      <c r="K145" s="4096"/>
      <c r="L145" s="4097"/>
      <c r="M145" s="4095"/>
      <c r="N145" s="4095"/>
      <c r="O145" s="4095"/>
      <c r="P145" s="4095"/>
      <c r="Q145" s="4095"/>
      <c r="R145" s="4095"/>
      <c r="S145" s="4095"/>
      <c r="T145" s="4095"/>
      <c r="U145" s="4095"/>
      <c r="V145" s="4095"/>
      <c r="W145" s="4095"/>
      <c r="X145" s="4095"/>
      <c r="Y145" s="4095"/>
      <c r="Z145" s="4095"/>
      <c r="AA145" s="4095"/>
      <c r="AB145" s="4095"/>
      <c r="AC145" s="4095"/>
    </row>
    <row r="146" spans="1:29" s="4098" customFormat="1">
      <c r="A146" s="4095"/>
      <c r="B146" s="4095"/>
      <c r="C146" s="4095"/>
      <c r="D146" s="4095"/>
      <c r="E146" s="4095"/>
      <c r="F146" s="4095"/>
      <c r="G146" s="4095"/>
      <c r="H146" s="4095"/>
      <c r="I146" s="4095"/>
      <c r="J146" s="4095"/>
      <c r="K146" s="4096"/>
      <c r="L146" s="4097"/>
      <c r="M146" s="4095"/>
      <c r="N146" s="4095"/>
      <c r="O146" s="4095"/>
      <c r="P146" s="4095"/>
      <c r="Q146" s="4095"/>
      <c r="R146" s="4095"/>
      <c r="S146" s="4095"/>
      <c r="T146" s="4095"/>
      <c r="U146" s="4095"/>
      <c r="V146" s="4095"/>
      <c r="W146" s="4095"/>
      <c r="X146" s="4095"/>
      <c r="Y146" s="4095"/>
      <c r="Z146" s="4095"/>
      <c r="AA146" s="4095"/>
      <c r="AB146" s="4095"/>
      <c r="AC146" s="4095"/>
    </row>
    <row r="147" spans="1:29" s="4098" customFormat="1">
      <c r="A147" s="4095"/>
      <c r="B147" s="4095"/>
      <c r="C147" s="4095"/>
      <c r="D147" s="4095"/>
      <c r="E147" s="4095"/>
      <c r="F147" s="4095"/>
      <c r="G147" s="4095"/>
      <c r="H147" s="4095"/>
      <c r="I147" s="4095"/>
      <c r="J147" s="4095"/>
      <c r="K147" s="4096"/>
      <c r="L147" s="4097"/>
      <c r="M147" s="4095"/>
      <c r="N147" s="4095"/>
      <c r="O147" s="4095"/>
      <c r="P147" s="4095"/>
      <c r="Q147" s="4095"/>
      <c r="R147" s="4095"/>
      <c r="S147" s="4095"/>
      <c r="T147" s="4095"/>
      <c r="U147" s="4095"/>
      <c r="V147" s="4095"/>
      <c r="W147" s="4095"/>
      <c r="X147" s="4095"/>
      <c r="Y147" s="4095"/>
      <c r="Z147" s="4095"/>
      <c r="AA147" s="4095"/>
      <c r="AB147" s="4095"/>
      <c r="AC147" s="4095"/>
    </row>
    <row r="148" spans="1:29" s="4098" customFormat="1">
      <c r="A148" s="4095"/>
      <c r="B148" s="4095"/>
      <c r="C148" s="4095"/>
      <c r="D148" s="4095"/>
      <c r="E148" s="4095"/>
      <c r="F148" s="4095"/>
      <c r="G148" s="4095"/>
      <c r="H148" s="4095"/>
      <c r="I148" s="4095"/>
      <c r="J148" s="4095"/>
      <c r="K148" s="4096"/>
      <c r="L148" s="4097"/>
      <c r="M148" s="4095"/>
      <c r="N148" s="4095"/>
      <c r="O148" s="4095"/>
      <c r="P148" s="4095"/>
      <c r="Q148" s="4095"/>
      <c r="R148" s="4095"/>
      <c r="S148" s="4095"/>
      <c r="T148" s="4095"/>
      <c r="U148" s="4095"/>
      <c r="V148" s="4095"/>
      <c r="W148" s="4095"/>
      <c r="X148" s="4095"/>
      <c r="Y148" s="4095"/>
      <c r="Z148" s="4095"/>
      <c r="AA148" s="4095"/>
      <c r="AB148" s="4095"/>
      <c r="AC148" s="4095"/>
    </row>
    <row r="149" spans="1:29" s="4098" customFormat="1">
      <c r="A149" s="4095"/>
      <c r="B149" s="4095"/>
      <c r="C149" s="4095"/>
      <c r="D149" s="4095"/>
      <c r="E149" s="4095"/>
      <c r="F149" s="4095"/>
      <c r="G149" s="4095"/>
      <c r="H149" s="4095"/>
      <c r="I149" s="4095"/>
      <c r="J149" s="4095"/>
      <c r="K149" s="4096"/>
      <c r="L149" s="4097"/>
      <c r="M149" s="4095"/>
      <c r="N149" s="4095"/>
      <c r="O149" s="4095"/>
      <c r="P149" s="4095"/>
      <c r="Q149" s="4095"/>
      <c r="R149" s="4095"/>
      <c r="S149" s="4095"/>
      <c r="T149" s="4095"/>
      <c r="U149" s="4095"/>
      <c r="V149" s="4095"/>
      <c r="W149" s="4095"/>
      <c r="X149" s="4095"/>
      <c r="Y149" s="4095"/>
      <c r="Z149" s="4095"/>
      <c r="AA149" s="4095"/>
      <c r="AB149" s="4095"/>
      <c r="AC149" s="4095"/>
    </row>
    <row r="150" spans="1:29" s="4098" customFormat="1">
      <c r="A150" s="4095"/>
      <c r="B150" s="4095"/>
      <c r="C150" s="4095"/>
      <c r="D150" s="4095"/>
      <c r="E150" s="4095"/>
      <c r="F150" s="4095"/>
      <c r="G150" s="4095"/>
      <c r="H150" s="4095"/>
      <c r="I150" s="4095"/>
      <c r="J150" s="4095"/>
      <c r="K150" s="4096"/>
      <c r="L150" s="4097"/>
      <c r="M150" s="4095"/>
      <c r="N150" s="4095"/>
      <c r="O150" s="4095"/>
      <c r="P150" s="4095"/>
      <c r="Q150" s="4095"/>
      <c r="R150" s="4095"/>
      <c r="S150" s="4095"/>
      <c r="T150" s="4095"/>
      <c r="U150" s="4095"/>
      <c r="V150" s="4095"/>
      <c r="W150" s="4095"/>
      <c r="X150" s="4095"/>
      <c r="Y150" s="4095"/>
      <c r="Z150" s="4095"/>
      <c r="AA150" s="4095"/>
      <c r="AB150" s="4095"/>
      <c r="AC150" s="4095"/>
    </row>
    <row r="151" spans="1:29" s="4098" customFormat="1">
      <c r="A151" s="4095"/>
      <c r="B151" s="4095"/>
      <c r="C151" s="4095"/>
      <c r="D151" s="4095"/>
      <c r="E151" s="4095"/>
      <c r="F151" s="4095"/>
      <c r="G151" s="4095"/>
      <c r="H151" s="4095"/>
      <c r="I151" s="4095"/>
      <c r="J151" s="4095"/>
      <c r="K151" s="4096"/>
      <c r="L151" s="4097"/>
      <c r="M151" s="4095"/>
      <c r="N151" s="4095"/>
      <c r="O151" s="4095"/>
      <c r="P151" s="4095"/>
      <c r="Q151" s="4095"/>
      <c r="R151" s="4095"/>
      <c r="S151" s="4095"/>
      <c r="T151" s="4095"/>
      <c r="U151" s="4095"/>
      <c r="V151" s="4095"/>
      <c r="W151" s="4095"/>
      <c r="X151" s="4095"/>
      <c r="Y151" s="4095"/>
      <c r="Z151" s="4095"/>
      <c r="AA151" s="4095"/>
      <c r="AB151" s="4095"/>
      <c r="AC151" s="4095"/>
    </row>
    <row r="152" spans="1:29" s="4098" customFormat="1">
      <c r="A152" s="4095"/>
      <c r="B152" s="4095"/>
      <c r="C152" s="4095"/>
      <c r="D152" s="4095"/>
      <c r="E152" s="4095"/>
      <c r="F152" s="4095"/>
      <c r="G152" s="4095"/>
      <c r="H152" s="4095"/>
      <c r="I152" s="4095"/>
      <c r="J152" s="4095"/>
      <c r="K152" s="4096"/>
      <c r="L152" s="4097"/>
      <c r="M152" s="4095"/>
      <c r="N152" s="4095"/>
      <c r="O152" s="4095"/>
      <c r="P152" s="4095"/>
      <c r="Q152" s="4095"/>
      <c r="R152" s="4095"/>
      <c r="S152" s="4095"/>
      <c r="T152" s="4095"/>
      <c r="U152" s="4095"/>
      <c r="V152" s="4095"/>
      <c r="W152" s="4095"/>
      <c r="X152" s="4095"/>
      <c r="Y152" s="4095"/>
      <c r="Z152" s="4095"/>
      <c r="AA152" s="4095"/>
      <c r="AB152" s="4095"/>
      <c r="AC152" s="4095"/>
    </row>
    <row r="153" spans="1:29" s="4098" customFormat="1">
      <c r="A153" s="4095"/>
      <c r="B153" s="4095"/>
      <c r="C153" s="4095"/>
      <c r="D153" s="4095"/>
      <c r="E153" s="4095"/>
      <c r="F153" s="4095"/>
      <c r="G153" s="4095"/>
      <c r="H153" s="4095"/>
      <c r="I153" s="4095"/>
      <c r="J153" s="4095"/>
      <c r="K153" s="4096"/>
      <c r="L153" s="4097"/>
      <c r="M153" s="4095"/>
      <c r="N153" s="4095"/>
      <c r="O153" s="4095"/>
      <c r="P153" s="4095"/>
      <c r="Q153" s="4095"/>
      <c r="R153" s="4095"/>
      <c r="S153" s="4095"/>
      <c r="T153" s="4095"/>
      <c r="U153" s="4095"/>
      <c r="V153" s="4095"/>
      <c r="W153" s="4095"/>
      <c r="X153" s="4095"/>
      <c r="Y153" s="4095"/>
      <c r="Z153" s="4095"/>
      <c r="AA153" s="4095"/>
      <c r="AB153" s="4095"/>
      <c r="AC153" s="4095"/>
    </row>
    <row r="154" spans="1:29" s="4098" customFormat="1">
      <c r="A154" s="4095"/>
      <c r="B154" s="4095"/>
      <c r="C154" s="4095"/>
      <c r="D154" s="4095"/>
      <c r="E154" s="4095"/>
      <c r="F154" s="4095"/>
      <c r="G154" s="4095"/>
      <c r="H154" s="4095"/>
      <c r="I154" s="4095"/>
      <c r="J154" s="4095"/>
      <c r="K154" s="4096"/>
      <c r="L154" s="4097"/>
      <c r="M154" s="4095"/>
      <c r="N154" s="4095"/>
      <c r="O154" s="4095"/>
      <c r="P154" s="4095"/>
      <c r="Q154" s="4095"/>
      <c r="R154" s="4095"/>
      <c r="S154" s="4095"/>
      <c r="T154" s="4095"/>
      <c r="U154" s="4095"/>
      <c r="V154" s="4095"/>
      <c r="W154" s="4095"/>
      <c r="X154" s="4095"/>
      <c r="Y154" s="4095"/>
      <c r="Z154" s="4095"/>
      <c r="AA154" s="4095"/>
      <c r="AB154" s="4095"/>
      <c r="AC154" s="4095"/>
    </row>
    <row r="155" spans="1:29" s="4098" customFormat="1">
      <c r="A155" s="4095"/>
      <c r="B155" s="4095"/>
      <c r="C155" s="4095"/>
      <c r="D155" s="4095"/>
      <c r="E155" s="4095"/>
      <c r="F155" s="4095"/>
      <c r="G155" s="4095"/>
      <c r="H155" s="4095"/>
      <c r="I155" s="4095"/>
      <c r="J155" s="4095"/>
      <c r="K155" s="4096"/>
      <c r="L155" s="4097"/>
      <c r="M155" s="4095"/>
      <c r="N155" s="4095"/>
      <c r="O155" s="4095"/>
      <c r="P155" s="4095"/>
      <c r="Q155" s="4095"/>
      <c r="R155" s="4095"/>
      <c r="S155" s="4095"/>
      <c r="T155" s="4095"/>
      <c r="U155" s="4095"/>
      <c r="V155" s="4095"/>
      <c r="W155" s="4095"/>
      <c r="X155" s="4095"/>
      <c r="Y155" s="4095"/>
      <c r="Z155" s="4095"/>
      <c r="AA155" s="4095"/>
      <c r="AB155" s="4095"/>
      <c r="AC155" s="4095"/>
    </row>
    <row r="156" spans="1:29" s="4098" customFormat="1">
      <c r="A156" s="4095"/>
      <c r="B156" s="4095"/>
      <c r="C156" s="4095"/>
      <c r="D156" s="4095"/>
      <c r="E156" s="4095"/>
      <c r="F156" s="4095"/>
      <c r="G156" s="4095"/>
      <c r="H156" s="4095"/>
      <c r="I156" s="4095"/>
      <c r="J156" s="4095"/>
      <c r="K156" s="4096"/>
      <c r="L156" s="4097"/>
      <c r="M156" s="4095"/>
      <c r="N156" s="4095"/>
      <c r="O156" s="4095"/>
      <c r="P156" s="4095"/>
      <c r="Q156" s="4095"/>
      <c r="R156" s="4095"/>
      <c r="S156" s="4095"/>
      <c r="T156" s="4095"/>
      <c r="U156" s="4095"/>
      <c r="V156" s="4095"/>
      <c r="W156" s="4095"/>
      <c r="X156" s="4095"/>
      <c r="Y156" s="4095"/>
      <c r="Z156" s="4095"/>
      <c r="AA156" s="4095"/>
      <c r="AB156" s="4095"/>
      <c r="AC156" s="4095"/>
    </row>
    <row r="157" spans="1:29" s="4098" customFormat="1">
      <c r="A157" s="4095"/>
      <c r="B157" s="4095"/>
      <c r="C157" s="4095"/>
      <c r="D157" s="4095"/>
      <c r="E157" s="4095"/>
      <c r="F157" s="4095"/>
      <c r="G157" s="4095"/>
      <c r="H157" s="4095"/>
      <c r="I157" s="4095"/>
      <c r="J157" s="4095"/>
      <c r="K157" s="4096"/>
      <c r="L157" s="4097"/>
      <c r="M157" s="4095"/>
      <c r="N157" s="4095"/>
      <c r="O157" s="4095"/>
      <c r="P157" s="4095"/>
      <c r="Q157" s="4095"/>
      <c r="R157" s="4095"/>
      <c r="S157" s="4095"/>
      <c r="T157" s="4095"/>
      <c r="U157" s="4095"/>
      <c r="V157" s="4095"/>
      <c r="W157" s="4095"/>
      <c r="X157" s="4095"/>
      <c r="Y157" s="4095"/>
      <c r="Z157" s="4095"/>
      <c r="AA157" s="4095"/>
      <c r="AB157" s="4095"/>
      <c r="AC157" s="4095"/>
    </row>
    <row r="158" spans="1:29" s="4098" customFormat="1">
      <c r="A158" s="4095"/>
      <c r="B158" s="4095"/>
      <c r="C158" s="4095"/>
      <c r="D158" s="4095"/>
      <c r="E158" s="4095"/>
      <c r="F158" s="4095"/>
      <c r="G158" s="4095"/>
      <c r="H158" s="4095"/>
      <c r="I158" s="4095"/>
      <c r="J158" s="4095"/>
      <c r="K158" s="4096"/>
      <c r="L158" s="4097"/>
      <c r="M158" s="4095"/>
      <c r="N158" s="4095"/>
      <c r="O158" s="4095"/>
      <c r="P158" s="4095"/>
      <c r="Q158" s="4095"/>
      <c r="R158" s="4095"/>
      <c r="S158" s="4095"/>
      <c r="T158" s="4095"/>
      <c r="U158" s="4095"/>
      <c r="V158" s="4095"/>
      <c r="W158" s="4095"/>
      <c r="X158" s="4095"/>
      <c r="Y158" s="4095"/>
      <c r="Z158" s="4095"/>
      <c r="AA158" s="4095"/>
      <c r="AB158" s="4095"/>
      <c r="AC158" s="4095"/>
    </row>
    <row r="159" spans="1:29" s="4098" customFormat="1">
      <c r="A159" s="4095"/>
      <c r="B159" s="4095"/>
      <c r="C159" s="4095"/>
      <c r="D159" s="4095"/>
      <c r="E159" s="4095"/>
      <c r="F159" s="4095"/>
      <c r="G159" s="4095"/>
      <c r="H159" s="4095"/>
      <c r="I159" s="4095"/>
      <c r="J159" s="4095"/>
      <c r="K159" s="4096"/>
      <c r="L159" s="4097"/>
      <c r="M159" s="4095"/>
      <c r="N159" s="4095"/>
      <c r="O159" s="4095"/>
      <c r="P159" s="4095"/>
      <c r="Q159" s="4095"/>
      <c r="R159" s="4095"/>
      <c r="S159" s="4095"/>
      <c r="T159" s="4095"/>
      <c r="U159" s="4095"/>
      <c r="V159" s="4095"/>
      <c r="W159" s="4095"/>
      <c r="X159" s="4095"/>
      <c r="Y159" s="4095"/>
      <c r="Z159" s="4095"/>
      <c r="AA159" s="4095"/>
      <c r="AB159" s="4095"/>
      <c r="AC159" s="4095"/>
    </row>
    <row r="160" spans="1:29" s="4098" customFormat="1">
      <c r="A160" s="4095"/>
      <c r="B160" s="4095"/>
      <c r="C160" s="4095"/>
      <c r="D160" s="4095"/>
      <c r="E160" s="4095"/>
      <c r="F160" s="4095"/>
      <c r="G160" s="4095"/>
      <c r="H160" s="4095"/>
      <c r="I160" s="4095"/>
      <c r="J160" s="4095"/>
      <c r="K160" s="4096"/>
      <c r="L160" s="4097"/>
      <c r="M160" s="4095"/>
      <c r="N160" s="4095"/>
      <c r="O160" s="4095"/>
      <c r="P160" s="4095"/>
      <c r="Q160" s="4095"/>
      <c r="R160" s="4095"/>
      <c r="S160" s="4095"/>
      <c r="T160" s="4095"/>
      <c r="U160" s="4095"/>
      <c r="V160" s="4095"/>
      <c r="W160" s="4095"/>
      <c r="X160" s="4095"/>
      <c r="Y160" s="4095"/>
      <c r="Z160" s="4095"/>
      <c r="AA160" s="4095"/>
      <c r="AB160" s="4095"/>
      <c r="AC160" s="4095"/>
    </row>
    <row r="161" spans="1:29" s="4098" customFormat="1">
      <c r="A161" s="4095"/>
      <c r="B161" s="4095"/>
      <c r="C161" s="4095"/>
      <c r="D161" s="4095"/>
      <c r="E161" s="4095"/>
      <c r="F161" s="4095"/>
      <c r="G161" s="4095"/>
      <c r="H161" s="4095"/>
      <c r="I161" s="4095"/>
      <c r="J161" s="4095"/>
      <c r="K161" s="4096"/>
      <c r="L161" s="4097"/>
      <c r="M161" s="4095"/>
      <c r="N161" s="4095"/>
      <c r="O161" s="4095"/>
      <c r="P161" s="4095"/>
      <c r="Q161" s="4095"/>
      <c r="R161" s="4095"/>
      <c r="S161" s="4095"/>
      <c r="T161" s="4095"/>
      <c r="U161" s="4095"/>
      <c r="V161" s="4095"/>
      <c r="W161" s="4095"/>
      <c r="X161" s="4095"/>
      <c r="Y161" s="4095"/>
      <c r="Z161" s="4095"/>
      <c r="AA161" s="4095"/>
      <c r="AB161" s="4095"/>
      <c r="AC161" s="4095"/>
    </row>
    <row r="162" spans="1:29" s="4098" customFormat="1">
      <c r="A162" s="4095"/>
      <c r="B162" s="4095"/>
      <c r="C162" s="4095"/>
      <c r="D162" s="4095"/>
      <c r="E162" s="4095"/>
      <c r="F162" s="4095"/>
      <c r="G162" s="4095"/>
      <c r="H162" s="4095"/>
      <c r="I162" s="4095"/>
      <c r="J162" s="4095"/>
      <c r="K162" s="4096"/>
      <c r="L162" s="4097"/>
      <c r="M162" s="4095"/>
      <c r="N162" s="4095"/>
      <c r="O162" s="4095"/>
      <c r="P162" s="4095"/>
      <c r="Q162" s="4095"/>
      <c r="R162" s="4095"/>
      <c r="S162" s="4095"/>
      <c r="T162" s="4095"/>
      <c r="U162" s="4095"/>
      <c r="V162" s="4095"/>
      <c r="W162" s="4095"/>
      <c r="X162" s="4095"/>
      <c r="Y162" s="4095"/>
      <c r="Z162" s="4095"/>
      <c r="AA162" s="4095"/>
      <c r="AB162" s="4095"/>
      <c r="AC162" s="4095"/>
    </row>
    <row r="163" spans="1:29" s="4098" customFormat="1">
      <c r="A163" s="4095"/>
      <c r="B163" s="4095"/>
      <c r="C163" s="4095"/>
      <c r="D163" s="4095"/>
      <c r="E163" s="4095"/>
      <c r="F163" s="4095"/>
      <c r="G163" s="4095"/>
      <c r="H163" s="4095"/>
      <c r="I163" s="4095"/>
      <c r="J163" s="4095"/>
      <c r="K163" s="4096"/>
      <c r="L163" s="4097"/>
      <c r="M163" s="4095"/>
      <c r="N163" s="4095"/>
      <c r="O163" s="4095"/>
      <c r="P163" s="4095"/>
      <c r="Q163" s="4095"/>
      <c r="R163" s="4095"/>
      <c r="S163" s="4095"/>
      <c r="T163" s="4095"/>
      <c r="U163" s="4095"/>
      <c r="V163" s="4095"/>
      <c r="W163" s="4095"/>
      <c r="X163" s="4095"/>
      <c r="Y163" s="4095"/>
      <c r="Z163" s="4095"/>
      <c r="AA163" s="4095"/>
      <c r="AB163" s="4095"/>
      <c r="AC163" s="4095"/>
    </row>
    <row r="164" spans="1:29" s="4098" customFormat="1">
      <c r="A164" s="4095"/>
      <c r="B164" s="4095"/>
      <c r="C164" s="4095"/>
      <c r="D164" s="4095"/>
      <c r="E164" s="4095"/>
      <c r="F164" s="4095"/>
      <c r="G164" s="4095"/>
      <c r="H164" s="4095"/>
      <c r="I164" s="4095"/>
      <c r="J164" s="4095"/>
      <c r="K164" s="4096"/>
      <c r="L164" s="4097"/>
      <c r="M164" s="4095"/>
      <c r="N164" s="4095"/>
      <c r="O164" s="4095"/>
      <c r="P164" s="4095"/>
      <c r="Q164" s="4095"/>
      <c r="R164" s="4095"/>
      <c r="S164" s="4095"/>
      <c r="T164" s="4095"/>
      <c r="U164" s="4095"/>
      <c r="V164" s="4095"/>
      <c r="W164" s="4095"/>
      <c r="X164" s="4095"/>
      <c r="Y164" s="4095"/>
      <c r="Z164" s="4095"/>
      <c r="AA164" s="4095"/>
      <c r="AB164" s="4095"/>
      <c r="AC164" s="4095"/>
    </row>
    <row r="165" spans="1:29" s="4098" customFormat="1">
      <c r="A165" s="4095"/>
      <c r="B165" s="4095"/>
      <c r="C165" s="4095"/>
      <c r="D165" s="4095"/>
      <c r="E165" s="4095"/>
      <c r="F165" s="4095"/>
      <c r="G165" s="4095"/>
      <c r="H165" s="4095"/>
      <c r="I165" s="4095"/>
      <c r="J165" s="4095"/>
      <c r="K165" s="4096"/>
      <c r="L165" s="4097"/>
      <c r="M165" s="4095"/>
      <c r="N165" s="4095"/>
      <c r="O165" s="4095"/>
      <c r="P165" s="4095"/>
      <c r="Q165" s="4095"/>
      <c r="R165" s="4095"/>
      <c r="S165" s="4095"/>
      <c r="T165" s="4095"/>
      <c r="U165" s="4095"/>
      <c r="V165" s="4095"/>
      <c r="W165" s="4095"/>
      <c r="X165" s="4095"/>
      <c r="Y165" s="4095"/>
      <c r="Z165" s="4095"/>
      <c r="AA165" s="4095"/>
      <c r="AB165" s="4095"/>
      <c r="AC165" s="4095"/>
    </row>
    <row r="166" spans="1:29" s="4098" customFormat="1">
      <c r="A166" s="4095"/>
      <c r="B166" s="4095"/>
      <c r="C166" s="4095"/>
      <c r="D166" s="4095"/>
      <c r="E166" s="4095"/>
      <c r="F166" s="4095"/>
      <c r="G166" s="4095"/>
      <c r="H166" s="4095"/>
      <c r="I166" s="4095"/>
      <c r="J166" s="4095"/>
      <c r="K166" s="4096"/>
      <c r="L166" s="4097"/>
      <c r="M166" s="4095"/>
      <c r="N166" s="4095"/>
      <c r="O166" s="4095"/>
      <c r="P166" s="4095"/>
      <c r="Q166" s="4095"/>
      <c r="R166" s="4095"/>
      <c r="S166" s="4095"/>
      <c r="T166" s="4095"/>
      <c r="U166" s="4095"/>
      <c r="V166" s="4095"/>
      <c r="W166" s="4095"/>
      <c r="X166" s="4095"/>
      <c r="Y166" s="4095"/>
      <c r="Z166" s="4095"/>
      <c r="AA166" s="4095"/>
      <c r="AB166" s="4095"/>
      <c r="AC166" s="4095"/>
    </row>
    <row r="167" spans="1:29" s="4098" customFormat="1">
      <c r="A167" s="4095"/>
      <c r="B167" s="4095"/>
      <c r="C167" s="4095"/>
      <c r="D167" s="4095"/>
      <c r="E167" s="4095"/>
      <c r="F167" s="4095"/>
      <c r="G167" s="4095"/>
      <c r="H167" s="4095"/>
      <c r="I167" s="4095"/>
      <c r="J167" s="4095"/>
      <c r="K167" s="4096"/>
      <c r="L167" s="4097"/>
      <c r="M167" s="4095"/>
      <c r="N167" s="4095"/>
      <c r="O167" s="4095"/>
      <c r="P167" s="4095"/>
      <c r="Q167" s="4095"/>
      <c r="R167" s="4095"/>
      <c r="S167" s="4095"/>
      <c r="T167" s="4095"/>
      <c r="U167" s="4095"/>
      <c r="V167" s="4095"/>
      <c r="W167" s="4095"/>
      <c r="X167" s="4095"/>
      <c r="Y167" s="4095"/>
      <c r="Z167" s="4095"/>
      <c r="AA167" s="4095"/>
      <c r="AB167" s="4095"/>
      <c r="AC167" s="4095"/>
    </row>
    <row r="168" spans="1:29" s="4098" customFormat="1">
      <c r="A168" s="4095"/>
      <c r="B168" s="4095"/>
      <c r="C168" s="4095"/>
      <c r="D168" s="4095"/>
      <c r="E168" s="4095"/>
      <c r="F168" s="4095"/>
      <c r="G168" s="4095"/>
      <c r="H168" s="4095"/>
      <c r="I168" s="4095"/>
      <c r="J168" s="4095"/>
      <c r="K168" s="4096"/>
      <c r="L168" s="4097"/>
      <c r="M168" s="4095"/>
      <c r="N168" s="4095"/>
      <c r="O168" s="4095"/>
      <c r="P168" s="4095"/>
      <c r="Q168" s="4095"/>
      <c r="R168" s="4095"/>
      <c r="S168" s="4095"/>
      <c r="T168" s="4095"/>
      <c r="U168" s="4095"/>
      <c r="V168" s="4095"/>
      <c r="W168" s="4095"/>
      <c r="X168" s="4095"/>
      <c r="Y168" s="4095"/>
      <c r="Z168" s="4095"/>
      <c r="AA168" s="4095"/>
      <c r="AB168" s="4095"/>
      <c r="AC168" s="4095"/>
    </row>
    <row r="169" spans="1:29" s="4098" customFormat="1">
      <c r="A169" s="4095"/>
      <c r="B169" s="4095"/>
      <c r="C169" s="4095"/>
      <c r="D169" s="4095"/>
      <c r="E169" s="4095"/>
      <c r="F169" s="4095"/>
      <c r="G169" s="4095"/>
      <c r="H169" s="4095"/>
      <c r="I169" s="4095"/>
      <c r="J169" s="4095"/>
      <c r="K169" s="4096"/>
      <c r="L169" s="4097"/>
      <c r="M169" s="4095"/>
      <c r="N169" s="4095"/>
      <c r="O169" s="4095"/>
      <c r="P169" s="4095"/>
      <c r="Q169" s="4095"/>
      <c r="R169" s="4095"/>
      <c r="S169" s="4095"/>
      <c r="T169" s="4095"/>
      <c r="U169" s="4095"/>
      <c r="V169" s="4095"/>
      <c r="W169" s="4095"/>
      <c r="X169" s="4095"/>
      <c r="Y169" s="4095"/>
      <c r="Z169" s="4095"/>
      <c r="AA169" s="4095"/>
      <c r="AB169" s="4095"/>
      <c r="AC169" s="4095"/>
    </row>
    <row r="170" spans="1:29" s="4098" customFormat="1">
      <c r="A170" s="4095"/>
      <c r="B170" s="4095"/>
      <c r="C170" s="4095"/>
      <c r="D170" s="4095"/>
      <c r="E170" s="4095"/>
      <c r="F170" s="4095"/>
      <c r="G170" s="4095"/>
      <c r="H170" s="4095"/>
      <c r="I170" s="4095"/>
      <c r="J170" s="4095"/>
      <c r="K170" s="4096"/>
      <c r="L170" s="4097"/>
      <c r="M170" s="4095"/>
      <c r="N170" s="4095"/>
      <c r="O170" s="4095"/>
      <c r="P170" s="4095"/>
      <c r="Q170" s="4095"/>
      <c r="R170" s="4095"/>
      <c r="S170" s="4095"/>
      <c r="T170" s="4095"/>
      <c r="U170" s="4095"/>
      <c r="V170" s="4095"/>
      <c r="W170" s="4095"/>
      <c r="X170" s="4095"/>
      <c r="Y170" s="4095"/>
      <c r="Z170" s="4095"/>
      <c r="AA170" s="4095"/>
      <c r="AB170" s="4095"/>
      <c r="AC170" s="4095"/>
    </row>
    <row r="171" spans="1:29" s="4098" customFormat="1">
      <c r="A171" s="4095"/>
      <c r="B171" s="4095"/>
      <c r="C171" s="4095"/>
      <c r="D171" s="4095"/>
      <c r="E171" s="4095"/>
      <c r="F171" s="4095"/>
      <c r="G171" s="4095"/>
      <c r="H171" s="4095"/>
      <c r="I171" s="4095"/>
      <c r="J171" s="4095"/>
      <c r="K171" s="4096"/>
      <c r="L171" s="4097"/>
      <c r="M171" s="4095"/>
      <c r="N171" s="4095"/>
      <c r="O171" s="4095"/>
      <c r="P171" s="4095"/>
      <c r="Q171" s="4095"/>
      <c r="R171" s="4095"/>
      <c r="S171" s="4095"/>
      <c r="T171" s="4095"/>
      <c r="U171" s="4095"/>
      <c r="V171" s="4095"/>
      <c r="W171" s="4095"/>
      <c r="X171" s="4095"/>
      <c r="Y171" s="4095"/>
      <c r="Z171" s="4095"/>
      <c r="AA171" s="4095"/>
      <c r="AB171" s="4095"/>
      <c r="AC171" s="4095"/>
    </row>
    <row r="172" spans="1:29" s="4098" customFormat="1">
      <c r="A172" s="4095"/>
      <c r="B172" s="4095"/>
      <c r="C172" s="4095"/>
      <c r="D172" s="4095"/>
      <c r="E172" s="4095"/>
      <c r="F172" s="4095"/>
      <c r="G172" s="4095"/>
      <c r="H172" s="4095"/>
      <c r="I172" s="4095"/>
      <c r="J172" s="4095"/>
      <c r="K172" s="4096"/>
      <c r="L172" s="4097"/>
      <c r="M172" s="4095"/>
      <c r="N172" s="4095"/>
      <c r="O172" s="4095"/>
      <c r="P172" s="4095"/>
      <c r="Q172" s="4095"/>
      <c r="R172" s="4095"/>
      <c r="S172" s="4095"/>
      <c r="T172" s="4095"/>
      <c r="U172" s="4095"/>
      <c r="V172" s="4095"/>
      <c r="W172" s="4095"/>
      <c r="X172" s="4095"/>
      <c r="Y172" s="4095"/>
      <c r="Z172" s="4095"/>
      <c r="AA172" s="4095"/>
      <c r="AB172" s="4095"/>
      <c r="AC172" s="4095"/>
    </row>
    <row r="173" spans="1:29" s="4098" customFormat="1">
      <c r="A173" s="4095"/>
      <c r="B173" s="4095"/>
      <c r="C173" s="4095"/>
      <c r="D173" s="4095"/>
      <c r="E173" s="4095"/>
      <c r="F173" s="4095"/>
      <c r="G173" s="4095"/>
      <c r="H173" s="4095"/>
      <c r="I173" s="4095"/>
      <c r="J173" s="4095"/>
      <c r="K173" s="4096"/>
      <c r="L173" s="4097"/>
      <c r="M173" s="4095"/>
      <c r="N173" s="4095"/>
      <c r="O173" s="4095"/>
      <c r="P173" s="4095"/>
      <c r="Q173" s="4095"/>
      <c r="R173" s="4095"/>
      <c r="S173" s="4095"/>
      <c r="T173" s="4095"/>
      <c r="U173" s="4095"/>
      <c r="V173" s="4095"/>
      <c r="W173" s="4095"/>
      <c r="X173" s="4095"/>
      <c r="Y173" s="4095"/>
      <c r="Z173" s="4095"/>
      <c r="AA173" s="4095"/>
      <c r="AB173" s="4095"/>
      <c r="AC173" s="4095"/>
    </row>
    <row r="174" spans="1:29" s="4098" customFormat="1">
      <c r="A174" s="4095"/>
      <c r="B174" s="4095"/>
      <c r="C174" s="4095"/>
      <c r="D174" s="4095"/>
      <c r="E174" s="4095"/>
      <c r="F174" s="4095"/>
      <c r="G174" s="4095"/>
      <c r="H174" s="4095"/>
      <c r="I174" s="4095"/>
      <c r="J174" s="4095"/>
      <c r="K174" s="4096"/>
      <c r="L174" s="4097"/>
      <c r="M174" s="4095"/>
      <c r="N174" s="4095"/>
      <c r="O174" s="4095"/>
      <c r="P174" s="4095"/>
      <c r="Q174" s="4095"/>
      <c r="R174" s="4095"/>
      <c r="S174" s="4095"/>
      <c r="T174" s="4095"/>
      <c r="U174" s="4095"/>
      <c r="V174" s="4095"/>
      <c r="W174" s="4095"/>
      <c r="X174" s="4095"/>
      <c r="Y174" s="4095"/>
      <c r="Z174" s="4095"/>
      <c r="AA174" s="4095"/>
      <c r="AB174" s="4095"/>
      <c r="AC174" s="4095"/>
    </row>
    <row r="175" spans="1:29" s="4098" customFormat="1">
      <c r="A175" s="4095"/>
      <c r="B175" s="4095"/>
      <c r="C175" s="4095"/>
      <c r="D175" s="4095"/>
      <c r="E175" s="4095"/>
      <c r="F175" s="4095"/>
      <c r="G175" s="4095"/>
      <c r="H175" s="4095"/>
      <c r="I175" s="4095"/>
      <c r="J175" s="4095"/>
      <c r="K175" s="4096"/>
      <c r="L175" s="4097"/>
      <c r="M175" s="4095"/>
      <c r="N175" s="4095"/>
      <c r="O175" s="4095"/>
      <c r="P175" s="4095"/>
      <c r="Q175" s="4095"/>
      <c r="R175" s="4095"/>
      <c r="S175" s="4095"/>
      <c r="T175" s="4095"/>
      <c r="U175" s="4095"/>
      <c r="V175" s="4095"/>
      <c r="W175" s="4095"/>
      <c r="X175" s="4095"/>
      <c r="Y175" s="4095"/>
      <c r="Z175" s="4095"/>
      <c r="AA175" s="4095"/>
      <c r="AB175" s="4095"/>
      <c r="AC175" s="4095"/>
    </row>
    <row r="176" spans="1:29" s="4098" customFormat="1">
      <c r="A176" s="4095"/>
      <c r="B176" s="4095"/>
      <c r="C176" s="4095"/>
      <c r="D176" s="4095"/>
      <c r="E176" s="4095"/>
      <c r="F176" s="4095"/>
      <c r="G176" s="4095"/>
      <c r="H176" s="4095"/>
      <c r="I176" s="4095"/>
      <c r="J176" s="4095"/>
      <c r="K176" s="4096"/>
      <c r="L176" s="4097"/>
      <c r="M176" s="4095"/>
      <c r="N176" s="4095"/>
      <c r="O176" s="4095"/>
      <c r="P176" s="4095"/>
      <c r="Q176" s="4095"/>
      <c r="R176" s="4095"/>
      <c r="S176" s="4095"/>
      <c r="T176" s="4095"/>
      <c r="U176" s="4095"/>
      <c r="V176" s="4095"/>
      <c r="W176" s="4095"/>
      <c r="X176" s="4095"/>
      <c r="Y176" s="4095"/>
      <c r="Z176" s="4095"/>
      <c r="AA176" s="4095"/>
      <c r="AB176" s="4095"/>
      <c r="AC176" s="4095"/>
    </row>
    <row r="177" spans="1:29" s="4098" customFormat="1">
      <c r="A177" s="4095"/>
      <c r="B177" s="4095"/>
      <c r="C177" s="4095"/>
      <c r="D177" s="4095"/>
      <c r="E177" s="4095"/>
      <c r="F177" s="4095"/>
      <c r="G177" s="4095"/>
      <c r="H177" s="4095"/>
      <c r="I177" s="4095"/>
      <c r="J177" s="4095"/>
      <c r="K177" s="4096"/>
      <c r="L177" s="4097"/>
      <c r="M177" s="4095"/>
      <c r="N177" s="4095"/>
      <c r="O177" s="4095"/>
      <c r="P177" s="4095"/>
      <c r="Q177" s="4095"/>
      <c r="R177" s="4095"/>
      <c r="S177" s="4095"/>
      <c r="T177" s="4095"/>
      <c r="U177" s="4095"/>
      <c r="V177" s="4095"/>
      <c r="W177" s="4095"/>
      <c r="X177" s="4095"/>
      <c r="Y177" s="4095"/>
      <c r="Z177" s="4095"/>
      <c r="AA177" s="4095"/>
      <c r="AB177" s="4095"/>
      <c r="AC177" s="4095"/>
    </row>
    <row r="178" spans="1:29" s="4098" customFormat="1">
      <c r="A178" s="4095"/>
      <c r="B178" s="4095"/>
      <c r="C178" s="4095"/>
      <c r="D178" s="4095"/>
      <c r="E178" s="4095"/>
      <c r="F178" s="4095"/>
      <c r="G178" s="4095"/>
      <c r="H178" s="4095"/>
      <c r="I178" s="4095"/>
      <c r="J178" s="4095"/>
      <c r="K178" s="4096"/>
      <c r="L178" s="4097"/>
      <c r="M178" s="4095"/>
      <c r="N178" s="4095"/>
      <c r="O178" s="4095"/>
      <c r="P178" s="4095"/>
      <c r="Q178" s="4095"/>
      <c r="R178" s="4095"/>
      <c r="S178" s="4095"/>
      <c r="T178" s="4095"/>
      <c r="U178" s="4095"/>
      <c r="V178" s="4095"/>
      <c r="W178" s="4095"/>
      <c r="X178" s="4095"/>
      <c r="Y178" s="4095"/>
      <c r="Z178" s="4095"/>
      <c r="AA178" s="4095"/>
      <c r="AB178" s="4095"/>
      <c r="AC178" s="4095"/>
    </row>
    <row r="179" spans="1:29" s="4098" customFormat="1">
      <c r="A179" s="4095"/>
      <c r="B179" s="4095"/>
      <c r="C179" s="4095"/>
      <c r="D179" s="4095"/>
      <c r="E179" s="4095"/>
      <c r="F179" s="4095"/>
      <c r="G179" s="4095"/>
      <c r="H179" s="4095"/>
      <c r="I179" s="4095"/>
      <c r="J179" s="4095"/>
      <c r="K179" s="4096"/>
      <c r="L179" s="4097"/>
      <c r="M179" s="4095"/>
      <c r="N179" s="4095"/>
      <c r="O179" s="4095"/>
      <c r="P179" s="4095"/>
      <c r="Q179" s="4095"/>
      <c r="R179" s="4095"/>
      <c r="S179" s="4095"/>
      <c r="T179" s="4095"/>
      <c r="U179" s="4095"/>
      <c r="V179" s="4095"/>
      <c r="W179" s="4095"/>
      <c r="X179" s="4095"/>
      <c r="Y179" s="4095"/>
      <c r="Z179" s="4095"/>
      <c r="AA179" s="4095"/>
      <c r="AB179" s="4095"/>
      <c r="AC179" s="4095"/>
    </row>
    <row r="180" spans="1:29" s="4098" customFormat="1">
      <c r="A180" s="4095"/>
      <c r="B180" s="4095"/>
      <c r="C180" s="4095"/>
      <c r="D180" s="4095"/>
      <c r="E180" s="4095"/>
      <c r="F180" s="4095"/>
      <c r="G180" s="4095"/>
      <c r="H180" s="4095"/>
      <c r="I180" s="4095"/>
      <c r="J180" s="4095"/>
      <c r="K180" s="4096"/>
      <c r="L180" s="4097"/>
      <c r="M180" s="4095"/>
      <c r="N180" s="4095"/>
      <c r="O180" s="4095"/>
      <c r="P180" s="4095"/>
      <c r="Q180" s="4095"/>
      <c r="R180" s="4095"/>
      <c r="S180" s="4095"/>
      <c r="T180" s="4095"/>
      <c r="U180" s="4095"/>
      <c r="V180" s="4095"/>
      <c r="W180" s="4095"/>
      <c r="X180" s="4095"/>
      <c r="Y180" s="4095"/>
      <c r="Z180" s="4095"/>
      <c r="AA180" s="4095"/>
      <c r="AB180" s="4095"/>
      <c r="AC180" s="4095"/>
    </row>
    <row r="181" spans="1:29" s="4098" customFormat="1">
      <c r="A181" s="4095"/>
      <c r="B181" s="4095"/>
      <c r="C181" s="4095"/>
      <c r="D181" s="4095"/>
      <c r="E181" s="4095"/>
      <c r="F181" s="4095"/>
      <c r="G181" s="4095"/>
      <c r="H181" s="4095"/>
      <c r="I181" s="4095"/>
      <c r="J181" s="4095"/>
      <c r="K181" s="4096"/>
      <c r="L181" s="4097"/>
      <c r="M181" s="4095"/>
      <c r="N181" s="4095"/>
      <c r="O181" s="4095"/>
      <c r="P181" s="4095"/>
      <c r="Q181" s="4095"/>
      <c r="R181" s="4095"/>
      <c r="S181" s="4095"/>
      <c r="T181" s="4095"/>
      <c r="U181" s="4095"/>
      <c r="V181" s="4095"/>
      <c r="W181" s="4095"/>
      <c r="X181" s="4095"/>
      <c r="Y181" s="4095"/>
      <c r="Z181" s="4095"/>
      <c r="AA181" s="4095"/>
      <c r="AB181" s="4095"/>
      <c r="AC181" s="4095"/>
    </row>
    <row r="182" spans="1:29" s="4098" customFormat="1">
      <c r="A182" s="4095"/>
      <c r="B182" s="4095"/>
      <c r="C182" s="4095"/>
      <c r="D182" s="4095"/>
      <c r="E182" s="4095"/>
      <c r="F182" s="4095"/>
      <c r="G182" s="4095"/>
      <c r="H182" s="4095"/>
      <c r="I182" s="4095"/>
      <c r="J182" s="4095"/>
      <c r="K182" s="4096"/>
      <c r="L182" s="4097"/>
      <c r="M182" s="4095"/>
      <c r="N182" s="4095"/>
      <c r="O182" s="4095"/>
      <c r="P182" s="4095"/>
      <c r="Q182" s="4095"/>
      <c r="R182" s="4095"/>
      <c r="S182" s="4095"/>
      <c r="T182" s="4095"/>
      <c r="U182" s="4095"/>
      <c r="V182" s="4095"/>
      <c r="W182" s="4095"/>
      <c r="X182" s="4095"/>
      <c r="Y182" s="4095"/>
      <c r="Z182" s="4095"/>
      <c r="AA182" s="4095"/>
      <c r="AB182" s="4095"/>
      <c r="AC182" s="4095"/>
    </row>
    <row r="183" spans="1:29" s="4098" customFormat="1">
      <c r="A183" s="4095"/>
      <c r="B183" s="4095"/>
      <c r="C183" s="4095"/>
      <c r="D183" s="4095"/>
      <c r="E183" s="4095"/>
      <c r="F183" s="4095"/>
      <c r="G183" s="4095"/>
      <c r="H183" s="4095"/>
      <c r="I183" s="4095"/>
      <c r="J183" s="4095"/>
      <c r="K183" s="4096"/>
      <c r="L183" s="4097"/>
      <c r="M183" s="4095"/>
      <c r="N183" s="4095"/>
      <c r="O183" s="4095"/>
      <c r="P183" s="4095"/>
      <c r="Q183" s="4095"/>
      <c r="R183" s="4095"/>
      <c r="S183" s="4095"/>
      <c r="T183" s="4095"/>
      <c r="U183" s="4095"/>
      <c r="V183" s="4095"/>
      <c r="W183" s="4095"/>
      <c r="X183" s="4095"/>
      <c r="Y183" s="4095"/>
      <c r="Z183" s="4095"/>
      <c r="AA183" s="4095"/>
      <c r="AB183" s="4095"/>
      <c r="AC183" s="4095"/>
    </row>
    <row r="184" spans="1:29" s="4098" customFormat="1">
      <c r="A184" s="4095"/>
      <c r="B184" s="4095"/>
      <c r="C184" s="4095"/>
      <c r="D184" s="4095"/>
      <c r="E184" s="4095"/>
      <c r="F184" s="4095"/>
      <c r="G184" s="4095"/>
      <c r="H184" s="4095"/>
      <c r="I184" s="4095"/>
      <c r="J184" s="4095"/>
      <c r="K184" s="4096"/>
      <c r="L184" s="4097"/>
      <c r="M184" s="4095"/>
      <c r="N184" s="4095"/>
      <c r="O184" s="4095"/>
      <c r="P184" s="4095"/>
      <c r="Q184" s="4095"/>
      <c r="R184" s="4095"/>
      <c r="S184" s="4095"/>
      <c r="T184" s="4095"/>
      <c r="U184" s="4095"/>
      <c r="V184" s="4095"/>
      <c r="W184" s="4095"/>
      <c r="X184" s="4095"/>
      <c r="Y184" s="4095"/>
      <c r="Z184" s="4095"/>
      <c r="AA184" s="4095"/>
      <c r="AB184" s="4095"/>
      <c r="AC184" s="4095"/>
    </row>
    <row r="185" spans="1:29" s="4098" customFormat="1">
      <c r="A185" s="4095"/>
      <c r="B185" s="4095"/>
      <c r="C185" s="4095"/>
      <c r="D185" s="4095"/>
      <c r="E185" s="4095"/>
      <c r="F185" s="4095"/>
      <c r="G185" s="4095"/>
      <c r="H185" s="4095"/>
      <c r="I185" s="4095"/>
      <c r="J185" s="4095"/>
      <c r="K185" s="4096"/>
      <c r="L185" s="4097"/>
      <c r="M185" s="4095"/>
      <c r="N185" s="4095"/>
      <c r="O185" s="4095"/>
      <c r="P185" s="4095"/>
      <c r="Q185" s="4095"/>
      <c r="R185" s="4095"/>
      <c r="S185" s="4095"/>
      <c r="T185" s="4095"/>
      <c r="U185" s="4095"/>
      <c r="V185" s="4095"/>
      <c r="W185" s="4095"/>
      <c r="X185" s="4095"/>
      <c r="Y185" s="4095"/>
      <c r="Z185" s="4095"/>
      <c r="AA185" s="4095"/>
      <c r="AB185" s="4095"/>
      <c r="AC185" s="4095"/>
    </row>
    <row r="186" spans="1:29" s="4098" customFormat="1">
      <c r="A186" s="4095"/>
      <c r="B186" s="4095"/>
      <c r="C186" s="4095"/>
      <c r="D186" s="4095"/>
      <c r="E186" s="4095"/>
      <c r="F186" s="4095"/>
      <c r="G186" s="4095"/>
      <c r="H186" s="4095"/>
      <c r="I186" s="4095"/>
      <c r="J186" s="4095"/>
      <c r="K186" s="4096"/>
      <c r="L186" s="4097"/>
      <c r="M186" s="4095"/>
      <c r="N186" s="4095"/>
      <c r="O186" s="4095"/>
      <c r="P186" s="4095"/>
      <c r="Q186" s="4095"/>
      <c r="R186" s="4095"/>
      <c r="S186" s="4095"/>
      <c r="T186" s="4095"/>
      <c r="U186" s="4095"/>
      <c r="V186" s="4095"/>
      <c r="W186" s="4095"/>
      <c r="X186" s="4095"/>
      <c r="Y186" s="4095"/>
      <c r="Z186" s="4095"/>
      <c r="AA186" s="4095"/>
      <c r="AB186" s="4095"/>
      <c r="AC186" s="4095"/>
    </row>
    <row r="187" spans="1:29" s="4098" customFormat="1">
      <c r="A187" s="4095"/>
      <c r="B187" s="4095"/>
      <c r="C187" s="4095"/>
      <c r="D187" s="4095"/>
      <c r="E187" s="4095"/>
      <c r="F187" s="4095"/>
      <c r="G187" s="4095"/>
      <c r="H187" s="4095"/>
      <c r="I187" s="4095"/>
      <c r="J187" s="4095"/>
      <c r="K187" s="4096"/>
      <c r="L187" s="4097"/>
      <c r="M187" s="4095"/>
      <c r="N187" s="4095"/>
      <c r="O187" s="4095"/>
      <c r="P187" s="4095"/>
      <c r="Q187" s="4095"/>
      <c r="R187" s="4095"/>
      <c r="S187" s="4095"/>
      <c r="T187" s="4095"/>
      <c r="U187" s="4095"/>
      <c r="V187" s="4095"/>
      <c r="W187" s="4095"/>
      <c r="X187" s="4095"/>
      <c r="Y187" s="4095"/>
      <c r="Z187" s="4095"/>
      <c r="AA187" s="4095"/>
      <c r="AB187" s="4095"/>
      <c r="AC187" s="4095"/>
    </row>
    <row r="188" spans="1:29" s="4098" customFormat="1">
      <c r="A188" s="4095"/>
      <c r="B188" s="4095"/>
      <c r="C188" s="4095"/>
      <c r="D188" s="4095"/>
      <c r="E188" s="4095"/>
      <c r="F188" s="4095"/>
      <c r="G188" s="4095"/>
      <c r="H188" s="4095"/>
      <c r="I188" s="4095"/>
      <c r="J188" s="4095"/>
      <c r="K188" s="4096"/>
      <c r="L188" s="4097"/>
      <c r="M188" s="4095"/>
      <c r="N188" s="4095"/>
      <c r="O188" s="4095"/>
      <c r="P188" s="4095"/>
      <c r="Q188" s="4095"/>
      <c r="R188" s="4095"/>
      <c r="S188" s="4095"/>
      <c r="T188" s="4095"/>
      <c r="U188" s="4095"/>
      <c r="V188" s="4095"/>
      <c r="W188" s="4095"/>
      <c r="X188" s="4095"/>
      <c r="Y188" s="4095"/>
      <c r="Z188" s="4095"/>
      <c r="AA188" s="4095"/>
      <c r="AB188" s="4095"/>
      <c r="AC188" s="4095"/>
    </row>
    <row r="189" spans="1:29" s="4098" customFormat="1">
      <c r="A189" s="4095"/>
      <c r="B189" s="4095"/>
      <c r="C189" s="4095"/>
      <c r="D189" s="4095"/>
      <c r="E189" s="4095"/>
      <c r="F189" s="4095"/>
      <c r="G189" s="4095"/>
      <c r="H189" s="4095"/>
      <c r="I189" s="4095"/>
      <c r="J189" s="4095"/>
      <c r="K189" s="4096"/>
      <c r="L189" s="4097"/>
      <c r="M189" s="4095"/>
      <c r="N189" s="4095"/>
      <c r="O189" s="4095"/>
      <c r="P189" s="4095"/>
      <c r="Q189" s="4095"/>
      <c r="R189" s="4095"/>
      <c r="S189" s="4095"/>
      <c r="T189" s="4095"/>
      <c r="U189" s="4095"/>
      <c r="V189" s="4095"/>
      <c r="W189" s="4095"/>
      <c r="X189" s="4095"/>
      <c r="Y189" s="4095"/>
      <c r="Z189" s="4095"/>
      <c r="AA189" s="4095"/>
      <c r="AB189" s="4095"/>
      <c r="AC189" s="4095"/>
    </row>
    <row r="190" spans="1:29" s="4098" customFormat="1">
      <c r="A190" s="4095"/>
      <c r="B190" s="4095"/>
      <c r="C190" s="4095"/>
      <c r="D190" s="4095"/>
      <c r="E190" s="4095"/>
      <c r="F190" s="4095"/>
      <c r="G190" s="4095"/>
      <c r="H190" s="4095"/>
      <c r="I190" s="4095"/>
      <c r="J190" s="4095"/>
      <c r="K190" s="4096"/>
      <c r="L190" s="4097"/>
      <c r="M190" s="4095"/>
      <c r="N190" s="4095"/>
      <c r="O190" s="4095"/>
      <c r="P190" s="4095"/>
      <c r="Q190" s="4095"/>
      <c r="R190" s="4095"/>
      <c r="S190" s="4095"/>
      <c r="T190" s="4095"/>
      <c r="U190" s="4095"/>
      <c r="V190" s="4095"/>
      <c r="W190" s="4095"/>
      <c r="X190" s="4095"/>
      <c r="Y190" s="4095"/>
      <c r="Z190" s="4095"/>
      <c r="AA190" s="4095"/>
      <c r="AB190" s="4095"/>
      <c r="AC190" s="4095"/>
    </row>
    <row r="191" spans="1:29" s="4098" customFormat="1">
      <c r="A191" s="4095"/>
      <c r="B191" s="4095"/>
      <c r="C191" s="4095"/>
      <c r="D191" s="4095"/>
      <c r="E191" s="4095"/>
      <c r="F191" s="4095"/>
      <c r="G191" s="4095"/>
      <c r="H191" s="4095"/>
      <c r="I191" s="4095"/>
      <c r="J191" s="4095"/>
      <c r="K191" s="4096"/>
      <c r="L191" s="4097"/>
      <c r="M191" s="4095"/>
      <c r="N191" s="4095"/>
      <c r="O191" s="4095"/>
      <c r="P191" s="4095"/>
      <c r="Q191" s="4095"/>
      <c r="R191" s="4095"/>
      <c r="S191" s="4095"/>
      <c r="T191" s="4095"/>
      <c r="U191" s="4095"/>
      <c r="V191" s="4095"/>
      <c r="W191" s="4095"/>
      <c r="X191" s="4095"/>
      <c r="Y191" s="4095"/>
      <c r="Z191" s="4095"/>
      <c r="AA191" s="4095"/>
      <c r="AB191" s="4095"/>
      <c r="AC191" s="4095"/>
    </row>
    <row r="192" spans="1:29" s="4098" customFormat="1">
      <c r="A192" s="4095"/>
      <c r="B192" s="4095"/>
      <c r="C192" s="4095"/>
      <c r="D192" s="4095"/>
      <c r="E192" s="4095"/>
      <c r="F192" s="4095"/>
      <c r="G192" s="4095"/>
      <c r="H192" s="4095"/>
      <c r="I192" s="4095"/>
      <c r="J192" s="4095"/>
      <c r="K192" s="4096"/>
      <c r="L192" s="4097"/>
      <c r="M192" s="4095"/>
      <c r="N192" s="4095"/>
      <c r="O192" s="4095"/>
      <c r="P192" s="4095"/>
      <c r="Q192" s="4095"/>
      <c r="R192" s="4095"/>
      <c r="S192" s="4095"/>
      <c r="T192" s="4095"/>
      <c r="U192" s="4095"/>
      <c r="V192" s="4095"/>
      <c r="W192" s="4095"/>
      <c r="X192" s="4095"/>
      <c r="Y192" s="4095"/>
      <c r="Z192" s="4095"/>
      <c r="AA192" s="4095"/>
      <c r="AB192" s="4095"/>
      <c r="AC192" s="4095"/>
    </row>
    <row r="193" spans="1:29" s="4098" customFormat="1">
      <c r="A193" s="4095"/>
      <c r="B193" s="4095"/>
      <c r="C193" s="4095"/>
      <c r="D193" s="4095"/>
      <c r="E193" s="4095"/>
      <c r="F193" s="4095"/>
      <c r="G193" s="4095"/>
      <c r="H193" s="4095"/>
      <c r="I193" s="4095"/>
      <c r="J193" s="4095"/>
      <c r="K193" s="4096"/>
      <c r="L193" s="4097"/>
      <c r="M193" s="4095"/>
      <c r="N193" s="4095"/>
      <c r="O193" s="4095"/>
      <c r="P193" s="4095"/>
      <c r="Q193" s="4095"/>
      <c r="R193" s="4095"/>
      <c r="S193" s="4095"/>
      <c r="T193" s="4095"/>
      <c r="U193" s="4095"/>
      <c r="V193" s="4095"/>
      <c r="W193" s="4095"/>
      <c r="X193" s="4095"/>
      <c r="Y193" s="4095"/>
      <c r="Z193" s="4095"/>
      <c r="AA193" s="4095"/>
      <c r="AB193" s="4095"/>
      <c r="AC193" s="4095"/>
    </row>
    <row r="194" spans="1:29" s="4098" customFormat="1">
      <c r="A194" s="4095"/>
      <c r="B194" s="4095"/>
      <c r="C194" s="4095"/>
      <c r="D194" s="4095"/>
      <c r="E194" s="4095"/>
      <c r="F194" s="4095"/>
      <c r="G194" s="4095"/>
      <c r="H194" s="4095"/>
      <c r="I194" s="4095"/>
      <c r="J194" s="4095"/>
      <c r="K194" s="4096"/>
      <c r="L194" s="4097"/>
      <c r="M194" s="4095"/>
      <c r="N194" s="4095"/>
      <c r="O194" s="4095"/>
      <c r="P194" s="4095"/>
      <c r="Q194" s="4095"/>
      <c r="R194" s="4095"/>
      <c r="S194" s="4095"/>
      <c r="T194" s="4095"/>
      <c r="U194" s="4095"/>
      <c r="V194" s="4095"/>
      <c r="W194" s="4095"/>
      <c r="X194" s="4095"/>
      <c r="Y194" s="4095"/>
      <c r="Z194" s="4095"/>
      <c r="AA194" s="4095"/>
      <c r="AB194" s="4095"/>
      <c r="AC194" s="4095"/>
    </row>
    <row r="195" spans="1:29" s="4098" customFormat="1">
      <c r="A195" s="4095"/>
      <c r="B195" s="4095"/>
      <c r="C195" s="4095"/>
      <c r="D195" s="4095"/>
      <c r="E195" s="4095"/>
      <c r="F195" s="4095"/>
      <c r="G195" s="4095"/>
      <c r="H195" s="4095"/>
      <c r="I195" s="4095"/>
      <c r="J195" s="4095"/>
      <c r="K195" s="4096"/>
      <c r="L195" s="4097"/>
      <c r="M195" s="4095"/>
      <c r="N195" s="4095"/>
      <c r="O195" s="4095"/>
      <c r="P195" s="4095"/>
      <c r="Q195" s="4095"/>
      <c r="R195" s="4095"/>
      <c r="S195" s="4095"/>
      <c r="T195" s="4095"/>
      <c r="U195" s="4095"/>
      <c r="V195" s="4095"/>
      <c r="W195" s="4095"/>
      <c r="X195" s="4095"/>
      <c r="Y195" s="4095"/>
      <c r="Z195" s="4095"/>
      <c r="AA195" s="4095"/>
      <c r="AB195" s="4095"/>
      <c r="AC195" s="4095"/>
    </row>
    <row r="196" spans="1:29" s="4098" customFormat="1">
      <c r="A196" s="4095"/>
      <c r="B196" s="4095"/>
      <c r="C196" s="4095"/>
      <c r="D196" s="4095"/>
      <c r="E196" s="4095"/>
      <c r="F196" s="4095"/>
      <c r="G196" s="4095"/>
      <c r="H196" s="4095"/>
      <c r="I196" s="4095"/>
      <c r="J196" s="4095"/>
      <c r="K196" s="4096"/>
      <c r="L196" s="4097"/>
      <c r="M196" s="4095"/>
      <c r="N196" s="4095"/>
      <c r="O196" s="4095"/>
      <c r="P196" s="4095"/>
      <c r="Q196" s="4095"/>
      <c r="R196" s="4095"/>
      <c r="S196" s="4095"/>
      <c r="T196" s="4095"/>
      <c r="U196" s="4095"/>
      <c r="V196" s="4095"/>
      <c r="W196" s="4095"/>
      <c r="X196" s="4095"/>
      <c r="Y196" s="4095"/>
      <c r="Z196" s="4095"/>
      <c r="AA196" s="4095"/>
      <c r="AB196" s="4095"/>
      <c r="AC196" s="4095"/>
    </row>
    <row r="197" spans="1:29" s="4098" customFormat="1">
      <c r="A197" s="4095"/>
      <c r="B197" s="4095"/>
      <c r="C197" s="4095"/>
      <c r="D197" s="4095"/>
      <c r="E197" s="4095"/>
      <c r="F197" s="4095"/>
      <c r="G197" s="4095"/>
      <c r="H197" s="4095"/>
      <c r="I197" s="4095"/>
      <c r="J197" s="4095"/>
      <c r="K197" s="4096"/>
      <c r="L197" s="4097"/>
      <c r="M197" s="4095"/>
      <c r="N197" s="4095"/>
      <c r="O197" s="4095"/>
      <c r="P197" s="4095"/>
      <c r="Q197" s="4095"/>
      <c r="R197" s="4095"/>
      <c r="S197" s="4095"/>
      <c r="T197" s="4095"/>
      <c r="U197" s="4095"/>
      <c r="V197" s="4095"/>
      <c r="W197" s="4095"/>
      <c r="X197" s="4095"/>
      <c r="Y197" s="4095"/>
      <c r="Z197" s="4095"/>
      <c r="AA197" s="4095"/>
      <c r="AB197" s="4095"/>
      <c r="AC197" s="4095"/>
    </row>
    <row r="198" spans="1:29" s="4098" customFormat="1">
      <c r="A198" s="4095"/>
      <c r="B198" s="4095"/>
      <c r="C198" s="4095"/>
      <c r="D198" s="4095"/>
      <c r="E198" s="4095"/>
      <c r="F198" s="4095"/>
      <c r="G198" s="4095"/>
      <c r="H198" s="4095"/>
      <c r="I198" s="4095"/>
      <c r="J198" s="4095"/>
      <c r="K198" s="4096"/>
      <c r="L198" s="4097"/>
      <c r="M198" s="4095"/>
      <c r="N198" s="4095"/>
      <c r="O198" s="4095"/>
      <c r="P198" s="4095"/>
      <c r="Q198" s="4095"/>
      <c r="R198" s="4095"/>
      <c r="S198" s="4095"/>
      <c r="T198" s="4095"/>
      <c r="U198" s="4095"/>
      <c r="V198" s="4095"/>
      <c r="W198" s="4095"/>
      <c r="X198" s="4095"/>
      <c r="Y198" s="4095"/>
      <c r="Z198" s="4095"/>
      <c r="AA198" s="4095"/>
      <c r="AB198" s="4095"/>
      <c r="AC198" s="4095"/>
    </row>
    <row r="199" spans="1:29" s="4098" customFormat="1">
      <c r="A199" s="4095"/>
      <c r="B199" s="4095"/>
      <c r="C199" s="4095"/>
      <c r="D199" s="4095"/>
      <c r="E199" s="4095"/>
      <c r="F199" s="4095"/>
      <c r="G199" s="4095"/>
      <c r="H199" s="4095"/>
      <c r="I199" s="4095"/>
      <c r="J199" s="4095"/>
      <c r="K199" s="4096"/>
      <c r="L199" s="4097"/>
      <c r="M199" s="4095"/>
      <c r="N199" s="4095"/>
      <c r="O199" s="4095"/>
      <c r="P199" s="4095"/>
      <c r="Q199" s="4095"/>
      <c r="R199" s="4095"/>
      <c r="S199" s="4095"/>
      <c r="T199" s="4095"/>
      <c r="U199" s="4095"/>
      <c r="V199" s="4095"/>
      <c r="W199" s="4095"/>
      <c r="X199" s="4095"/>
      <c r="Y199" s="4095"/>
      <c r="Z199" s="4095"/>
      <c r="AA199" s="4095"/>
      <c r="AB199" s="4095"/>
      <c r="AC199" s="4095"/>
    </row>
    <row r="200" spans="1:29" s="4098" customFormat="1">
      <c r="A200" s="4095"/>
      <c r="B200" s="4095"/>
      <c r="C200" s="4095"/>
      <c r="D200" s="4095"/>
      <c r="E200" s="4095"/>
      <c r="F200" s="4095"/>
      <c r="G200" s="4095"/>
      <c r="H200" s="4095"/>
      <c r="I200" s="4095"/>
      <c r="J200" s="4095"/>
      <c r="K200" s="4096"/>
      <c r="L200" s="4097"/>
      <c r="M200" s="4095"/>
      <c r="N200" s="4095"/>
      <c r="O200" s="4095"/>
      <c r="P200" s="4095"/>
      <c r="Q200" s="4095"/>
      <c r="R200" s="4095"/>
      <c r="S200" s="4095"/>
      <c r="T200" s="4095"/>
      <c r="U200" s="4095"/>
      <c r="V200" s="4095"/>
      <c r="W200" s="4095"/>
      <c r="X200" s="4095"/>
      <c r="Y200" s="4095"/>
      <c r="Z200" s="4095"/>
      <c r="AA200" s="4095"/>
      <c r="AB200" s="4095"/>
      <c r="AC200" s="4095"/>
    </row>
    <row r="201" spans="1:29" s="4098" customFormat="1">
      <c r="A201" s="4095"/>
      <c r="B201" s="4095"/>
      <c r="C201" s="4095"/>
      <c r="D201" s="4095"/>
      <c r="E201" s="4095"/>
      <c r="F201" s="4095"/>
      <c r="G201" s="4095"/>
      <c r="H201" s="4095"/>
      <c r="I201" s="4095"/>
      <c r="J201" s="4095"/>
      <c r="K201" s="4096"/>
      <c r="L201" s="4097"/>
      <c r="M201" s="4095"/>
      <c r="N201" s="4095"/>
      <c r="O201" s="4095"/>
      <c r="P201" s="4095"/>
      <c r="Q201" s="4095"/>
      <c r="R201" s="4095"/>
      <c r="S201" s="4095"/>
      <c r="T201" s="4095"/>
      <c r="U201" s="4095"/>
      <c r="V201" s="4095"/>
      <c r="W201" s="4095"/>
      <c r="X201" s="4095"/>
      <c r="Y201" s="4095"/>
      <c r="Z201" s="4095"/>
      <c r="AA201" s="4095"/>
      <c r="AB201" s="4095"/>
      <c r="AC201" s="4095"/>
    </row>
    <row r="202" spans="1:29" s="4098" customFormat="1">
      <c r="A202" s="4095"/>
      <c r="B202" s="4095"/>
      <c r="C202" s="4095"/>
      <c r="D202" s="4095"/>
      <c r="E202" s="4095"/>
      <c r="F202" s="4095"/>
      <c r="G202" s="4095"/>
      <c r="H202" s="4095"/>
      <c r="I202" s="4095"/>
      <c r="J202" s="4095"/>
      <c r="K202" s="4096"/>
      <c r="L202" s="4097"/>
      <c r="M202" s="4095"/>
      <c r="N202" s="4095"/>
      <c r="O202" s="4095"/>
      <c r="P202" s="4095"/>
      <c r="Q202" s="4095"/>
      <c r="R202" s="4095"/>
      <c r="S202" s="4095"/>
      <c r="T202" s="4095"/>
      <c r="U202" s="4095"/>
      <c r="V202" s="4095"/>
      <c r="W202" s="4095"/>
      <c r="X202" s="4095"/>
      <c r="Y202" s="4095"/>
      <c r="Z202" s="4095"/>
      <c r="AA202" s="4095"/>
      <c r="AB202" s="4095"/>
      <c r="AC202" s="4095"/>
    </row>
    <row r="203" spans="1:29" s="4098" customFormat="1">
      <c r="A203" s="4095"/>
      <c r="B203" s="4095"/>
      <c r="C203" s="4095"/>
      <c r="D203" s="4095"/>
      <c r="E203" s="4095"/>
      <c r="F203" s="4095"/>
      <c r="G203" s="4095"/>
      <c r="H203" s="4095"/>
      <c r="I203" s="4095"/>
      <c r="J203" s="4095"/>
      <c r="K203" s="4096"/>
      <c r="L203" s="4097"/>
      <c r="M203" s="4095"/>
      <c r="N203" s="4095"/>
      <c r="O203" s="4095"/>
      <c r="P203" s="4095"/>
      <c r="Q203" s="4095"/>
      <c r="R203" s="4095"/>
      <c r="S203" s="4095"/>
      <c r="T203" s="4095"/>
      <c r="U203" s="4095"/>
      <c r="V203" s="4095"/>
      <c r="W203" s="4095"/>
      <c r="X203" s="4095"/>
      <c r="Y203" s="4095"/>
      <c r="Z203" s="4095"/>
      <c r="AA203" s="4095"/>
      <c r="AB203" s="4095"/>
      <c r="AC203" s="4095"/>
    </row>
    <row r="204" spans="1:29" s="4098" customFormat="1">
      <c r="A204" s="4095"/>
      <c r="B204" s="4095"/>
      <c r="C204" s="4095"/>
      <c r="D204" s="4095"/>
      <c r="E204" s="4095"/>
      <c r="F204" s="4095"/>
      <c r="G204" s="4095"/>
      <c r="H204" s="4095"/>
      <c r="I204" s="4095"/>
      <c r="J204" s="4095"/>
      <c r="K204" s="4096"/>
      <c r="L204" s="4097"/>
      <c r="M204" s="4095"/>
      <c r="N204" s="4095"/>
      <c r="O204" s="4095"/>
      <c r="P204" s="4095"/>
      <c r="Q204" s="4095"/>
      <c r="R204" s="4095"/>
      <c r="S204" s="4095"/>
      <c r="T204" s="4095"/>
      <c r="U204" s="4095"/>
      <c r="V204" s="4095"/>
      <c r="W204" s="4095"/>
      <c r="X204" s="4095"/>
      <c r="Y204" s="4095"/>
      <c r="Z204" s="4095"/>
      <c r="AA204" s="4095"/>
      <c r="AB204" s="4095"/>
      <c r="AC204" s="4095"/>
    </row>
    <row r="205" spans="1:29" s="4098" customFormat="1">
      <c r="A205" s="4095"/>
      <c r="B205" s="4095"/>
      <c r="C205" s="4095"/>
      <c r="D205" s="4095"/>
      <c r="E205" s="4095"/>
      <c r="F205" s="4095"/>
      <c r="G205" s="4095"/>
      <c r="H205" s="4095"/>
      <c r="I205" s="4095"/>
      <c r="J205" s="4095"/>
      <c r="K205" s="4096"/>
      <c r="L205" s="4097"/>
      <c r="M205" s="4095"/>
      <c r="N205" s="4095"/>
      <c r="O205" s="4095"/>
      <c r="P205" s="4095"/>
      <c r="Q205" s="4095"/>
      <c r="R205" s="4095"/>
      <c r="S205" s="4095"/>
      <c r="T205" s="4095"/>
      <c r="U205" s="4095"/>
      <c r="V205" s="4095"/>
      <c r="W205" s="4095"/>
      <c r="X205" s="4095"/>
      <c r="Y205" s="4095"/>
      <c r="Z205" s="4095"/>
      <c r="AA205" s="4095"/>
      <c r="AB205" s="4095"/>
      <c r="AC205" s="4095"/>
    </row>
    <row r="206" spans="1:29" s="4098" customFormat="1">
      <c r="A206" s="4095"/>
      <c r="B206" s="4095"/>
      <c r="C206" s="4095"/>
      <c r="D206" s="4095"/>
      <c r="E206" s="4095"/>
      <c r="F206" s="4095"/>
      <c r="G206" s="4095"/>
      <c r="H206" s="4095"/>
      <c r="I206" s="4095"/>
      <c r="J206" s="4095"/>
      <c r="K206" s="4096"/>
      <c r="L206" s="4097"/>
      <c r="M206" s="4095"/>
      <c r="N206" s="4095"/>
      <c r="O206" s="4095"/>
      <c r="P206" s="4095"/>
      <c r="Q206" s="4095"/>
      <c r="R206" s="4095"/>
      <c r="S206" s="4095"/>
      <c r="T206" s="4095"/>
      <c r="U206" s="4095"/>
      <c r="V206" s="4095"/>
      <c r="W206" s="4095"/>
      <c r="X206" s="4095"/>
      <c r="Y206" s="4095"/>
      <c r="Z206" s="4095"/>
      <c r="AA206" s="4095"/>
      <c r="AB206" s="4095"/>
      <c r="AC206" s="4095"/>
    </row>
    <row r="207" spans="1:29" s="4098" customFormat="1">
      <c r="A207" s="4095"/>
      <c r="B207" s="4095"/>
      <c r="C207" s="4095"/>
      <c r="D207" s="4095"/>
      <c r="E207" s="4095"/>
      <c r="F207" s="4095"/>
      <c r="G207" s="4095"/>
      <c r="H207" s="4095"/>
      <c r="I207" s="4095"/>
      <c r="J207" s="4095"/>
      <c r="K207" s="4096"/>
      <c r="L207" s="4097"/>
      <c r="M207" s="4095"/>
      <c r="N207" s="4095"/>
      <c r="O207" s="4095"/>
      <c r="P207" s="4095"/>
      <c r="Q207" s="4095"/>
      <c r="R207" s="4095"/>
      <c r="S207" s="4095"/>
      <c r="T207" s="4095"/>
      <c r="U207" s="4095"/>
      <c r="V207" s="4095"/>
      <c r="W207" s="4095"/>
      <c r="X207" s="4095"/>
      <c r="Y207" s="4095"/>
      <c r="Z207" s="4095"/>
      <c r="AA207" s="4095"/>
      <c r="AB207" s="4095"/>
      <c r="AC207" s="4095"/>
    </row>
    <row r="208" spans="1:29" s="4098" customFormat="1">
      <c r="A208" s="4095"/>
      <c r="B208" s="4095"/>
      <c r="C208" s="4095"/>
      <c r="D208" s="4095"/>
      <c r="E208" s="4095"/>
      <c r="F208" s="4095"/>
      <c r="G208" s="4095"/>
      <c r="H208" s="4095"/>
      <c r="I208" s="4095"/>
      <c r="J208" s="4095"/>
      <c r="K208" s="4096"/>
      <c r="L208" s="4097"/>
      <c r="M208" s="4095"/>
      <c r="N208" s="4095"/>
      <c r="O208" s="4095"/>
      <c r="P208" s="4095"/>
      <c r="Q208" s="4095"/>
      <c r="R208" s="4095"/>
      <c r="S208" s="4095"/>
      <c r="T208" s="4095"/>
      <c r="U208" s="4095"/>
      <c r="V208" s="4095"/>
      <c r="W208" s="4095"/>
      <c r="X208" s="4095"/>
      <c r="Y208" s="4095"/>
      <c r="Z208" s="4095"/>
      <c r="AA208" s="4095"/>
      <c r="AB208" s="4095"/>
      <c r="AC208" s="4095"/>
    </row>
    <row r="209" spans="1:29" s="4098" customFormat="1">
      <c r="A209" s="4095"/>
      <c r="B209" s="4095"/>
      <c r="C209" s="4095"/>
      <c r="D209" s="4095"/>
      <c r="E209" s="4095"/>
      <c r="F209" s="4095"/>
      <c r="G209" s="4095"/>
      <c r="H209" s="4095"/>
      <c r="I209" s="4095"/>
      <c r="J209" s="4095"/>
      <c r="K209" s="4096"/>
      <c r="L209" s="4097"/>
      <c r="M209" s="4095"/>
      <c r="N209" s="4095"/>
      <c r="O209" s="4095"/>
      <c r="P209" s="4095"/>
      <c r="Q209" s="4095"/>
      <c r="R209" s="4095"/>
      <c r="S209" s="4095"/>
      <c r="T209" s="4095"/>
      <c r="U209" s="4095"/>
      <c r="V209" s="4095"/>
      <c r="W209" s="4095"/>
      <c r="X209" s="4095"/>
      <c r="Y209" s="4095"/>
      <c r="Z209" s="4095"/>
      <c r="AA209" s="4095"/>
      <c r="AB209" s="4095"/>
      <c r="AC209" s="4095"/>
    </row>
    <row r="210" spans="1:29" s="4098" customFormat="1">
      <c r="A210" s="4095"/>
      <c r="B210" s="4095"/>
      <c r="C210" s="4095"/>
      <c r="D210" s="4095"/>
      <c r="E210" s="4095"/>
      <c r="F210" s="4095"/>
      <c r="G210" s="4095"/>
      <c r="H210" s="4095"/>
      <c r="I210" s="4095"/>
      <c r="J210" s="4095"/>
      <c r="K210" s="4096"/>
      <c r="L210" s="4097"/>
      <c r="M210" s="4095"/>
      <c r="N210" s="4095"/>
      <c r="O210" s="4095"/>
      <c r="P210" s="4095"/>
      <c r="Q210" s="4095"/>
      <c r="R210" s="4095"/>
      <c r="S210" s="4095"/>
      <c r="T210" s="4095"/>
      <c r="U210" s="4095"/>
      <c r="V210" s="4095"/>
      <c r="W210" s="4095"/>
      <c r="X210" s="4095"/>
      <c r="Y210" s="4095"/>
      <c r="Z210" s="4095"/>
      <c r="AA210" s="4095"/>
      <c r="AB210" s="4095"/>
      <c r="AC210" s="4095"/>
    </row>
    <row r="211" spans="1:29" s="4098" customFormat="1">
      <c r="A211" s="4095"/>
      <c r="B211" s="4095"/>
      <c r="C211" s="4095"/>
      <c r="D211" s="4095"/>
      <c r="E211" s="4095"/>
      <c r="F211" s="4095"/>
      <c r="G211" s="4095"/>
      <c r="H211" s="4095"/>
      <c r="I211" s="4095"/>
      <c r="J211" s="4095"/>
      <c r="K211" s="4096"/>
      <c r="L211" s="4097"/>
      <c r="M211" s="4095"/>
      <c r="N211" s="4095"/>
      <c r="O211" s="4095"/>
      <c r="P211" s="4095"/>
      <c r="Q211" s="4095"/>
      <c r="R211" s="4095"/>
      <c r="S211" s="4095"/>
      <c r="T211" s="4095"/>
      <c r="U211" s="4095"/>
      <c r="V211" s="4095"/>
      <c r="W211" s="4095"/>
      <c r="X211" s="4095"/>
      <c r="Y211" s="4095"/>
      <c r="Z211" s="4095"/>
      <c r="AA211" s="4095"/>
      <c r="AB211" s="4095"/>
      <c r="AC211" s="4095"/>
    </row>
    <row r="212" spans="1:29" s="4098" customFormat="1">
      <c r="A212" s="4095"/>
      <c r="B212" s="4095"/>
      <c r="C212" s="4095"/>
      <c r="D212" s="4095"/>
      <c r="E212" s="4095"/>
      <c r="F212" s="4095"/>
      <c r="G212" s="4095"/>
      <c r="H212" s="4095"/>
      <c r="I212" s="4095"/>
      <c r="J212" s="4095"/>
      <c r="K212" s="4096"/>
      <c r="L212" s="4097"/>
      <c r="M212" s="4095"/>
      <c r="N212" s="4095"/>
      <c r="O212" s="4095"/>
      <c r="P212" s="4095"/>
      <c r="Q212" s="4095"/>
      <c r="R212" s="4095"/>
      <c r="S212" s="4095"/>
      <c r="T212" s="4095"/>
      <c r="U212" s="4095"/>
      <c r="V212" s="4095"/>
      <c r="W212" s="4095"/>
      <c r="X212" s="4095"/>
      <c r="Y212" s="4095"/>
      <c r="Z212" s="4095"/>
      <c r="AA212" s="4095"/>
      <c r="AB212" s="4095"/>
      <c r="AC212" s="4095"/>
    </row>
    <row r="213" spans="1:29" s="4098" customFormat="1">
      <c r="A213" s="4095"/>
      <c r="B213" s="4095"/>
      <c r="C213" s="4095"/>
      <c r="D213" s="4095"/>
      <c r="E213" s="4095"/>
      <c r="F213" s="4095"/>
      <c r="G213" s="4095"/>
      <c r="H213" s="4095"/>
      <c r="I213" s="4095"/>
      <c r="J213" s="4095"/>
      <c r="K213" s="4096"/>
      <c r="L213" s="4097"/>
      <c r="M213" s="4095"/>
      <c r="N213" s="4095"/>
      <c r="O213" s="4095"/>
      <c r="P213" s="4095"/>
      <c r="Q213" s="4095"/>
      <c r="R213" s="4095"/>
      <c r="S213" s="4095"/>
      <c r="T213" s="4095"/>
      <c r="U213" s="4095"/>
      <c r="V213" s="4095"/>
      <c r="W213" s="4095"/>
      <c r="X213" s="4095"/>
      <c r="Y213" s="4095"/>
      <c r="Z213" s="4095"/>
      <c r="AA213" s="4095"/>
      <c r="AB213" s="4095"/>
      <c r="AC213" s="4095"/>
    </row>
    <row r="214" spans="1:29" s="4098" customFormat="1">
      <c r="A214" s="4095"/>
      <c r="B214" s="4095"/>
      <c r="C214" s="4095"/>
      <c r="D214" s="4095"/>
      <c r="E214" s="4095"/>
      <c r="F214" s="4095"/>
      <c r="G214" s="4095"/>
      <c r="H214" s="4095"/>
      <c r="I214" s="4095"/>
      <c r="J214" s="4095"/>
      <c r="K214" s="4096"/>
      <c r="L214" s="4097"/>
      <c r="M214" s="4095"/>
      <c r="N214" s="4095"/>
      <c r="O214" s="4095"/>
      <c r="P214" s="4095"/>
      <c r="Q214" s="4095"/>
      <c r="R214" s="4095"/>
      <c r="S214" s="4095"/>
      <c r="T214" s="4095"/>
      <c r="U214" s="4095"/>
      <c r="V214" s="4095"/>
      <c r="W214" s="4095"/>
      <c r="X214" s="4095"/>
      <c r="Y214" s="4095"/>
      <c r="Z214" s="4095"/>
      <c r="AA214" s="4095"/>
      <c r="AB214" s="4095"/>
      <c r="AC214" s="4095"/>
    </row>
    <row r="215" spans="1:29" s="4098" customFormat="1">
      <c r="A215" s="4095"/>
      <c r="B215" s="4095"/>
      <c r="C215" s="4095"/>
      <c r="D215" s="4095"/>
      <c r="E215" s="4095"/>
      <c r="F215" s="4095"/>
      <c r="G215" s="4095"/>
      <c r="H215" s="4095"/>
      <c r="I215" s="4095"/>
      <c r="J215" s="4095"/>
      <c r="K215" s="4096"/>
      <c r="L215" s="4097"/>
      <c r="M215" s="4095"/>
      <c r="N215" s="4095"/>
      <c r="O215" s="4095"/>
      <c r="P215" s="4095"/>
      <c r="Q215" s="4095"/>
      <c r="R215" s="4095"/>
      <c r="S215" s="4095"/>
      <c r="T215" s="4095"/>
      <c r="U215" s="4095"/>
      <c r="V215" s="4095"/>
      <c r="W215" s="4095"/>
      <c r="X215" s="4095"/>
      <c r="Y215" s="4095"/>
      <c r="Z215" s="4095"/>
      <c r="AA215" s="4095"/>
      <c r="AB215" s="4095"/>
      <c r="AC215" s="4095"/>
    </row>
    <row r="216" spans="1:29" s="4098" customFormat="1">
      <c r="A216" s="4095"/>
      <c r="B216" s="4095"/>
      <c r="C216" s="4095"/>
      <c r="D216" s="4095"/>
      <c r="E216" s="4095"/>
      <c r="F216" s="4095"/>
      <c r="G216" s="4095"/>
      <c r="H216" s="4095"/>
      <c r="I216" s="4095"/>
      <c r="J216" s="4095"/>
      <c r="K216" s="4096"/>
      <c r="L216" s="4097"/>
      <c r="M216" s="4095"/>
      <c r="N216" s="4095"/>
      <c r="O216" s="4095"/>
      <c r="P216" s="4095"/>
      <c r="Q216" s="4095"/>
      <c r="R216" s="4095"/>
      <c r="S216" s="4095"/>
      <c r="T216" s="4095"/>
      <c r="U216" s="4095"/>
      <c r="V216" s="4095"/>
      <c r="W216" s="4095"/>
      <c r="X216" s="4095"/>
      <c r="Y216" s="4095"/>
      <c r="Z216" s="4095"/>
      <c r="AA216" s="4095"/>
      <c r="AB216" s="4095"/>
      <c r="AC216" s="4095"/>
    </row>
    <row r="217" spans="1:29" s="4098" customFormat="1">
      <c r="A217" s="4095"/>
      <c r="B217" s="4095"/>
      <c r="C217" s="4095"/>
      <c r="D217" s="4095"/>
      <c r="E217" s="4095"/>
      <c r="F217" s="4095"/>
      <c r="G217" s="4095"/>
      <c r="H217" s="4095"/>
      <c r="I217" s="4095"/>
      <c r="J217" s="4095"/>
      <c r="K217" s="4096"/>
      <c r="L217" s="4097"/>
      <c r="M217" s="4095"/>
      <c r="N217" s="4095"/>
      <c r="O217" s="4095"/>
      <c r="P217" s="4095"/>
      <c r="Q217" s="4095"/>
      <c r="R217" s="4095"/>
      <c r="S217" s="4095"/>
      <c r="T217" s="4095"/>
      <c r="U217" s="4095"/>
      <c r="V217" s="4095"/>
      <c r="W217" s="4095"/>
      <c r="X217" s="4095"/>
      <c r="Y217" s="4095"/>
      <c r="Z217" s="4095"/>
      <c r="AA217" s="4095"/>
      <c r="AB217" s="4095"/>
      <c r="AC217" s="4095"/>
    </row>
    <row r="218" spans="1:29" s="4098" customFormat="1">
      <c r="A218" s="4095"/>
      <c r="B218" s="4095"/>
      <c r="C218" s="4095"/>
      <c r="D218" s="4095"/>
      <c r="E218" s="4095"/>
      <c r="F218" s="4095"/>
      <c r="G218" s="4095"/>
      <c r="H218" s="4095"/>
      <c r="I218" s="4095"/>
      <c r="J218" s="4095"/>
      <c r="K218" s="4096"/>
      <c r="L218" s="4097"/>
      <c r="M218" s="4095"/>
      <c r="N218" s="4095"/>
      <c r="O218" s="4095"/>
      <c r="P218" s="4095"/>
      <c r="Q218" s="4095"/>
      <c r="R218" s="4095"/>
      <c r="S218" s="4095"/>
      <c r="T218" s="4095"/>
      <c r="U218" s="4095"/>
      <c r="V218" s="4095"/>
      <c r="W218" s="4095"/>
      <c r="X218" s="4095"/>
      <c r="Y218" s="4095"/>
      <c r="Z218" s="4095"/>
      <c r="AA218" s="4095"/>
      <c r="AB218" s="4095"/>
      <c r="AC218" s="4095"/>
    </row>
    <row r="219" spans="1:29" s="4098" customFormat="1">
      <c r="A219" s="4095"/>
      <c r="B219" s="4095"/>
      <c r="C219" s="4095"/>
      <c r="D219" s="4095"/>
      <c r="E219" s="4095"/>
      <c r="F219" s="4095"/>
      <c r="G219" s="4095"/>
      <c r="H219" s="4095"/>
      <c r="I219" s="4095"/>
      <c r="J219" s="4095"/>
      <c r="K219" s="4096"/>
      <c r="L219" s="4097"/>
      <c r="M219" s="4095"/>
      <c r="N219" s="4095"/>
      <c r="O219" s="4095"/>
      <c r="P219" s="4095"/>
      <c r="Q219" s="4095"/>
      <c r="R219" s="4095"/>
      <c r="S219" s="4095"/>
      <c r="T219" s="4095"/>
      <c r="U219" s="4095"/>
      <c r="V219" s="4095"/>
      <c r="W219" s="4095"/>
      <c r="X219" s="4095"/>
      <c r="Y219" s="4095"/>
      <c r="Z219" s="4095"/>
      <c r="AA219" s="4095"/>
      <c r="AB219" s="4095"/>
      <c r="AC219" s="4095"/>
    </row>
    <row r="220" spans="1:29" s="4098" customFormat="1">
      <c r="A220" s="4095"/>
      <c r="B220" s="4095"/>
      <c r="C220" s="4095"/>
      <c r="D220" s="4095"/>
      <c r="E220" s="4095"/>
      <c r="F220" s="4095"/>
      <c r="G220" s="4095"/>
      <c r="H220" s="4095"/>
      <c r="I220" s="4095"/>
      <c r="J220" s="4095"/>
      <c r="K220" s="4096"/>
      <c r="L220" s="4097"/>
      <c r="M220" s="4095"/>
      <c r="N220" s="4095"/>
      <c r="O220" s="4095"/>
      <c r="P220" s="4095"/>
      <c r="Q220" s="4095"/>
      <c r="R220" s="4095"/>
      <c r="S220" s="4095"/>
      <c r="T220" s="4095"/>
      <c r="U220" s="4095"/>
      <c r="V220" s="4095"/>
      <c r="W220" s="4095"/>
      <c r="X220" s="4095"/>
      <c r="Y220" s="4095"/>
      <c r="Z220" s="4095"/>
      <c r="AA220" s="4095"/>
      <c r="AB220" s="4095"/>
      <c r="AC220" s="4095"/>
    </row>
    <row r="221" spans="1:29" s="4098" customFormat="1">
      <c r="A221" s="4095"/>
      <c r="B221" s="4095"/>
      <c r="C221" s="4095"/>
      <c r="D221" s="4095"/>
      <c r="E221" s="4095"/>
      <c r="F221" s="4095"/>
      <c r="G221" s="4095"/>
      <c r="H221" s="4095"/>
      <c r="I221" s="4095"/>
      <c r="J221" s="4095"/>
      <c r="K221" s="4096"/>
      <c r="L221" s="4097"/>
      <c r="M221" s="4095"/>
      <c r="N221" s="4095"/>
      <c r="O221" s="4095"/>
      <c r="P221" s="4095"/>
      <c r="Q221" s="4095"/>
      <c r="R221" s="4095"/>
      <c r="S221" s="4095"/>
      <c r="T221" s="4095"/>
      <c r="U221" s="4095"/>
      <c r="V221" s="4095"/>
      <c r="W221" s="4095"/>
      <c r="X221" s="4095"/>
      <c r="Y221" s="4095"/>
      <c r="Z221" s="4095"/>
      <c r="AA221" s="4095"/>
      <c r="AB221" s="4095"/>
      <c r="AC221" s="4095"/>
    </row>
    <row r="222" spans="1:29" s="4098" customFormat="1">
      <c r="A222" s="4095"/>
      <c r="B222" s="4095"/>
      <c r="C222" s="4095"/>
      <c r="D222" s="4095"/>
      <c r="E222" s="4095"/>
      <c r="F222" s="4095"/>
      <c r="G222" s="4095"/>
      <c r="H222" s="4095"/>
      <c r="I222" s="4095"/>
      <c r="J222" s="4095"/>
      <c r="K222" s="4096"/>
      <c r="L222" s="4097"/>
      <c r="M222" s="4095"/>
      <c r="N222" s="4095"/>
      <c r="O222" s="4095"/>
      <c r="P222" s="4095"/>
      <c r="Q222" s="4095"/>
      <c r="R222" s="4095"/>
      <c r="S222" s="4095"/>
      <c r="T222" s="4095"/>
      <c r="U222" s="4095"/>
      <c r="V222" s="4095"/>
      <c r="W222" s="4095"/>
      <c r="X222" s="4095"/>
      <c r="Y222" s="4095"/>
      <c r="Z222" s="4095"/>
      <c r="AA222" s="4095"/>
      <c r="AB222" s="4095"/>
      <c r="AC222" s="4095"/>
    </row>
    <row r="223" spans="1:29" s="4098" customFormat="1">
      <c r="A223" s="4095"/>
      <c r="B223" s="4095"/>
      <c r="C223" s="4095"/>
      <c r="D223" s="4095"/>
      <c r="E223" s="4095"/>
      <c r="F223" s="4095"/>
      <c r="G223" s="4095"/>
      <c r="H223" s="4095"/>
      <c r="I223" s="4095"/>
      <c r="J223" s="4095"/>
      <c r="K223" s="4096"/>
      <c r="L223" s="4097"/>
      <c r="M223" s="4095"/>
      <c r="N223" s="4095"/>
      <c r="O223" s="4095"/>
      <c r="P223" s="4095"/>
      <c r="Q223" s="4095"/>
      <c r="R223" s="4095"/>
      <c r="S223" s="4095"/>
      <c r="T223" s="4095"/>
      <c r="U223" s="4095"/>
      <c r="V223" s="4095"/>
      <c r="W223" s="4095"/>
      <c r="X223" s="4095"/>
      <c r="Y223" s="4095"/>
      <c r="Z223" s="4095"/>
      <c r="AA223" s="4095"/>
      <c r="AB223" s="4095"/>
      <c r="AC223" s="4095"/>
    </row>
    <row r="224" spans="1:29" s="4098" customFormat="1">
      <c r="A224" s="4095"/>
      <c r="B224" s="4095"/>
      <c r="C224" s="4095"/>
      <c r="D224" s="4095"/>
      <c r="E224" s="4095"/>
      <c r="F224" s="4095"/>
      <c r="G224" s="4095"/>
      <c r="H224" s="4095"/>
      <c r="I224" s="4095"/>
      <c r="J224" s="4095"/>
      <c r="K224" s="4096"/>
      <c r="L224" s="4097"/>
      <c r="M224" s="4095"/>
      <c r="N224" s="4095"/>
      <c r="O224" s="4095"/>
      <c r="P224" s="4095"/>
      <c r="Q224" s="4095"/>
      <c r="R224" s="4095"/>
      <c r="S224" s="4095"/>
      <c r="T224" s="4095"/>
      <c r="U224" s="4095"/>
      <c r="V224" s="4095"/>
      <c r="W224" s="4095"/>
      <c r="X224" s="4095"/>
      <c r="Y224" s="4095"/>
      <c r="Z224" s="4095"/>
      <c r="AA224" s="4095"/>
      <c r="AB224" s="4095"/>
      <c r="AC224" s="4095"/>
    </row>
    <row r="225" spans="1:29" s="4098" customFormat="1">
      <c r="A225" s="4095"/>
      <c r="B225" s="4095"/>
      <c r="C225" s="4095"/>
      <c r="D225" s="4095"/>
      <c r="E225" s="4095"/>
      <c r="F225" s="4095"/>
      <c r="G225" s="4095"/>
      <c r="H225" s="4095"/>
      <c r="I225" s="4095"/>
      <c r="J225" s="4095"/>
      <c r="K225" s="4096"/>
      <c r="L225" s="4097"/>
      <c r="M225" s="4095"/>
      <c r="N225" s="4095"/>
      <c r="O225" s="4095"/>
      <c r="P225" s="4095"/>
      <c r="Q225" s="4095"/>
      <c r="R225" s="4095"/>
      <c r="S225" s="4095"/>
      <c r="T225" s="4095"/>
      <c r="U225" s="4095"/>
      <c r="V225" s="4095"/>
      <c r="W225" s="4095"/>
      <c r="X225" s="4095"/>
      <c r="Y225" s="4095"/>
      <c r="Z225" s="4095"/>
      <c r="AA225" s="4095"/>
      <c r="AB225" s="4095"/>
      <c r="AC225" s="4095"/>
    </row>
    <row r="226" spans="1:29" s="4098" customFormat="1">
      <c r="A226" s="4095"/>
      <c r="B226" s="4095"/>
      <c r="C226" s="4095"/>
      <c r="D226" s="4095"/>
      <c r="E226" s="4095"/>
      <c r="F226" s="4095"/>
      <c r="G226" s="4095"/>
      <c r="H226" s="4095"/>
      <c r="I226" s="4095"/>
      <c r="J226" s="4095"/>
      <c r="K226" s="4096"/>
      <c r="L226" s="4097"/>
      <c r="M226" s="4095"/>
      <c r="N226" s="4095"/>
      <c r="O226" s="4095"/>
      <c r="P226" s="4095"/>
      <c r="Q226" s="4095"/>
      <c r="R226" s="4095"/>
      <c r="S226" s="4095"/>
      <c r="T226" s="4095"/>
      <c r="U226" s="4095"/>
      <c r="V226" s="4095"/>
      <c r="W226" s="4095"/>
      <c r="X226" s="4095"/>
      <c r="Y226" s="4095"/>
      <c r="Z226" s="4095"/>
      <c r="AA226" s="4095"/>
      <c r="AB226" s="4095"/>
      <c r="AC226" s="4095"/>
    </row>
    <row r="227" spans="1:29" s="4098" customFormat="1">
      <c r="A227" s="4095"/>
      <c r="B227" s="4095"/>
      <c r="C227" s="4095"/>
      <c r="D227" s="4095"/>
      <c r="E227" s="4095"/>
      <c r="F227" s="4095"/>
      <c r="G227" s="4095"/>
      <c r="H227" s="4095"/>
      <c r="I227" s="4095"/>
      <c r="J227" s="4095"/>
      <c r="K227" s="4096"/>
      <c r="L227" s="4097"/>
      <c r="M227" s="4095"/>
      <c r="N227" s="4095"/>
      <c r="O227" s="4095"/>
      <c r="P227" s="4095"/>
      <c r="Q227" s="4095"/>
      <c r="R227" s="4095"/>
      <c r="S227" s="4095"/>
      <c r="T227" s="4095"/>
      <c r="U227" s="4095"/>
      <c r="V227" s="4095"/>
      <c r="W227" s="4095"/>
      <c r="X227" s="4095"/>
      <c r="Y227" s="4095"/>
      <c r="Z227" s="4095"/>
      <c r="AA227" s="4095"/>
      <c r="AB227" s="4095"/>
      <c r="AC227" s="4095"/>
    </row>
    <row r="228" spans="1:29" s="4098" customFormat="1">
      <c r="A228" s="4095"/>
      <c r="B228" s="4095"/>
      <c r="C228" s="4095"/>
      <c r="D228" s="4095"/>
      <c r="E228" s="4095"/>
      <c r="F228" s="4095"/>
      <c r="G228" s="4095"/>
      <c r="H228" s="4095"/>
      <c r="I228" s="4095"/>
      <c r="J228" s="4095"/>
      <c r="K228" s="4096"/>
      <c r="L228" s="4097"/>
      <c r="M228" s="4095"/>
      <c r="N228" s="4095"/>
      <c r="O228" s="4095"/>
      <c r="P228" s="4095"/>
      <c r="Q228" s="4095"/>
      <c r="R228" s="4095"/>
      <c r="S228" s="4095"/>
      <c r="T228" s="4095"/>
      <c r="U228" s="4095"/>
      <c r="V228" s="4095"/>
      <c r="W228" s="4095"/>
      <c r="X228" s="4095"/>
      <c r="Y228" s="4095"/>
      <c r="Z228" s="4095"/>
      <c r="AA228" s="4095"/>
      <c r="AB228" s="4095"/>
      <c r="AC228" s="4095"/>
    </row>
    <row r="229" spans="1:29" s="4098" customFormat="1">
      <c r="A229" s="4095"/>
      <c r="B229" s="4095"/>
      <c r="C229" s="4095"/>
      <c r="D229" s="4095"/>
      <c r="E229" s="4095"/>
      <c r="F229" s="4095"/>
      <c r="G229" s="4095"/>
      <c r="H229" s="4095"/>
      <c r="I229" s="4095"/>
      <c r="J229" s="4095"/>
      <c r="K229" s="4096"/>
      <c r="L229" s="4097"/>
      <c r="M229" s="4095"/>
      <c r="N229" s="4095"/>
      <c r="O229" s="4095"/>
      <c r="P229" s="4095"/>
      <c r="Q229" s="4095"/>
      <c r="R229" s="4095"/>
      <c r="S229" s="4095"/>
      <c r="T229" s="4095"/>
      <c r="U229" s="4095"/>
      <c r="V229" s="4095"/>
      <c r="W229" s="4095"/>
      <c r="X229" s="4095"/>
      <c r="Y229" s="4095"/>
      <c r="Z229" s="4095"/>
      <c r="AA229" s="4095"/>
      <c r="AB229" s="4095"/>
      <c r="AC229" s="4095"/>
    </row>
    <row r="230" spans="1:29" s="4098" customFormat="1">
      <c r="A230" s="4095"/>
      <c r="B230" s="4095"/>
      <c r="C230" s="4095"/>
      <c r="D230" s="4095"/>
      <c r="E230" s="4095"/>
      <c r="F230" s="4095"/>
      <c r="G230" s="4095"/>
      <c r="H230" s="4095"/>
      <c r="I230" s="4095"/>
      <c r="J230" s="4095"/>
      <c r="K230" s="4096"/>
      <c r="L230" s="4097"/>
      <c r="M230" s="4095"/>
      <c r="N230" s="4095"/>
      <c r="O230" s="4095"/>
      <c r="P230" s="4095"/>
      <c r="Q230" s="4095"/>
      <c r="R230" s="4095"/>
      <c r="S230" s="4095"/>
      <c r="T230" s="4095"/>
      <c r="U230" s="4095"/>
      <c r="V230" s="4095"/>
      <c r="W230" s="4095"/>
      <c r="X230" s="4095"/>
      <c r="Y230" s="4095"/>
      <c r="Z230" s="4095"/>
      <c r="AA230" s="4095"/>
      <c r="AB230" s="4095"/>
      <c r="AC230" s="4095"/>
    </row>
    <row r="231" spans="1:29" s="4098" customFormat="1">
      <c r="A231" s="4095"/>
      <c r="B231" s="4095"/>
      <c r="C231" s="4095"/>
      <c r="D231" s="4095"/>
      <c r="E231" s="4095"/>
      <c r="F231" s="4095"/>
      <c r="G231" s="4095"/>
      <c r="H231" s="4095"/>
      <c r="I231" s="4095"/>
      <c r="J231" s="4095"/>
      <c r="K231" s="4096"/>
      <c r="L231" s="4097"/>
      <c r="M231" s="4095"/>
      <c r="N231" s="4095"/>
      <c r="O231" s="4095"/>
      <c r="P231" s="4095"/>
      <c r="Q231" s="4095"/>
      <c r="R231" s="4095"/>
      <c r="S231" s="4095"/>
      <c r="T231" s="4095"/>
      <c r="U231" s="4095"/>
      <c r="V231" s="4095"/>
      <c r="W231" s="4095"/>
      <c r="X231" s="4095"/>
      <c r="Y231" s="4095"/>
      <c r="Z231" s="4095"/>
      <c r="AA231" s="4095"/>
      <c r="AB231" s="4095"/>
      <c r="AC231" s="4095"/>
    </row>
    <row r="232" spans="1:29" s="4098" customFormat="1">
      <c r="A232" s="4095"/>
      <c r="B232" s="4095"/>
      <c r="C232" s="4095"/>
      <c r="D232" s="4095"/>
      <c r="E232" s="4095"/>
      <c r="F232" s="4095"/>
      <c r="G232" s="4095"/>
      <c r="H232" s="4095"/>
      <c r="I232" s="4095"/>
      <c r="J232" s="4095"/>
      <c r="K232" s="4096"/>
      <c r="L232" s="4097"/>
      <c r="M232" s="4095"/>
      <c r="N232" s="4095"/>
      <c r="O232" s="4095"/>
      <c r="P232" s="4095"/>
      <c r="Q232" s="4095"/>
      <c r="R232" s="4095"/>
      <c r="S232" s="4095"/>
      <c r="T232" s="4095"/>
      <c r="U232" s="4095"/>
      <c r="V232" s="4095"/>
      <c r="W232" s="4095"/>
      <c r="X232" s="4095"/>
      <c r="Y232" s="4095"/>
      <c r="Z232" s="4095"/>
      <c r="AA232" s="4095"/>
      <c r="AB232" s="4095"/>
      <c r="AC232" s="4095"/>
    </row>
    <row r="233" spans="1:29" s="4098" customFormat="1">
      <c r="A233" s="4095"/>
      <c r="B233" s="4095"/>
      <c r="C233" s="4095"/>
      <c r="D233" s="4095"/>
      <c r="E233" s="4095"/>
      <c r="F233" s="4095"/>
      <c r="G233" s="4095"/>
      <c r="H233" s="4095"/>
      <c r="I233" s="4095"/>
      <c r="J233" s="4095"/>
      <c r="K233" s="4096"/>
      <c r="L233" s="4097"/>
      <c r="M233" s="4095"/>
      <c r="N233" s="4095"/>
      <c r="O233" s="4095"/>
      <c r="P233" s="4095"/>
      <c r="Q233" s="4095"/>
      <c r="R233" s="4095"/>
      <c r="S233" s="4095"/>
      <c r="T233" s="4095"/>
      <c r="U233" s="4095"/>
      <c r="V233" s="4095"/>
      <c r="W233" s="4095"/>
      <c r="X233" s="4095"/>
      <c r="Y233" s="4095"/>
      <c r="Z233" s="4095"/>
      <c r="AA233" s="4095"/>
      <c r="AB233" s="4095"/>
      <c r="AC233" s="4095"/>
    </row>
    <row r="234" spans="1:29" s="4098" customFormat="1">
      <c r="A234" s="4095"/>
      <c r="B234" s="4095"/>
      <c r="C234" s="4095"/>
      <c r="D234" s="4095"/>
      <c r="E234" s="4095"/>
      <c r="F234" s="4095"/>
      <c r="G234" s="4095"/>
      <c r="H234" s="4095"/>
      <c r="I234" s="4095"/>
      <c r="J234" s="4095"/>
      <c r="K234" s="4096"/>
      <c r="L234" s="4097"/>
      <c r="M234" s="4095"/>
      <c r="N234" s="4095"/>
      <c r="O234" s="4095"/>
      <c r="P234" s="4095"/>
      <c r="Q234" s="4095"/>
      <c r="R234" s="4095"/>
      <c r="S234" s="4095"/>
      <c r="T234" s="4095"/>
      <c r="U234" s="4095"/>
      <c r="V234" s="4095"/>
      <c r="W234" s="4095"/>
      <c r="X234" s="4095"/>
      <c r="Y234" s="4095"/>
      <c r="Z234" s="4095"/>
      <c r="AA234" s="4095"/>
      <c r="AB234" s="4095"/>
      <c r="AC234" s="4095"/>
    </row>
    <row r="235" spans="1:29" s="4098" customFormat="1">
      <c r="A235" s="4095"/>
      <c r="B235" s="4095"/>
      <c r="C235" s="4095"/>
      <c r="D235" s="4095"/>
      <c r="E235" s="4095"/>
      <c r="F235" s="4095"/>
      <c r="G235" s="4095"/>
      <c r="H235" s="4095"/>
      <c r="I235" s="4095"/>
      <c r="J235" s="4095"/>
      <c r="K235" s="4096"/>
      <c r="L235" s="4097"/>
      <c r="M235" s="4095"/>
      <c r="N235" s="4095"/>
      <c r="O235" s="4095"/>
      <c r="P235" s="4095"/>
      <c r="Q235" s="4095"/>
      <c r="R235" s="4095"/>
      <c r="S235" s="4095"/>
      <c r="T235" s="4095"/>
      <c r="U235" s="4095"/>
      <c r="V235" s="4095"/>
      <c r="W235" s="4095"/>
      <c r="X235" s="4095"/>
      <c r="Y235" s="4095"/>
      <c r="Z235" s="4095"/>
      <c r="AA235" s="4095"/>
      <c r="AB235" s="4095"/>
      <c r="AC235" s="4095"/>
    </row>
    <row r="236" spans="1:29" s="4098" customFormat="1">
      <c r="A236" s="4095"/>
      <c r="B236" s="4095"/>
      <c r="C236" s="4095"/>
      <c r="D236" s="4095"/>
      <c r="E236" s="4095"/>
      <c r="F236" s="4095"/>
      <c r="G236" s="4095"/>
      <c r="H236" s="4095"/>
      <c r="I236" s="4095"/>
      <c r="J236" s="4095"/>
      <c r="K236" s="4096"/>
      <c r="L236" s="4097"/>
      <c r="M236" s="4095"/>
      <c r="N236" s="4095"/>
      <c r="O236" s="4095"/>
      <c r="P236" s="4095"/>
      <c r="Q236" s="4095"/>
      <c r="R236" s="4095"/>
      <c r="S236" s="4095"/>
      <c r="T236" s="4095"/>
      <c r="U236" s="4095"/>
      <c r="V236" s="4095"/>
      <c r="W236" s="4095"/>
      <c r="X236" s="4095"/>
      <c r="Y236" s="4095"/>
      <c r="Z236" s="4095"/>
      <c r="AA236" s="4095"/>
      <c r="AB236" s="4095"/>
      <c r="AC236" s="4095"/>
    </row>
    <row r="237" spans="1:29" s="4098" customFormat="1">
      <c r="A237" s="4095"/>
      <c r="B237" s="4095"/>
      <c r="C237" s="4095"/>
      <c r="D237" s="4095"/>
      <c r="E237" s="4095"/>
      <c r="F237" s="4095"/>
      <c r="G237" s="4095"/>
      <c r="H237" s="4095"/>
      <c r="I237" s="4095"/>
      <c r="J237" s="4095"/>
      <c r="K237" s="4096"/>
      <c r="L237" s="4097"/>
      <c r="M237" s="4095"/>
      <c r="N237" s="4095"/>
      <c r="O237" s="4095"/>
      <c r="P237" s="4095"/>
      <c r="Q237" s="4095"/>
      <c r="R237" s="4095"/>
      <c r="S237" s="4095"/>
      <c r="T237" s="4095"/>
      <c r="U237" s="4095"/>
      <c r="V237" s="4095"/>
      <c r="W237" s="4095"/>
      <c r="X237" s="4095"/>
      <c r="Y237" s="4095"/>
      <c r="Z237" s="4095"/>
      <c r="AA237" s="4095"/>
      <c r="AB237" s="4095"/>
      <c r="AC237" s="4095"/>
    </row>
    <row r="238" spans="1:29" s="4098" customFormat="1">
      <c r="A238" s="4095"/>
      <c r="B238" s="4095"/>
      <c r="C238" s="4095"/>
      <c r="D238" s="4095"/>
      <c r="E238" s="4095"/>
      <c r="F238" s="4095"/>
      <c r="G238" s="4095"/>
      <c r="H238" s="4095"/>
      <c r="I238" s="4095"/>
      <c r="J238" s="4095"/>
      <c r="K238" s="4096"/>
      <c r="L238" s="4097"/>
      <c r="M238" s="4095"/>
      <c r="N238" s="4095"/>
      <c r="O238" s="4095"/>
      <c r="P238" s="4095"/>
      <c r="Q238" s="4095"/>
      <c r="R238" s="4095"/>
      <c r="S238" s="4095"/>
      <c r="T238" s="4095"/>
      <c r="U238" s="4095"/>
      <c r="V238" s="4095"/>
      <c r="W238" s="4095"/>
      <c r="X238" s="4095"/>
      <c r="Y238" s="4095"/>
      <c r="Z238" s="4095"/>
      <c r="AA238" s="4095"/>
      <c r="AB238" s="4095"/>
      <c r="AC238" s="4095"/>
    </row>
    <row r="239" spans="1:29" s="4098" customFormat="1">
      <c r="A239" s="4095"/>
      <c r="B239" s="4095"/>
      <c r="C239" s="4095"/>
      <c r="D239" s="4095"/>
      <c r="E239" s="4095"/>
      <c r="F239" s="4095"/>
      <c r="G239" s="4095"/>
      <c r="H239" s="4095"/>
      <c r="I239" s="4095"/>
      <c r="J239" s="4095"/>
      <c r="K239" s="4096"/>
      <c r="L239" s="4097"/>
      <c r="M239" s="4095"/>
      <c r="N239" s="4095"/>
      <c r="O239" s="4095"/>
      <c r="P239" s="4095"/>
      <c r="Q239" s="4095"/>
      <c r="R239" s="4095"/>
      <c r="S239" s="4095"/>
      <c r="T239" s="4095"/>
      <c r="U239" s="4095"/>
      <c r="V239" s="4095"/>
      <c r="W239" s="4095"/>
      <c r="X239" s="4095"/>
      <c r="Y239" s="4095"/>
      <c r="Z239" s="4095"/>
      <c r="AA239" s="4095"/>
      <c r="AB239" s="4095"/>
      <c r="AC239" s="4095"/>
    </row>
    <row r="240" spans="1:29" s="4098" customFormat="1">
      <c r="A240" s="4095"/>
      <c r="B240" s="4095"/>
      <c r="C240" s="4095"/>
      <c r="D240" s="4095"/>
      <c r="E240" s="4095"/>
      <c r="F240" s="4095"/>
      <c r="G240" s="4095"/>
      <c r="H240" s="4095"/>
      <c r="I240" s="4095"/>
      <c r="J240" s="4095"/>
      <c r="K240" s="4096"/>
      <c r="L240" s="4097"/>
      <c r="M240" s="4095"/>
      <c r="N240" s="4095"/>
      <c r="O240" s="4095"/>
      <c r="P240" s="4095"/>
      <c r="Q240" s="4095"/>
      <c r="R240" s="4095"/>
      <c r="S240" s="4095"/>
      <c r="T240" s="4095"/>
      <c r="U240" s="4095"/>
      <c r="V240" s="4095"/>
      <c r="W240" s="4095"/>
      <c r="X240" s="4095"/>
      <c r="Y240" s="4095"/>
      <c r="Z240" s="4095"/>
      <c r="AA240" s="4095"/>
      <c r="AB240" s="4095"/>
      <c r="AC240" s="4095"/>
    </row>
    <row r="241" spans="1:29" s="4098" customFormat="1">
      <c r="A241" s="4095"/>
      <c r="B241" s="4095"/>
      <c r="C241" s="4095"/>
      <c r="D241" s="4095"/>
      <c r="E241" s="4095"/>
      <c r="F241" s="4095"/>
      <c r="G241" s="4095"/>
      <c r="H241" s="4095"/>
      <c r="I241" s="4095"/>
      <c r="J241" s="4095"/>
      <c r="K241" s="4096"/>
      <c r="L241" s="4097"/>
      <c r="M241" s="4095"/>
      <c r="N241" s="4095"/>
      <c r="O241" s="4095"/>
      <c r="P241" s="4095"/>
      <c r="Q241" s="4095"/>
      <c r="R241" s="4095"/>
      <c r="S241" s="4095"/>
      <c r="T241" s="4095"/>
      <c r="U241" s="4095"/>
      <c r="V241" s="4095"/>
      <c r="W241" s="4095"/>
      <c r="X241" s="4095"/>
      <c r="Y241" s="4095"/>
      <c r="Z241" s="4095"/>
      <c r="AA241" s="4095"/>
      <c r="AB241" s="4095"/>
      <c r="AC241" s="4095"/>
    </row>
    <row r="242" spans="1:29" s="4098" customFormat="1">
      <c r="A242" s="4095"/>
      <c r="B242" s="4095"/>
      <c r="C242" s="4095"/>
      <c r="D242" s="4095"/>
      <c r="E242" s="4095"/>
      <c r="F242" s="4095"/>
      <c r="G242" s="4095"/>
      <c r="H242" s="4095"/>
      <c r="I242" s="4095"/>
      <c r="J242" s="4095"/>
      <c r="K242" s="4096"/>
      <c r="L242" s="4097"/>
      <c r="M242" s="4095"/>
      <c r="N242" s="4095"/>
      <c r="O242" s="4095"/>
      <c r="P242" s="4095"/>
      <c r="Q242" s="4095"/>
      <c r="R242" s="4095"/>
      <c r="S242" s="4095"/>
      <c r="T242" s="4095"/>
      <c r="U242" s="4095"/>
      <c r="V242" s="4095"/>
      <c r="W242" s="4095"/>
      <c r="X242" s="4095"/>
      <c r="Y242" s="4095"/>
      <c r="Z242" s="4095"/>
      <c r="AA242" s="4095"/>
      <c r="AB242" s="4095"/>
      <c r="AC242" s="4095"/>
    </row>
    <row r="243" spans="1:29" s="4098" customFormat="1">
      <c r="A243" s="4095"/>
      <c r="B243" s="4095"/>
      <c r="C243" s="4095"/>
      <c r="D243" s="4095"/>
      <c r="E243" s="4095"/>
      <c r="F243" s="4095"/>
      <c r="G243" s="4095"/>
      <c r="H243" s="4095"/>
      <c r="I243" s="4095"/>
      <c r="J243" s="4095"/>
      <c r="K243" s="4096"/>
      <c r="L243" s="4097"/>
      <c r="M243" s="4095"/>
      <c r="N243" s="4095"/>
      <c r="O243" s="4095"/>
      <c r="P243" s="4095"/>
      <c r="Q243" s="4095"/>
      <c r="R243" s="4095"/>
      <c r="S243" s="4095"/>
      <c r="T243" s="4095"/>
      <c r="U243" s="4095"/>
      <c r="V243" s="4095"/>
      <c r="W243" s="4095"/>
      <c r="X243" s="4095"/>
      <c r="Y243" s="4095"/>
      <c r="Z243" s="4095"/>
      <c r="AA243" s="4095"/>
      <c r="AB243" s="4095"/>
      <c r="AC243" s="4095"/>
    </row>
    <row r="244" spans="1:29" s="4098" customFormat="1">
      <c r="A244" s="4095"/>
      <c r="B244" s="4095"/>
      <c r="C244" s="4095"/>
      <c r="D244" s="4095"/>
      <c r="E244" s="4095"/>
      <c r="F244" s="4095"/>
      <c r="G244" s="4095"/>
      <c r="H244" s="4095"/>
      <c r="I244" s="4095"/>
      <c r="J244" s="4095"/>
      <c r="K244" s="4096"/>
      <c r="L244" s="4097"/>
      <c r="M244" s="4095"/>
      <c r="N244" s="4095"/>
      <c r="O244" s="4095"/>
      <c r="P244" s="4095"/>
      <c r="Q244" s="4095"/>
      <c r="R244" s="4095"/>
      <c r="S244" s="4095"/>
      <c r="T244" s="4095"/>
      <c r="U244" s="4095"/>
      <c r="V244" s="4095"/>
      <c r="W244" s="4095"/>
      <c r="X244" s="4095"/>
      <c r="Y244" s="4095"/>
      <c r="Z244" s="4095"/>
      <c r="AA244" s="4095"/>
      <c r="AB244" s="4095"/>
      <c r="AC244" s="4095"/>
    </row>
    <row r="245" spans="1:29" s="4098" customFormat="1">
      <c r="A245" s="4095"/>
      <c r="B245" s="4095"/>
      <c r="C245" s="4095"/>
      <c r="D245" s="4095"/>
      <c r="E245" s="4095"/>
      <c r="F245" s="4095"/>
      <c r="G245" s="4095"/>
      <c r="H245" s="4095"/>
      <c r="I245" s="4095"/>
      <c r="J245" s="4095"/>
      <c r="K245" s="4096"/>
      <c r="L245" s="4097"/>
      <c r="M245" s="4095"/>
      <c r="N245" s="4095"/>
      <c r="O245" s="4095"/>
      <c r="P245" s="4095"/>
      <c r="Q245" s="4095"/>
      <c r="R245" s="4095"/>
      <c r="S245" s="4095"/>
      <c r="T245" s="4095"/>
      <c r="U245" s="4095"/>
      <c r="V245" s="4095"/>
      <c r="W245" s="4095"/>
      <c r="X245" s="4095"/>
      <c r="Y245" s="4095"/>
      <c r="Z245" s="4095"/>
      <c r="AA245" s="4095"/>
      <c r="AB245" s="4095"/>
      <c r="AC245" s="4095"/>
    </row>
    <row r="246" spans="1:29" s="4098" customFormat="1">
      <c r="A246" s="4095"/>
      <c r="B246" s="4095"/>
      <c r="C246" s="4095"/>
      <c r="D246" s="4095"/>
      <c r="E246" s="4095"/>
      <c r="F246" s="4095"/>
      <c r="G246" s="4095"/>
      <c r="H246" s="4095"/>
      <c r="I246" s="4095"/>
      <c r="J246" s="4095"/>
      <c r="K246" s="4096"/>
      <c r="L246" s="4097"/>
      <c r="M246" s="4095"/>
      <c r="N246" s="4095"/>
      <c r="O246" s="4095"/>
      <c r="P246" s="4095"/>
      <c r="Q246" s="4095"/>
      <c r="R246" s="4095"/>
      <c r="S246" s="4095"/>
      <c r="T246" s="4095"/>
      <c r="U246" s="4095"/>
      <c r="V246" s="4095"/>
      <c r="W246" s="4095"/>
      <c r="X246" s="4095"/>
      <c r="Y246" s="4095"/>
      <c r="Z246" s="4095"/>
      <c r="AA246" s="4095"/>
      <c r="AB246" s="4095"/>
      <c r="AC246" s="4095"/>
    </row>
    <row r="247" spans="1:29" s="4098" customFormat="1">
      <c r="A247" s="4095"/>
      <c r="B247" s="4095"/>
      <c r="C247" s="4095"/>
      <c r="D247" s="4095"/>
      <c r="E247" s="4095"/>
      <c r="F247" s="4095"/>
      <c r="G247" s="4095"/>
      <c r="H247" s="4095"/>
      <c r="I247" s="4095"/>
      <c r="J247" s="4095"/>
      <c r="K247" s="4096"/>
      <c r="L247" s="4097"/>
      <c r="M247" s="4095"/>
      <c r="N247" s="4095"/>
      <c r="O247" s="4095"/>
      <c r="P247" s="4095"/>
      <c r="Q247" s="4095"/>
      <c r="R247" s="4095"/>
      <c r="S247" s="4095"/>
      <c r="T247" s="4095"/>
      <c r="U247" s="4095"/>
      <c r="V247" s="4095"/>
      <c r="W247" s="4095"/>
      <c r="X247" s="4095"/>
      <c r="Y247" s="4095"/>
      <c r="Z247" s="4095"/>
      <c r="AA247" s="4095"/>
      <c r="AB247" s="4095"/>
      <c r="AC247" s="4095"/>
    </row>
    <row r="248" spans="1:29" s="4098" customFormat="1">
      <c r="A248" s="4095"/>
      <c r="B248" s="4095"/>
      <c r="C248" s="4095"/>
      <c r="D248" s="4095"/>
      <c r="E248" s="4095"/>
      <c r="F248" s="4095"/>
      <c r="G248" s="4095"/>
      <c r="H248" s="4095"/>
      <c r="I248" s="4095"/>
      <c r="J248" s="4095"/>
      <c r="K248" s="4096"/>
      <c r="L248" s="4097"/>
      <c r="M248" s="4095"/>
      <c r="N248" s="4095"/>
      <c r="O248" s="4095"/>
      <c r="P248" s="4095"/>
      <c r="Q248" s="4095"/>
      <c r="R248" s="4095"/>
      <c r="S248" s="4095"/>
      <c r="T248" s="4095"/>
      <c r="U248" s="4095"/>
      <c r="V248" s="4095"/>
      <c r="W248" s="4095"/>
      <c r="X248" s="4095"/>
      <c r="Y248" s="4095"/>
      <c r="Z248" s="4095"/>
      <c r="AA248" s="4095"/>
      <c r="AB248" s="4095"/>
      <c r="AC248" s="4095"/>
    </row>
    <row r="249" spans="1:29" s="4098" customFormat="1">
      <c r="A249" s="4095"/>
      <c r="B249" s="4095"/>
      <c r="C249" s="4095"/>
      <c r="D249" s="4095"/>
      <c r="E249" s="4095"/>
      <c r="F249" s="4095"/>
      <c r="G249" s="4095"/>
      <c r="H249" s="4095"/>
      <c r="I249" s="4095"/>
      <c r="J249" s="4095"/>
      <c r="K249" s="4096"/>
      <c r="L249" s="4097"/>
      <c r="M249" s="4095"/>
      <c r="N249" s="4095"/>
      <c r="O249" s="4095"/>
      <c r="P249" s="4095"/>
      <c r="Q249" s="4095"/>
      <c r="R249" s="4095"/>
      <c r="S249" s="4095"/>
      <c r="T249" s="4095"/>
      <c r="U249" s="4095"/>
      <c r="V249" s="4095"/>
      <c r="W249" s="4095"/>
      <c r="X249" s="4095"/>
      <c r="Y249" s="4095"/>
      <c r="Z249" s="4095"/>
      <c r="AA249" s="4095"/>
      <c r="AB249" s="4095"/>
      <c r="AC249" s="4095"/>
    </row>
    <row r="250" spans="1:29" s="4098" customFormat="1">
      <c r="A250" s="4095"/>
      <c r="B250" s="4095"/>
      <c r="C250" s="4095"/>
      <c r="D250" s="4095"/>
      <c r="E250" s="4095"/>
      <c r="F250" s="4095"/>
      <c r="G250" s="4095"/>
      <c r="H250" s="4095"/>
      <c r="I250" s="4095"/>
      <c r="J250" s="4095"/>
      <c r="K250" s="4096"/>
      <c r="L250" s="4097"/>
      <c r="M250" s="4095"/>
      <c r="N250" s="4095"/>
      <c r="O250" s="4095"/>
      <c r="P250" s="4095"/>
      <c r="Q250" s="4095"/>
      <c r="R250" s="4095"/>
      <c r="S250" s="4095"/>
      <c r="T250" s="4095"/>
      <c r="U250" s="4095"/>
      <c r="V250" s="4095"/>
      <c r="W250" s="4095"/>
      <c r="X250" s="4095"/>
      <c r="Y250" s="4095"/>
      <c r="Z250" s="4095"/>
      <c r="AA250" s="4095"/>
      <c r="AB250" s="4095"/>
      <c r="AC250" s="4095"/>
    </row>
    <row r="251" spans="1:29" s="4098" customFormat="1">
      <c r="A251" s="4095"/>
      <c r="B251" s="4095"/>
      <c r="C251" s="4095"/>
      <c r="D251" s="4095"/>
      <c r="E251" s="4095"/>
      <c r="F251" s="4095"/>
      <c r="G251" s="4095"/>
      <c r="H251" s="4095"/>
      <c r="I251" s="4095"/>
      <c r="J251" s="4095"/>
      <c r="K251" s="4096"/>
      <c r="L251" s="4097"/>
      <c r="M251" s="4095"/>
      <c r="N251" s="4095"/>
      <c r="O251" s="4095"/>
      <c r="P251" s="4095"/>
      <c r="Q251" s="4095"/>
      <c r="R251" s="4095"/>
      <c r="S251" s="4095"/>
      <c r="T251" s="4095"/>
      <c r="U251" s="4095"/>
      <c r="V251" s="4095"/>
      <c r="W251" s="4095"/>
      <c r="X251" s="4095"/>
      <c r="Y251" s="4095"/>
      <c r="Z251" s="4095"/>
      <c r="AA251" s="4095"/>
      <c r="AB251" s="4095"/>
      <c r="AC251" s="4095"/>
    </row>
    <row r="252" spans="1:29" s="4098" customFormat="1">
      <c r="A252" s="4095"/>
      <c r="B252" s="4095"/>
      <c r="C252" s="4095"/>
      <c r="D252" s="4095"/>
      <c r="E252" s="4095"/>
      <c r="F252" s="4095"/>
      <c r="G252" s="4095"/>
      <c r="H252" s="4095"/>
      <c r="I252" s="4095"/>
      <c r="J252" s="4095"/>
      <c r="K252" s="4096"/>
      <c r="L252" s="4097"/>
      <c r="M252" s="4095"/>
      <c r="N252" s="4095"/>
      <c r="O252" s="4095"/>
      <c r="P252" s="4095"/>
      <c r="Q252" s="4095"/>
      <c r="R252" s="4095"/>
      <c r="S252" s="4095"/>
      <c r="T252" s="4095"/>
      <c r="U252" s="4095"/>
      <c r="V252" s="4095"/>
      <c r="W252" s="4095"/>
      <c r="X252" s="4095"/>
      <c r="Y252" s="4095"/>
      <c r="Z252" s="4095"/>
      <c r="AA252" s="4095"/>
      <c r="AB252" s="4095"/>
      <c r="AC252" s="4095"/>
    </row>
    <row r="253" spans="1:29" s="4098" customFormat="1">
      <c r="A253" s="4095"/>
      <c r="B253" s="4095"/>
      <c r="C253" s="4095"/>
      <c r="D253" s="4095"/>
      <c r="E253" s="4095"/>
      <c r="F253" s="4095"/>
      <c r="G253" s="4095"/>
      <c r="H253" s="4095"/>
      <c r="I253" s="4095"/>
      <c r="J253" s="4095"/>
      <c r="K253" s="4096"/>
      <c r="L253" s="4097"/>
      <c r="M253" s="4095"/>
      <c r="N253" s="4095"/>
      <c r="O253" s="4095"/>
      <c r="P253" s="4095"/>
      <c r="Q253" s="4095"/>
      <c r="R253" s="4095"/>
      <c r="S253" s="4095"/>
      <c r="T253" s="4095"/>
      <c r="U253" s="4095"/>
      <c r="V253" s="4095"/>
      <c r="W253" s="4095"/>
      <c r="X253" s="4095"/>
      <c r="Y253" s="4095"/>
      <c r="Z253" s="4095"/>
      <c r="AA253" s="4095"/>
      <c r="AB253" s="4095"/>
      <c r="AC253" s="4095"/>
    </row>
    <row r="254" spans="1:29" s="4098" customFormat="1">
      <c r="A254" s="4095"/>
      <c r="B254" s="4095"/>
      <c r="C254" s="4095"/>
      <c r="D254" s="4095"/>
      <c r="E254" s="4095"/>
      <c r="F254" s="4095"/>
      <c r="G254" s="4095"/>
      <c r="H254" s="4095"/>
      <c r="I254" s="4095"/>
      <c r="J254" s="4095"/>
      <c r="K254" s="4096"/>
      <c r="L254" s="4097"/>
      <c r="M254" s="4095"/>
      <c r="N254" s="4095"/>
      <c r="O254" s="4095"/>
      <c r="P254" s="4095"/>
      <c r="Q254" s="4095"/>
      <c r="R254" s="4095"/>
      <c r="S254" s="4095"/>
      <c r="T254" s="4095"/>
      <c r="U254" s="4095"/>
      <c r="V254" s="4095"/>
      <c r="W254" s="4095"/>
      <c r="X254" s="4095"/>
      <c r="Y254" s="4095"/>
      <c r="Z254" s="4095"/>
      <c r="AA254" s="4095"/>
      <c r="AB254" s="4095"/>
      <c r="AC254" s="4095"/>
    </row>
    <row r="255" spans="1:29" s="4098" customFormat="1">
      <c r="A255" s="4095"/>
      <c r="B255" s="4095"/>
      <c r="C255" s="4095"/>
      <c r="D255" s="4095"/>
      <c r="E255" s="4095"/>
      <c r="F255" s="4095"/>
      <c r="G255" s="4095"/>
      <c r="H255" s="4095"/>
      <c r="I255" s="4095"/>
      <c r="J255" s="4095"/>
      <c r="K255" s="4096"/>
      <c r="L255" s="4097"/>
      <c r="M255" s="4095"/>
      <c r="N255" s="4095"/>
      <c r="O255" s="4095"/>
      <c r="P255" s="4095"/>
      <c r="Q255" s="4095"/>
      <c r="R255" s="4095"/>
      <c r="S255" s="4095"/>
      <c r="T255" s="4095"/>
      <c r="U255" s="4095"/>
      <c r="V255" s="4095"/>
      <c r="W255" s="4095"/>
      <c r="X255" s="4095"/>
      <c r="Y255" s="4095"/>
      <c r="Z255" s="4095"/>
      <c r="AA255" s="4095"/>
      <c r="AB255" s="4095"/>
      <c r="AC255" s="4095"/>
    </row>
    <row r="256" spans="1:29" s="4098" customFormat="1">
      <c r="K256" s="4099"/>
      <c r="L256" s="4100"/>
    </row>
    <row r="257" spans="11:12" s="4098" customFormat="1">
      <c r="K257" s="4099"/>
      <c r="L257" s="4100"/>
    </row>
    <row r="258" spans="11:12" s="4098" customFormat="1">
      <c r="K258" s="4099"/>
      <c r="L258" s="4100"/>
    </row>
    <row r="259" spans="11:12" s="4098" customFormat="1">
      <c r="K259" s="4099"/>
      <c r="L259" s="4100"/>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44" priority="18" stopIfTrue="1" operator="containsText" text="超过">
      <formula>NOT(ISERROR(SEARCH("超过",F53)))</formula>
    </cfRule>
  </conditionalFormatting>
  <conditionalFormatting sqref="J55">
    <cfRule type="containsText" dxfId="143" priority="17" stopIfTrue="1" operator="containsText" text="超过">
      <formula>NOT(ISERROR(SEARCH("超过",J55)))</formula>
    </cfRule>
  </conditionalFormatting>
  <conditionalFormatting sqref="H55">
    <cfRule type="containsText" dxfId="142" priority="16" stopIfTrue="1" operator="containsText" text="超过">
      <formula>NOT(ISERROR(SEARCH("超过",H55)))</formula>
    </cfRule>
  </conditionalFormatting>
  <conditionalFormatting sqref="F55">
    <cfRule type="containsText" dxfId="141" priority="15" stopIfTrue="1" operator="containsText" text="超过">
      <formula>NOT(ISERROR(SEARCH("超过",F55)))</formula>
    </cfRule>
  </conditionalFormatting>
  <conditionalFormatting sqref="F54 H54 J54">
    <cfRule type="containsText" dxfId="140" priority="14" stopIfTrue="1" operator="containsText" text="超过">
      <formula>NOT(ISERROR(SEARCH("超过",F54)))</formula>
    </cfRule>
  </conditionalFormatting>
  <conditionalFormatting sqref="E53">
    <cfRule type="expression" dxfId="139" priority="13" stopIfTrue="1">
      <formula>$F$53="超过30%"</formula>
    </cfRule>
  </conditionalFormatting>
  <conditionalFormatting sqref="G55">
    <cfRule type="expression" dxfId="138" priority="12" stopIfTrue="1">
      <formula>$H$55="超过30%"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I53">
    <cfRule type="expression" dxfId="133" priority="7" stopIfTrue="1">
      <formula>$J$53="超过30%"</formula>
    </cfRule>
  </conditionalFormatting>
  <conditionalFormatting sqref="I54">
    <cfRule type="expression" dxfId="132" priority="6" stopIfTrue="1">
      <formula>$J$54="超过20%"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9:F47 H9:H47 J9:J47">
    <cfRule type="cellIs" dxfId="127" priority="1" operator="notEqual">
      <formula>100</formula>
    </cfRule>
  </conditionalFormatting>
  <dataValidations count="25">
    <dataValidation type="list" allowBlank="1" showInputMessage="1" showErrorMessage="1" sqref="D49" xr:uid="{F515D673-904E-4CA1-806E-89DF141050F8}">
      <formula1>"简单平均,加权平均"</formula1>
    </dataValidation>
    <dataValidation type="list" allowBlank="1" showInputMessage="1" showErrorMessage="1" sqref="A73" xr:uid="{FF0C627C-8489-4598-BBF6-BBF2411BA79C}">
      <formula1>"综合,商业,办公,住宅"</formula1>
    </dataValidation>
    <dataValidation type="list" allowBlank="1" showInputMessage="1" showErrorMessage="1" sqref="C32 E32 G32 I32" xr:uid="{3410DF09-9C76-4225-BCA3-133EC76BF981}">
      <formula1>基础设施水平</formula1>
    </dataValidation>
    <dataValidation type="list" allowBlank="1" showInputMessage="1" showErrorMessage="1" sqref="D59:D67" xr:uid="{7D43B35D-1CB6-488F-9C54-23A24E0CCE49}">
      <formula1>"25%,1"</formula1>
    </dataValidation>
    <dataValidation type="list" allowBlank="1" showInputMessage="1" showErrorMessage="1" sqref="G64" xr:uid="{06560208-B843-4F4D-B568-2B79FBD665F8}">
      <formula1>"商业,办公,住宅,工业"</formula1>
    </dataValidation>
    <dataValidation type="list" allowBlank="1" showInputMessage="1" showErrorMessage="1" sqref="G65" xr:uid="{1A235C52-F58D-4FCC-B3B2-AFA702944836}">
      <formula1>"住宅,工业"</formula1>
    </dataValidation>
    <dataValidation type="list" allowBlank="1" showInputMessage="1" showErrorMessage="1" sqref="C57" xr:uid="{4184C8BB-5D05-42F6-B649-C44C56AC8811}">
      <formula1>"北京市系数,其他省市系数"</formula1>
    </dataValidation>
    <dataValidation type="list" allowBlank="1" showInputMessage="1" showErrorMessage="1" sqref="C26 E26 G26 I26" xr:uid="{A393CB6F-558C-4735-A2C0-0FCAF16A6CEF}">
      <formula1>区域土地利用方向</formula1>
    </dataValidation>
    <dataValidation type="list" allowBlank="1" showInputMessage="1" showErrorMessage="1" sqref="C33 E33 G33 I33" xr:uid="{82AD5A2C-E954-45AA-81F1-4C062A481416}">
      <formula1>临街状况</formula1>
    </dataValidation>
    <dataValidation type="list" allowBlank="1" showInputMessage="1" showErrorMessage="1" sqref="C44 G44 E44 I44" xr:uid="{428E16AD-9894-443D-B27D-A96D3D72A61C}">
      <formula1>套综工程地质条件</formula1>
    </dataValidation>
    <dataValidation type="list" allowBlank="1" showInputMessage="1" showErrorMessage="1" sqref="C43 G43 E43 I43" xr:uid="{5CDDE35E-672B-49F3-9BC3-BD44D6A10103}">
      <formula1>套综宗地内开发程度</formula1>
    </dataValidation>
    <dataValidation type="list" allowBlank="1" showInputMessage="1" showErrorMessage="1" sqref="C42 G42 E42 I42" xr:uid="{E059048D-9DCC-49EF-A6BD-97537354D102}">
      <formula1>套综临街宽度及深度</formula1>
    </dataValidation>
    <dataValidation type="list" allowBlank="1" showInputMessage="1" showErrorMessage="1" sqref="C41 G41 E41 I41" xr:uid="{5C1537A5-D806-477B-B135-6B2B74A5F78D}">
      <formula1>套综宗地形状</formula1>
    </dataValidation>
    <dataValidation type="list" allowBlank="1" showInputMessage="1" showErrorMessage="1" sqref="C36 E36 G36 I36" xr:uid="{0C86983B-A736-4C57-A9E7-1E1679731D78}">
      <formula1>套综土地级别</formula1>
    </dataValidation>
    <dataValidation type="list" allowBlank="1" showInputMessage="1" showErrorMessage="1" sqref="C35 E35 G35 I35" xr:uid="{87347DBC-A66F-4E15-94AB-9918010E38DD}">
      <formula1>套综道路等级</formula1>
    </dataValidation>
    <dataValidation type="list" allowBlank="1" showInputMessage="1" showErrorMessage="1" sqref="E22 C22 G22 I22" xr:uid="{A1EC0BF1-71C7-4645-9EF3-18714565BA80}">
      <formula1>办公集聚程度</formula1>
    </dataValidation>
    <dataValidation type="list" allowBlank="1" showInputMessage="1" showErrorMessage="1" sqref="E20 C20 G20 I20" xr:uid="{B76C52C5-4C0A-405C-8204-D18BB19BF622}">
      <formula1>商业繁华度</formula1>
    </dataValidation>
    <dataValidation type="list" allowBlank="1" showInputMessage="1" showErrorMessage="1" sqref="C11 E11 G11 I11" xr:uid="{DF6604E8-9E90-4DA0-99BB-17797D01343B}">
      <formula1>套综用途</formula1>
    </dataValidation>
    <dataValidation type="list" allowBlank="1" showInputMessage="1" showErrorMessage="1" sqref="C10 E10 G10 I10" xr:uid="{28E70A5A-6D62-4892-94E0-4EBF6E5BF186}">
      <formula1>套综交易情况</formula1>
    </dataValidation>
    <dataValidation type="list" allowBlank="1" showInputMessage="1" showErrorMessage="1" sqref="B48" xr:uid="{3EBB790E-67B1-4523-96DC-E9AD9137118C}">
      <formula1>单价内涵</formula1>
    </dataValidation>
    <dataValidation type="list" allowBlank="1" showInputMessage="1" showErrorMessage="1" sqref="C28 E28 G28 I28" xr:uid="{68D6FA73-AA9A-4216-A13D-D300223C5C3C}">
      <formula1>环境</formula1>
    </dataValidation>
    <dataValidation type="list" allowBlank="1" showInputMessage="1" showErrorMessage="1" sqref="E18 G18 I18 C18" xr:uid="{A0F77A56-DD44-4E0B-9961-9BEE8C7469F3}">
      <formula1>居住社区成熟度</formula1>
    </dataValidation>
    <dataValidation type="list" allowBlank="1" showInputMessage="1" showErrorMessage="1" sqref="E24 C24 G24 I24" xr:uid="{E03C6926-BB52-4592-975D-F9036189DA32}">
      <formula1>交通便捷度</formula1>
    </dataValidation>
    <dataValidation type="list" allowBlank="1" showInputMessage="1" showErrorMessage="1" sqref="E30 C30 I30 G30" xr:uid="{B1CE1CAF-C5E2-4333-99C2-2755C52E5895}">
      <formula1>公共配套设施</formula1>
    </dataValidation>
    <dataValidation type="list" allowBlank="1" showInputMessage="1" showErrorMessage="1" sqref="C27" xr:uid="{644D1AD8-F119-4FDC-B9C2-212FCFB0021C}">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9"/>
  <sheetViews>
    <sheetView zoomScale="80" zoomScaleNormal="80" workbookViewId="0">
      <selection activeCell="E21" sqref="E21"/>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4415" t="s">
        <v>2529</v>
      </c>
      <c r="C1" s="4415"/>
      <c r="D1" s="4415"/>
      <c r="E1" s="4415"/>
      <c r="F1" s="4415"/>
      <c r="G1" s="4414" t="s">
        <v>2530</v>
      </c>
      <c r="H1" s="4414"/>
      <c r="I1" s="4414"/>
      <c r="J1" s="4414"/>
      <c r="K1" s="4414"/>
      <c r="L1" s="4414"/>
      <c r="N1" s="4414" t="s">
        <v>2531</v>
      </c>
      <c r="O1" s="4414"/>
      <c r="P1" s="4414"/>
      <c r="Q1" s="4414"/>
      <c r="S1" s="4414" t="s">
        <v>2532</v>
      </c>
      <c r="T1" s="4414"/>
      <c r="U1" s="4414"/>
      <c r="V1" s="4414"/>
      <c r="X1" s="4413" t="s">
        <v>2592</v>
      </c>
      <c r="Y1" s="4414"/>
      <c r="Z1" s="4414"/>
      <c r="AA1" s="4414"/>
      <c r="AB1" s="4414"/>
      <c r="AD1" s="4413" t="s">
        <v>2596</v>
      </c>
      <c r="AE1" s="4414"/>
      <c r="AF1" s="4414"/>
      <c r="AG1" s="4414"/>
      <c r="AH1" s="4414"/>
    </row>
    <row r="2" spans="1:34" s="2831" customFormat="1" ht="14.2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25">
      <c r="A3" s="2835" t="s">
        <v>2903</v>
      </c>
      <c r="B3" s="2836"/>
      <c r="C3" s="2836"/>
      <c r="D3" s="2837"/>
      <c r="E3" s="2837"/>
      <c r="F3" s="2836"/>
      <c r="G3" s="2838"/>
      <c r="H3" s="2839"/>
      <c r="I3" s="2840">
        <f>ROUND(AVERAGE($I4:$I36),2)</f>
        <v>1.66</v>
      </c>
      <c r="J3" s="2840">
        <f>ROUND(AVERAGE($J4:$J36),2)</f>
        <v>1.05</v>
      </c>
      <c r="K3" s="2840">
        <f>ROUND(AVERAGE($K4:$K36),2)</f>
        <v>1.83</v>
      </c>
      <c r="L3" s="2840">
        <f>ROUND(AVERAGE($L4:$L36),2)</f>
        <v>1.22</v>
      </c>
      <c r="N3" s="2838"/>
      <c r="S3" s="2838"/>
      <c r="W3" s="2842"/>
      <c r="X3" s="2843">
        <f>ROUND(SUMPRODUCT(PRODUCT(1+N3:N$35)),4)</f>
        <v>1.6415999999999999</v>
      </c>
      <c r="Y3" s="2843">
        <f>ROUND(SUMPRODUCT(PRODUCT(1+O3:O$35)),4)</f>
        <v>1.3644000000000001</v>
      </c>
      <c r="Z3" s="2843">
        <f t="shared" ref="Z3" si="0">Y3</f>
        <v>1.3644000000000001</v>
      </c>
      <c r="AA3" s="2843">
        <f>ROUND(SUMPRODUCT(PRODUCT(1+P3:P$35)),4)</f>
        <v>1.7232000000000001</v>
      </c>
      <c r="AB3" s="2843">
        <f>ROUND(SUMPRODUCT(PRODUCT(1+Q3:Q$35)),4)</f>
        <v>1.4529000000000001</v>
      </c>
      <c r="AD3" s="2844">
        <f>ROUND(AVERAGE(I3:I$36)/100,4)</f>
        <v>1.66E-2</v>
      </c>
      <c r="AE3" s="2844">
        <f>ROUND(AVERAGE(J3:J$36)/100,4)</f>
        <v>1.0500000000000001E-2</v>
      </c>
      <c r="AF3" s="2844">
        <f t="shared" ref="AF3:AF34" si="1">AE3</f>
        <v>1.0500000000000001E-2</v>
      </c>
      <c r="AG3" s="2844">
        <f>ROUND(AVERAGE(K3:K$36)/100,4)</f>
        <v>1.83E-2</v>
      </c>
      <c r="AH3" s="2844">
        <f>ROUND(AVERAGE(L3:L$36)/100,4)</f>
        <v>1.2200000000000001E-2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2971</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2021</v>
      </c>
      <c r="H5" s="2856">
        <v>4</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2904</v>
      </c>
      <c r="X5" s="2862">
        <f>ROUND(SUMPRODUCT(PRODUCT(1+N5:N$36)),4)</f>
        <v>1.6903999999999999</v>
      </c>
      <c r="Y5" s="2862">
        <f>ROUND(SUMPRODUCT(PRODUCT(1+O5:O$36)),4)</f>
        <v>1.3963000000000001</v>
      </c>
      <c r="Z5" s="2862">
        <f t="shared" ref="Z5" si="11">Y5</f>
        <v>1.3963000000000001</v>
      </c>
      <c r="AA5" s="2862">
        <f>ROUND(SUMPRODUCT(PRODUCT(1+P5:P$36)),4)</f>
        <v>1.7797000000000001</v>
      </c>
      <c r="AB5" s="2862">
        <f>ROUND(SUMPRODUCT(PRODUCT(1+Q5:Q$36)),4)</f>
        <v>1.4726999999999999</v>
      </c>
      <c r="AD5" s="2863">
        <f>ROUND(AVERAGE(I5:I$36)/100,4)</f>
        <v>1.66E-2</v>
      </c>
      <c r="AE5" s="2863">
        <f>ROUND(AVERAGE(J5:J$36)/100,4)</f>
        <v>1.0500000000000001E-2</v>
      </c>
      <c r="AF5" s="2863">
        <f t="shared" ref="AF5" si="12">AE5</f>
        <v>1.0500000000000001E-2</v>
      </c>
      <c r="AG5" s="2863">
        <f>ROUND(AVERAGE(K5:K$36)/100,4)</f>
        <v>1.83E-2</v>
      </c>
      <c r="AH5" s="2863">
        <f>ROUND(AVERAGE(L5:L$36)/100,4)</f>
        <v>1.2200000000000001E-2</v>
      </c>
    </row>
    <row r="6" spans="1:34" s="2871" customFormat="1">
      <c r="A6" s="2864" t="s">
        <v>2970</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3</v>
      </c>
      <c r="I6" s="2828">
        <v>0.47</v>
      </c>
      <c r="J6" s="2828">
        <v>0.41</v>
      </c>
      <c r="K6" s="2828">
        <v>0.48</v>
      </c>
      <c r="L6" s="2829">
        <v>0.48</v>
      </c>
      <c r="M6" s="2852"/>
      <c r="N6" s="2867">
        <f t="shared" ref="N6" si="18">I6/100</f>
        <v>4.6999999999999993E-3</v>
      </c>
      <c r="O6" s="2853">
        <f t="shared" ref="O6" si="19">J6/100</f>
        <v>4.0999999999999995E-3</v>
      </c>
      <c r="P6" s="2853">
        <f t="shared" ref="P6" si="20">K6/100</f>
        <v>4.7999999999999996E-3</v>
      </c>
      <c r="Q6" s="2853">
        <f t="shared" ref="Q6" si="21">L6/100</f>
        <v>4.7999999999999996E-3</v>
      </c>
      <c r="R6" s="2868"/>
      <c r="S6" s="2869"/>
      <c r="T6" s="2870"/>
      <c r="U6" s="2870"/>
      <c r="V6" s="2870"/>
      <c r="W6" s="2852"/>
      <c r="X6" s="2852">
        <f>ROUND(SUMPRODUCT(PRODUCT(1+N6:N$36)),4)</f>
        <v>1.6903999999999999</v>
      </c>
      <c r="Y6" s="2852">
        <f>ROUND(SUMPRODUCT(PRODUCT(1+O6:O$36)),4)</f>
        <v>1.3963000000000001</v>
      </c>
      <c r="Z6" s="2852">
        <f t="shared" ref="Z6" si="22">Y6</f>
        <v>1.3963000000000001</v>
      </c>
      <c r="AA6" s="2852">
        <f>ROUND(SUMPRODUCT(PRODUCT(1+P6:P$36)),4)</f>
        <v>1.7797000000000001</v>
      </c>
      <c r="AB6" s="2852">
        <f>ROUND(SUMPRODUCT(PRODUCT(1+Q6:Q$36)),4)</f>
        <v>1.4726999999999999</v>
      </c>
      <c r="AC6" s="2852"/>
      <c r="AD6" s="2853">
        <f>ROUND(AVERAGE(I6:I$36)/100,4)</f>
        <v>1.72E-2</v>
      </c>
      <c r="AE6" s="2853">
        <f>ROUND(AVERAGE(J6:J$36)/100,4)</f>
        <v>1.09E-2</v>
      </c>
      <c r="AF6" s="2853">
        <f t="shared" ref="AF6" si="23">AE6</f>
        <v>1.09E-2</v>
      </c>
      <c r="AG6" s="2853">
        <f>ROUND(AVERAGE(K6:K$36)/100,4)</f>
        <v>1.89E-2</v>
      </c>
      <c r="AH6" s="2853">
        <f>ROUND(AVERAGE(L6:L$36)/100,4)</f>
        <v>1.26E-2</v>
      </c>
    </row>
    <row r="7" spans="1:34" s="2871" customFormat="1">
      <c r="A7" s="2864" t="s">
        <v>2969</v>
      </c>
      <c r="B7" s="2865">
        <f t="shared" ref="B7" si="24">B8*(1+N7)</f>
        <v>502.50893609650217</v>
      </c>
      <c r="C7" s="2865">
        <f t="shared" ref="C7" si="25">C8*(1+O7)</f>
        <v>350.27569313914915</v>
      </c>
      <c r="D7" s="2865">
        <f t="shared" ref="D7" si="26">C7</f>
        <v>350.27569313914915</v>
      </c>
      <c r="E7" s="2865">
        <f t="shared" ref="E7" si="27">E8*(1+P7)</f>
        <v>725.27220201394141</v>
      </c>
      <c r="F7" s="2865">
        <f t="shared" ref="F7" si="28">F8*(1+Q7)</f>
        <v>332.45017846012797</v>
      </c>
      <c r="G7" s="2848">
        <v>2021</v>
      </c>
      <c r="H7" s="2866">
        <v>2</v>
      </c>
      <c r="I7" s="2828">
        <v>0.92</v>
      </c>
      <c r="J7" s="2828">
        <v>0.72</v>
      </c>
      <c r="K7" s="2828">
        <v>0.95</v>
      </c>
      <c r="L7" s="2829">
        <v>1.01</v>
      </c>
      <c r="M7" s="2852"/>
      <c r="N7" s="2867">
        <f t="shared" ref="N7" si="29">I7/100</f>
        <v>9.1999999999999998E-3</v>
      </c>
      <c r="O7" s="2853">
        <f t="shared" ref="O7" si="30">J7/100</f>
        <v>7.1999999999999998E-3</v>
      </c>
      <c r="P7" s="2853">
        <f t="shared" ref="P7" si="31">K7/100</f>
        <v>9.4999999999999998E-3</v>
      </c>
      <c r="Q7" s="2853">
        <f t="shared" ref="Q7" si="32">L7/100</f>
        <v>1.01E-2</v>
      </c>
      <c r="R7" s="2868"/>
      <c r="S7" s="2869"/>
      <c r="T7" s="2870"/>
      <c r="U7" s="2870"/>
      <c r="V7" s="2870"/>
      <c r="W7" s="2852"/>
      <c r="X7" s="2852">
        <f>ROUND(SUMPRODUCT(PRODUCT(1+N7:N$36)),4)</f>
        <v>1.6825000000000001</v>
      </c>
      <c r="Y7" s="2852">
        <f>ROUND(SUMPRODUCT(PRODUCT(1+O7:O$36)),4)</f>
        <v>1.3906000000000001</v>
      </c>
      <c r="Z7" s="2852">
        <f t="shared" ref="Z7" si="33">Y7</f>
        <v>1.3906000000000001</v>
      </c>
      <c r="AA7" s="2852">
        <f>ROUND(SUMPRODUCT(PRODUCT(1+P7:P$36)),4)</f>
        <v>1.7712000000000001</v>
      </c>
      <c r="AB7" s="2852">
        <f>ROUND(SUMPRODUCT(PRODUCT(1+Q7:Q$36)),4)</f>
        <v>1.4657</v>
      </c>
      <c r="AC7" s="2852"/>
      <c r="AD7" s="2853">
        <f>ROUND(AVERAGE(I7:I$36)/100,4)</f>
        <v>1.7600000000000001E-2</v>
      </c>
      <c r="AE7" s="2853">
        <f>ROUND(AVERAGE(J7:J$36)/100,4)</f>
        <v>1.11E-2</v>
      </c>
      <c r="AF7" s="2853">
        <f t="shared" ref="AF7" si="34">AE7</f>
        <v>1.11E-2</v>
      </c>
      <c r="AG7" s="2853">
        <f>ROUND(AVERAGE(K7:K$36)/100,4)</f>
        <v>1.9400000000000001E-2</v>
      </c>
      <c r="AH7" s="2853">
        <f>ROUND(AVERAGE(L7:L$36)/100,4)</f>
        <v>1.2800000000000001E-2</v>
      </c>
    </row>
    <row r="8" spans="1:34" s="2871" customFormat="1">
      <c r="A8" s="2864" t="s">
        <v>2968</v>
      </c>
      <c r="B8" s="2865">
        <f t="shared" ref="B8" si="35">B9*(1+N8)</f>
        <v>497.92799851020823</v>
      </c>
      <c r="C8" s="2865">
        <f t="shared" ref="C8" si="36">C9*(1+O8)</f>
        <v>347.77173663537445</v>
      </c>
      <c r="D8" s="2865">
        <f t="shared" ref="D8" si="37">C8</f>
        <v>347.77173663537445</v>
      </c>
      <c r="E8" s="2865">
        <f t="shared" ref="E8" si="38">E9*(1+P8)</f>
        <v>718.44695593258189</v>
      </c>
      <c r="F8" s="2865">
        <f t="shared" ref="F8" si="39">F9*(1+Q8)</f>
        <v>329.12600580153247</v>
      </c>
      <c r="G8" s="2848">
        <v>2021</v>
      </c>
      <c r="H8" s="2866">
        <v>1</v>
      </c>
      <c r="I8" s="2828">
        <v>0.97</v>
      </c>
      <c r="J8" s="2828">
        <v>0.16</v>
      </c>
      <c r="K8" s="2828">
        <v>1.1100000000000001</v>
      </c>
      <c r="L8" s="2829">
        <v>0.36</v>
      </c>
      <c r="M8" s="2852"/>
      <c r="N8" s="2867">
        <f t="shared" ref="N8" si="40">I8/100</f>
        <v>9.7000000000000003E-3</v>
      </c>
      <c r="O8" s="2853">
        <f t="shared" ref="O8" si="41">J8/100</f>
        <v>1.6000000000000001E-3</v>
      </c>
      <c r="P8" s="2853">
        <f t="shared" ref="P8" si="42">K8/100</f>
        <v>1.11E-2</v>
      </c>
      <c r="Q8" s="2853">
        <f t="shared" ref="Q8" si="43">L8/100</f>
        <v>3.5999999999999999E-3</v>
      </c>
      <c r="R8" s="2868"/>
      <c r="S8" s="2869">
        <f>B8/B9-1</f>
        <v>9.7000000000000419E-3</v>
      </c>
      <c r="T8" s="2870">
        <f>C8/C9-1</f>
        <v>1.6000000000000458E-3</v>
      </c>
      <c r="U8" s="2870">
        <f>E8/E9-1</f>
        <v>1.110000000000011E-2</v>
      </c>
      <c r="V8" s="2870">
        <f>F8/F9-1</f>
        <v>3.6000000000000476E-3</v>
      </c>
      <c r="W8" s="2852"/>
      <c r="X8" s="2852">
        <f>ROUND(SUMPRODUCT(PRODUCT(1+N8:N$36)),4)</f>
        <v>1.6671</v>
      </c>
      <c r="Y8" s="2852">
        <f>ROUND(SUMPRODUCT(PRODUCT(1+O8:O$36)),4)</f>
        <v>1.3807</v>
      </c>
      <c r="Z8" s="2852">
        <f t="shared" ref="Z8" si="44">Y8</f>
        <v>1.3807</v>
      </c>
      <c r="AA8" s="2852">
        <f>ROUND(SUMPRODUCT(PRODUCT(1+P8:P$36)),4)</f>
        <v>1.7545999999999999</v>
      </c>
      <c r="AB8" s="2852">
        <f>ROUND(SUMPRODUCT(PRODUCT(1+Q8:Q$36)),4)</f>
        <v>1.4510000000000001</v>
      </c>
      <c r="AC8" s="2852"/>
      <c r="AD8" s="2853">
        <f>ROUND(AVERAGE(I8:I$36)/100,4)</f>
        <v>1.7899999999999999E-2</v>
      </c>
      <c r="AE8" s="2853">
        <f>ROUND(AVERAGE(J8:J$36)/100,4)</f>
        <v>1.12E-2</v>
      </c>
      <c r="AF8" s="2853">
        <f t="shared" ref="AF8" si="45">AE8</f>
        <v>1.12E-2</v>
      </c>
      <c r="AG8" s="2853">
        <f>ROUND(AVERAGE(K8:K$36)/100,4)</f>
        <v>1.9699999999999999E-2</v>
      </c>
      <c r="AH8" s="2853">
        <f>ROUND(AVERAGE(L8:L$36)/100,4)</f>
        <v>1.29E-2</v>
      </c>
    </row>
    <row r="9" spans="1:34" s="2871" customFormat="1">
      <c r="A9" s="2864" t="s">
        <v>2967</v>
      </c>
      <c r="B9" s="2865">
        <f t="shared" ref="B9" si="46">B10*(1+N9)</f>
        <v>493.14449689037161</v>
      </c>
      <c r="C9" s="2865">
        <f t="shared" ref="C9" si="47">C10*(1+O9)</f>
        <v>347.21619073020611</v>
      </c>
      <c r="D9" s="2865">
        <f t="shared" ref="D9" si="48">C9</f>
        <v>347.21619073020611</v>
      </c>
      <c r="E9" s="2865">
        <f t="shared" ref="E9" si="49">E10*(1+P9)</f>
        <v>710.55974278763904</v>
      </c>
      <c r="F9" s="2865">
        <f t="shared" ref="F9" si="50">F10*(1+Q9)</f>
        <v>327.94540235306141</v>
      </c>
      <c r="G9" s="2848">
        <v>2020</v>
      </c>
      <c r="H9" s="2866">
        <v>4</v>
      </c>
      <c r="I9" s="2828">
        <v>2.0699999999999998</v>
      </c>
      <c r="J9" s="2828">
        <v>0.37</v>
      </c>
      <c r="K9" s="2828">
        <v>2.35</v>
      </c>
      <c r="L9" s="2829">
        <v>2.69</v>
      </c>
      <c r="M9" s="2852"/>
      <c r="N9" s="2867">
        <f t="shared" ref="N9" si="51">I9/100</f>
        <v>2.07E-2</v>
      </c>
      <c r="O9" s="2853">
        <f t="shared" ref="O9" si="52">J9/100</f>
        <v>3.7000000000000002E-3</v>
      </c>
      <c r="P9" s="2853">
        <f t="shared" ref="P9" si="53">K9/100</f>
        <v>2.35E-2</v>
      </c>
      <c r="Q9" s="2853">
        <f t="shared" ref="Q9" si="54">L9/100</f>
        <v>2.69E-2</v>
      </c>
      <c r="R9" s="2868"/>
      <c r="S9" s="2869"/>
      <c r="T9" s="2870"/>
      <c r="U9" s="2870"/>
      <c r="V9" s="2870"/>
      <c r="W9" s="2852"/>
      <c r="X9" s="2852">
        <f>ROUND(SUMPRODUCT(PRODUCT(1+N9:N$36)),4)</f>
        <v>1.6511</v>
      </c>
      <c r="Y9" s="2852">
        <f>ROUND(SUMPRODUCT(PRODUCT(1+O9:O$36)),4)</f>
        <v>1.3785000000000001</v>
      </c>
      <c r="Z9" s="2852">
        <f t="shared" ref="Z9" si="55">Y9</f>
        <v>1.3785000000000001</v>
      </c>
      <c r="AA9" s="2852">
        <f>ROUND(SUMPRODUCT(PRODUCT(1+P9:P$36)),4)</f>
        <v>1.7353000000000001</v>
      </c>
      <c r="AB9" s="2852">
        <f>ROUND(SUMPRODUCT(PRODUCT(1+Q9:Q$36)),4)</f>
        <v>1.4458</v>
      </c>
      <c r="AC9" s="2852"/>
      <c r="AD9" s="2853">
        <f>ROUND(AVERAGE(I9:I$36)/100,4)</f>
        <v>1.8200000000000001E-2</v>
      </c>
      <c r="AE9" s="2853">
        <f>ROUND(AVERAGE(J9:J$36)/100,4)</f>
        <v>1.1599999999999999E-2</v>
      </c>
      <c r="AF9" s="2853">
        <f t="shared" ref="AF9" si="56">AE9</f>
        <v>1.1599999999999999E-2</v>
      </c>
      <c r="AG9" s="2853">
        <f>ROUND(AVERAGE(K9:K$36)/100,4)</f>
        <v>0.02</v>
      </c>
      <c r="AH9" s="2853">
        <f>ROUND(AVERAGE(L9:L$36)/100,4)</f>
        <v>1.3299999999999999E-2</v>
      </c>
    </row>
    <row r="10" spans="1:34" s="2871" customFormat="1">
      <c r="A10" s="2864" t="s">
        <v>2966</v>
      </c>
      <c r="B10" s="2865">
        <f t="shared" ref="B10" si="57">B11*(1+N10)</f>
        <v>483.1434279321756</v>
      </c>
      <c r="C10" s="2865">
        <f t="shared" ref="C10" si="58">C11*(1+O10)</f>
        <v>345.93622669144776</v>
      </c>
      <c r="D10" s="2865">
        <f t="shared" ref="D10" si="59">C10</f>
        <v>345.93622669144776</v>
      </c>
      <c r="E10" s="2865">
        <f t="shared" ref="E10" si="60">E11*(1+P10)</f>
        <v>694.24498562544113</v>
      </c>
      <c r="F10" s="2865">
        <f t="shared" ref="F10" si="61">F11*(1+Q10)</f>
        <v>319.35475932716082</v>
      </c>
      <c r="G10" s="2848">
        <v>2020</v>
      </c>
      <c r="H10" s="2866">
        <v>3</v>
      </c>
      <c r="I10" s="2828">
        <v>0.36</v>
      </c>
      <c r="J10" s="2828">
        <v>-0.39</v>
      </c>
      <c r="K10" s="2828">
        <v>0.49</v>
      </c>
      <c r="L10" s="2829">
        <v>7.0000000000000007E-2</v>
      </c>
      <c r="M10" s="2852"/>
      <c r="N10" s="2867">
        <f t="shared" ref="N10" si="62">I10/100</f>
        <v>3.5999999999999999E-3</v>
      </c>
      <c r="O10" s="2853">
        <f t="shared" ref="O10" si="63">J10/100</f>
        <v>-3.9000000000000003E-3</v>
      </c>
      <c r="P10" s="2853">
        <f t="shared" ref="P10" si="64">K10/100</f>
        <v>4.8999999999999998E-3</v>
      </c>
      <c r="Q10" s="2853">
        <f t="shared" ref="Q10" si="65">L10/100</f>
        <v>7.000000000000001E-4</v>
      </c>
      <c r="R10" s="2868"/>
      <c r="S10" s="2869"/>
      <c r="T10" s="2870"/>
      <c r="U10" s="2870"/>
      <c r="V10" s="2870"/>
      <c r="W10" s="2852"/>
      <c r="X10" s="2852">
        <f>ROUND(SUMPRODUCT(PRODUCT(1+N10:N$36)),4)</f>
        <v>1.6175999999999999</v>
      </c>
      <c r="Y10" s="2852">
        <f>ROUND(SUMPRODUCT(PRODUCT(1+O10:O$36)),4)</f>
        <v>1.3734</v>
      </c>
      <c r="Z10" s="2852">
        <f t="shared" ref="Z10" si="66">Y10</f>
        <v>1.3734</v>
      </c>
      <c r="AA10" s="2852">
        <f>ROUND(SUMPRODUCT(PRODUCT(1+P10:P$36)),4)</f>
        <v>1.6955</v>
      </c>
      <c r="AB10" s="2852">
        <f>ROUND(SUMPRODUCT(PRODUCT(1+Q10:Q$36)),4)</f>
        <v>1.4078999999999999</v>
      </c>
      <c r="AC10" s="2852"/>
      <c r="AD10" s="2853">
        <f>ROUND(AVERAGE(I10:I$36)/100,4)</f>
        <v>1.8100000000000002E-2</v>
      </c>
      <c r="AE10" s="2853">
        <f>ROUND(AVERAGE(J10:J$36)/100,4)</f>
        <v>1.1900000000000001E-2</v>
      </c>
      <c r="AF10" s="2853">
        <f t="shared" ref="AF10" si="67">AE10</f>
        <v>1.1900000000000001E-2</v>
      </c>
      <c r="AG10" s="2853">
        <f>ROUND(AVERAGE(K10:K$36)/100,4)</f>
        <v>1.9900000000000001E-2</v>
      </c>
      <c r="AH10" s="2853">
        <f>ROUND(AVERAGE(L10:L$36)/100,4)</f>
        <v>1.2800000000000001E-2</v>
      </c>
    </row>
    <row r="11" spans="1:34" s="2871" customFormat="1">
      <c r="A11" s="2864" t="s">
        <v>2929</v>
      </c>
      <c r="B11" s="2865">
        <f t="shared" ref="B11" si="68">B12*(1+N11)</f>
        <v>481.4103506697644</v>
      </c>
      <c r="C11" s="2865">
        <f t="shared" ref="C11" si="69">C12*(1+O11)</f>
        <v>347.29066026648707</v>
      </c>
      <c r="D11" s="2865">
        <f t="shared" ref="D11" si="70">C11</f>
        <v>347.29066026648707</v>
      </c>
      <c r="E11" s="2865">
        <f t="shared" ref="E11" si="71">E12*(1+P11)</f>
        <v>690.85977273901995</v>
      </c>
      <c r="F11" s="2865">
        <f t="shared" ref="F11" si="72">F12*(1+Q11)</f>
        <v>319.13136737000184</v>
      </c>
      <c r="G11" s="2848">
        <v>2020</v>
      </c>
      <c r="H11" s="2866">
        <v>2</v>
      </c>
      <c r="I11" s="2828">
        <v>0.31</v>
      </c>
      <c r="J11" s="2828">
        <v>-0.78</v>
      </c>
      <c r="K11" s="2828">
        <v>0.5</v>
      </c>
      <c r="L11" s="2829">
        <v>0.47</v>
      </c>
      <c r="M11" s="2852"/>
      <c r="N11" s="2867">
        <f t="shared" ref="N11" si="73">I11/100</f>
        <v>3.0999999999999999E-3</v>
      </c>
      <c r="O11" s="2853">
        <f t="shared" ref="O11" si="74">J11/100</f>
        <v>-7.8000000000000005E-3</v>
      </c>
      <c r="P11" s="2853">
        <f t="shared" ref="P11" si="75">K11/100</f>
        <v>5.0000000000000001E-3</v>
      </c>
      <c r="Q11" s="2853">
        <f t="shared" ref="Q11" si="76">L11/100</f>
        <v>4.6999999999999993E-3</v>
      </c>
      <c r="R11" s="2868"/>
      <c r="S11" s="2869"/>
      <c r="T11" s="2870"/>
      <c r="U11" s="2870"/>
      <c r="V11" s="2870"/>
      <c r="W11" s="2852"/>
      <c r="X11" s="2852">
        <f>ROUND(SUMPRODUCT(PRODUCT(1+N11:N$36)),4)</f>
        <v>1.6117999999999999</v>
      </c>
      <c r="Y11" s="2852">
        <f>ROUND(SUMPRODUCT(PRODUCT(1+O11:O$36)),4)</f>
        <v>1.3788</v>
      </c>
      <c r="Z11" s="2852">
        <f t="shared" ref="Z11" si="77">Y11</f>
        <v>1.3788</v>
      </c>
      <c r="AA11" s="2852">
        <f>ROUND(SUMPRODUCT(PRODUCT(1+P11:P$36)),4)</f>
        <v>1.6872</v>
      </c>
      <c r="AB11" s="2852">
        <f>ROUND(SUMPRODUCT(PRODUCT(1+Q11:Q$36)),4)</f>
        <v>1.4069</v>
      </c>
      <c r="AC11" s="2852"/>
      <c r="AD11" s="2853">
        <f>ROUND(AVERAGE(I11:I$36)/100,4)</f>
        <v>1.8599999999999998E-2</v>
      </c>
      <c r="AE11" s="2853">
        <f>ROUND(AVERAGE(J11:J$36)/100,4)</f>
        <v>1.2500000000000001E-2</v>
      </c>
      <c r="AF11" s="2853">
        <f t="shared" ref="AF11" si="78">AE11</f>
        <v>1.2500000000000001E-2</v>
      </c>
      <c r="AG11" s="2853">
        <f>ROUND(AVERAGE(K11:K$36)/100,4)</f>
        <v>2.0400000000000001E-2</v>
      </c>
      <c r="AH11" s="2853">
        <f>ROUND(AVERAGE(L11:L$36)/100,4)</f>
        <v>1.32E-2</v>
      </c>
    </row>
    <row r="12" spans="1:34" s="2871" customFormat="1">
      <c r="A12" s="2864" t="s">
        <v>2927</v>
      </c>
      <c r="B12" s="2865">
        <f t="shared" ref="B12" si="79">B13*(1+N12)</f>
        <v>479.92259063878413</v>
      </c>
      <c r="C12" s="2865">
        <f t="shared" ref="C12" si="80">C13*(1+O12)</f>
        <v>350.02082268341775</v>
      </c>
      <c r="D12" s="2865">
        <f t="shared" ref="D12" si="81">C12</f>
        <v>350.02082268341775</v>
      </c>
      <c r="E12" s="2865">
        <f t="shared" ref="E12" si="82">E13*(1+P12)</f>
        <v>687.42265944181099</v>
      </c>
      <c r="F12" s="2865">
        <f t="shared" ref="F12" si="83">F13*(1+Q12)</f>
        <v>317.63846657708956</v>
      </c>
      <c r="G12" s="2848">
        <v>2020</v>
      </c>
      <c r="H12" s="2866">
        <v>1</v>
      </c>
      <c r="I12" s="2828">
        <v>0.12</v>
      </c>
      <c r="J12" s="2828">
        <v>-0.4</v>
      </c>
      <c r="K12" s="2828">
        <v>0.21</v>
      </c>
      <c r="L12" s="2829">
        <v>0.27</v>
      </c>
      <c r="M12" s="2852"/>
      <c r="N12" s="2867">
        <f t="shared" ref="N12" si="84">I12/100</f>
        <v>1.1999999999999999E-3</v>
      </c>
      <c r="O12" s="2853">
        <f t="shared" ref="O12" si="85">J12/100</f>
        <v>-4.0000000000000001E-3</v>
      </c>
      <c r="P12" s="2853">
        <f t="shared" ref="P12" si="86">K12/100</f>
        <v>2.0999999999999999E-3</v>
      </c>
      <c r="Q12" s="2853">
        <f t="shared" ref="Q12" si="87">L12/100</f>
        <v>2.7000000000000001E-3</v>
      </c>
      <c r="R12" s="2868"/>
      <c r="S12" s="2869">
        <f>B12/B13-1</f>
        <v>1.2000000000000899E-3</v>
      </c>
      <c r="T12" s="2870">
        <f>C12/C13-1</f>
        <v>-4.0000000000000036E-3</v>
      </c>
      <c r="U12" s="2870">
        <f>E12/E13-1</f>
        <v>2.0999999999999908E-3</v>
      </c>
      <c r="V12" s="2870">
        <f>F12/F13-1</f>
        <v>2.6999999999999247E-3</v>
      </c>
      <c r="W12" s="2852"/>
      <c r="X12" s="2852">
        <f>ROUND(SUMPRODUCT(PRODUCT(1+N12:N$36)),4)</f>
        <v>1.6068</v>
      </c>
      <c r="Y12" s="2852">
        <f>ROUND(SUMPRODUCT(PRODUCT(1+O12:O$36)),4)</f>
        <v>1.3895999999999999</v>
      </c>
      <c r="Z12" s="2852">
        <f t="shared" ref="Z12:Z35" si="88">Y12</f>
        <v>1.3895999999999999</v>
      </c>
      <c r="AA12" s="2852">
        <f>ROUND(SUMPRODUCT(PRODUCT(1+P12:P$36)),4)</f>
        <v>1.6788000000000001</v>
      </c>
      <c r="AB12" s="2852">
        <f>ROUND(SUMPRODUCT(PRODUCT(1+Q12:Q$36)),4)</f>
        <v>1.4004000000000001</v>
      </c>
      <c r="AC12" s="2852"/>
      <c r="AD12" s="2853">
        <f>ROUND(AVERAGE(I12:I$36)/100,4)</f>
        <v>1.9199999999999998E-2</v>
      </c>
      <c r="AE12" s="2853">
        <f>ROUND(AVERAGE(J12:J$36)/100,4)</f>
        <v>1.3299999999999999E-2</v>
      </c>
      <c r="AF12" s="2853">
        <f t="shared" ref="AF12" si="89">AE12</f>
        <v>1.3299999999999999E-2</v>
      </c>
      <c r="AG12" s="2853">
        <f>ROUND(AVERAGE(K12:K$36)/100,4)</f>
        <v>2.1100000000000001E-2</v>
      </c>
      <c r="AH12" s="2853">
        <f>ROUND(AVERAGE(L12:L$36)/100,4)</f>
        <v>1.3599999999999999E-2</v>
      </c>
    </row>
    <row r="13" spans="1:34" s="2871" customFormat="1">
      <c r="A13" s="2864" t="s">
        <v>2924</v>
      </c>
      <c r="B13" s="2865">
        <f t="shared" ref="B13" si="90">B14*(1+N13)</f>
        <v>479.34737379023579</v>
      </c>
      <c r="C13" s="2865">
        <f t="shared" ref="C13" si="91">C14*(1+O13)</f>
        <v>351.4265287986122</v>
      </c>
      <c r="D13" s="2865">
        <f t="shared" ref="D13" si="92">C13</f>
        <v>351.4265287986122</v>
      </c>
      <c r="E13" s="2865">
        <f t="shared" ref="E13" si="93">E14*(1+P13)</f>
        <v>685.98209703803116</v>
      </c>
      <c r="F13" s="2865">
        <f t="shared" ref="F13" si="94">F14*(1+Q13)</f>
        <v>316.78315206651001</v>
      </c>
      <c r="G13" s="2848">
        <v>2019</v>
      </c>
      <c r="H13" s="2866">
        <v>4</v>
      </c>
      <c r="I13" s="2866">
        <v>0.45</v>
      </c>
      <c r="J13" s="2866">
        <v>-0.12</v>
      </c>
      <c r="K13" s="2866">
        <v>0.54</v>
      </c>
      <c r="L13" s="2872">
        <v>0.48</v>
      </c>
      <c r="M13" s="2852"/>
      <c r="N13" s="2867">
        <f t="shared" ref="N13" si="95">I13/100</f>
        <v>4.5000000000000005E-3</v>
      </c>
      <c r="O13" s="2853">
        <f t="shared" ref="O13" si="96">J13/100</f>
        <v>-1.1999999999999999E-3</v>
      </c>
      <c r="P13" s="2853">
        <f t="shared" ref="P13" si="97">K13/100</f>
        <v>5.4000000000000003E-3</v>
      </c>
      <c r="Q13" s="2853">
        <f t="shared" ref="Q13" si="98">L13/100</f>
        <v>4.7999999999999996E-3</v>
      </c>
      <c r="R13" s="2868"/>
      <c r="S13" s="2869"/>
      <c r="T13" s="2870"/>
      <c r="U13" s="2870"/>
      <c r="V13" s="2870"/>
      <c r="W13" s="2852"/>
      <c r="X13" s="2852">
        <f>ROUND(SUMPRODUCT(PRODUCT(1+N13:N$36)),4)</f>
        <v>1.6049</v>
      </c>
      <c r="Y13" s="2852">
        <f>ROUND(SUMPRODUCT(PRODUCT(1+O13:O$36)),4)</f>
        <v>1.3952</v>
      </c>
      <c r="Z13" s="2852">
        <f t="shared" si="88"/>
        <v>1.3952</v>
      </c>
      <c r="AA13" s="2852">
        <f>ROUND(SUMPRODUCT(PRODUCT(1+P13:P$36)),4)</f>
        <v>1.6753</v>
      </c>
      <c r="AB13" s="2852">
        <f>ROUND(SUMPRODUCT(PRODUCT(1+Q13:Q$36)),4)</f>
        <v>1.3966000000000001</v>
      </c>
      <c r="AC13" s="2852"/>
      <c r="AD13" s="2853">
        <f>ROUND(AVERAGE(I13:I$36)/100,4)</f>
        <v>0.02</v>
      </c>
      <c r="AE13" s="2853">
        <f>ROUND(AVERAGE(J13:J$36)/100,4)</f>
        <v>1.4E-2</v>
      </c>
      <c r="AF13" s="2853">
        <f t="shared" ref="AF13" si="99">AE13</f>
        <v>1.4E-2</v>
      </c>
      <c r="AG13" s="2853">
        <f>ROUND(AVERAGE(K13:K$36)/100,4)</f>
        <v>2.1899999999999999E-2</v>
      </c>
      <c r="AH13" s="2853">
        <f>ROUND(AVERAGE(L13:L$36)/100,4)</f>
        <v>1.4E-2</v>
      </c>
    </row>
    <row r="14" spans="1:34" s="2871" customFormat="1" ht="13.5" thickBot="1">
      <c r="A14" s="2864" t="s">
        <v>2923</v>
      </c>
      <c r="B14" s="2865">
        <f t="shared" ref="B14" si="100">B15*(1+N14)</f>
        <v>477.19997390765138</v>
      </c>
      <c r="C14" s="2865">
        <f t="shared" ref="C14" si="101">C15*(1+O14)</f>
        <v>351.84874729536665</v>
      </c>
      <c r="D14" s="2865">
        <f t="shared" ref="D14" si="102">C14</f>
        <v>351.84874729536665</v>
      </c>
      <c r="E14" s="2865">
        <f t="shared" ref="E14" si="103">E15*(1+P14)</f>
        <v>682.29768951465201</v>
      </c>
      <c r="F14" s="2865">
        <f t="shared" ref="F14" si="104">F15*(1+Q14)</f>
        <v>315.26985675409043</v>
      </c>
      <c r="G14" s="2848">
        <v>2019</v>
      </c>
      <c r="H14" s="2866">
        <v>3</v>
      </c>
      <c r="I14" s="2866">
        <v>0.61</v>
      </c>
      <c r="J14" s="2866">
        <v>0.67</v>
      </c>
      <c r="K14" s="2866">
        <v>0.6</v>
      </c>
      <c r="L14" s="2872">
        <v>1.03</v>
      </c>
      <c r="M14" s="2852"/>
      <c r="N14" s="2867">
        <f t="shared" ref="N14" si="105">I14/100</f>
        <v>6.0999999999999995E-3</v>
      </c>
      <c r="O14" s="2853">
        <f t="shared" ref="O14" si="106">J14/100</f>
        <v>6.7000000000000002E-3</v>
      </c>
      <c r="P14" s="2853">
        <f t="shared" ref="P14" si="107">K14/100</f>
        <v>6.0000000000000001E-3</v>
      </c>
      <c r="Q14" s="2853">
        <f t="shared" ref="Q14" si="108">L14/100</f>
        <v>1.03E-2</v>
      </c>
      <c r="R14" s="2868"/>
      <c r="S14" s="2869"/>
      <c r="T14" s="2870"/>
      <c r="U14" s="2870"/>
      <c r="V14" s="2870"/>
      <c r="W14" s="2852"/>
      <c r="X14" s="2852">
        <f>ROUND(SUMPRODUCT(PRODUCT(1+N14:N$36)),4)</f>
        <v>1.5976999999999999</v>
      </c>
      <c r="Y14" s="2852">
        <f>ROUND(SUMPRODUCT(PRODUCT(1+O14:O$36)),4)</f>
        <v>1.3969</v>
      </c>
      <c r="Z14" s="2852">
        <f t="shared" si="88"/>
        <v>1.3969</v>
      </c>
      <c r="AA14" s="2852">
        <f>ROUND(SUMPRODUCT(PRODUCT(1+P14:P$36)),4)</f>
        <v>1.6662999999999999</v>
      </c>
      <c r="AB14" s="2852">
        <f>ROUND(SUMPRODUCT(PRODUCT(1+Q14:Q$36)),4)</f>
        <v>1.3898999999999999</v>
      </c>
      <c r="AC14" s="2852"/>
      <c r="AD14" s="2853">
        <f>ROUND(AVERAGE(I14:I$36)/100,4)</f>
        <v>2.07E-2</v>
      </c>
      <c r="AE14" s="2853">
        <f>ROUND(AVERAGE(J14:J$36)/100,4)</f>
        <v>1.47E-2</v>
      </c>
      <c r="AF14" s="2853">
        <f t="shared" ref="AF14" si="109">AE14</f>
        <v>1.47E-2</v>
      </c>
      <c r="AG14" s="2853">
        <f>ROUND(AVERAGE(K14:K$36)/100,4)</f>
        <v>2.2599999999999999E-2</v>
      </c>
      <c r="AH14" s="2853">
        <f>ROUND(AVERAGE(L14:L$36)/100,4)</f>
        <v>1.44E-2</v>
      </c>
    </row>
    <row r="15" spans="1:34" s="2871" customFormat="1">
      <c r="A15" s="2864" t="s">
        <v>2922</v>
      </c>
      <c r="B15" s="2865">
        <f t="shared" ref="B15:B20" si="110">B16*(1+N15)</f>
        <v>474.30670301923408</v>
      </c>
      <c r="C15" s="2865">
        <f t="shared" ref="C15" si="111">C16*(1+O15)</f>
        <v>349.50705005996491</v>
      </c>
      <c r="D15" s="2865">
        <f t="shared" ref="D15" si="112">C15</f>
        <v>349.50705005996491</v>
      </c>
      <c r="E15" s="2865">
        <f t="shared" ref="E15" si="113">E16*(1+P15)</f>
        <v>678.22831959706957</v>
      </c>
      <c r="F15" s="2865">
        <f t="shared" ref="F15" si="114">F16*(1+Q15)</f>
        <v>312.0556832169558</v>
      </c>
      <c r="G15" s="2848">
        <v>2019</v>
      </c>
      <c r="H15" s="2873">
        <v>2</v>
      </c>
      <c r="I15" s="2873">
        <v>1.53</v>
      </c>
      <c r="J15" s="2873">
        <v>1.01</v>
      </c>
      <c r="K15" s="2873">
        <v>1.62</v>
      </c>
      <c r="L15" s="2874">
        <v>1.25</v>
      </c>
      <c r="M15" s="2852"/>
      <c r="N15" s="2867">
        <f t="shared" ref="N15" si="115">I15/100</f>
        <v>1.5300000000000001E-2</v>
      </c>
      <c r="O15" s="2853">
        <f t="shared" ref="O15" si="116">J15/100</f>
        <v>1.01E-2</v>
      </c>
      <c r="P15" s="2853">
        <f t="shared" ref="P15" si="117">K15/100</f>
        <v>1.6200000000000003E-2</v>
      </c>
      <c r="Q15" s="2853">
        <f t="shared" ref="Q15" si="118">L15/100</f>
        <v>1.2500000000000001E-2</v>
      </c>
      <c r="R15" s="2868"/>
      <c r="S15" s="2869"/>
      <c r="T15" s="2870"/>
      <c r="U15" s="2870"/>
      <c r="V15" s="2870"/>
      <c r="W15" s="2852"/>
      <c r="X15" s="2852">
        <f>ROUND(SUMPRODUCT(PRODUCT(1+N15:N$36)),4)</f>
        <v>1.5880000000000001</v>
      </c>
      <c r="Y15" s="2852">
        <f>ROUND(SUMPRODUCT(PRODUCT(1+O15:O$36)),4)</f>
        <v>1.3875999999999999</v>
      </c>
      <c r="Z15" s="2852">
        <f t="shared" si="88"/>
        <v>1.3875999999999999</v>
      </c>
      <c r="AA15" s="2852">
        <f>ROUND(SUMPRODUCT(PRODUCT(1+P15:P$36)),4)</f>
        <v>1.6563000000000001</v>
      </c>
      <c r="AB15" s="2852">
        <f>ROUND(SUMPRODUCT(PRODUCT(1+Q15:Q$36)),4)</f>
        <v>1.3756999999999999</v>
      </c>
      <c r="AC15" s="2852"/>
      <c r="AD15" s="2853">
        <f>ROUND(AVERAGE(I15:I$36)/100,4)</f>
        <v>2.1299999999999999E-2</v>
      </c>
      <c r="AE15" s="2853">
        <f>ROUND(AVERAGE(J15:J$36)/100,4)</f>
        <v>1.4999999999999999E-2</v>
      </c>
      <c r="AF15" s="2853">
        <f t="shared" ref="AF15" si="119">AE15</f>
        <v>1.4999999999999999E-2</v>
      </c>
      <c r="AG15" s="2853">
        <f>ROUND(AVERAGE(K15:K$36)/100,4)</f>
        <v>2.3300000000000001E-2</v>
      </c>
      <c r="AH15" s="2853">
        <f>ROUND(AVERAGE(L15:L$36)/100,4)</f>
        <v>1.46E-2</v>
      </c>
    </row>
    <row r="16" spans="1:34" s="2871" customFormat="1" ht="13.5" thickBot="1">
      <c r="A16" s="2864" t="s">
        <v>2921</v>
      </c>
      <c r="B16" s="2865">
        <f t="shared" si="110"/>
        <v>467.15916775261894</v>
      </c>
      <c r="C16" s="2865">
        <f t="shared" ref="C16" si="120">C17*(1+O16)</f>
        <v>346.01232557169084</v>
      </c>
      <c r="D16" s="2865">
        <f t="shared" ref="D16" si="121">C16</f>
        <v>346.01232557169084</v>
      </c>
      <c r="E16" s="2865">
        <f t="shared" ref="E16" si="122">E17*(1+P16)</f>
        <v>667.41617752122568</v>
      </c>
      <c r="F16" s="2865">
        <f t="shared" ref="F16" si="123">F17*(1+Q16)</f>
        <v>308.20314391798104</v>
      </c>
      <c r="G16" s="2848">
        <v>2019</v>
      </c>
      <c r="H16" s="2866">
        <v>1</v>
      </c>
      <c r="I16" s="2866">
        <v>0.6</v>
      </c>
      <c r="J16" s="2866">
        <v>0.37</v>
      </c>
      <c r="K16" s="2866">
        <v>0.63</v>
      </c>
      <c r="L16" s="2872">
        <v>1.1299999999999999</v>
      </c>
      <c r="M16" s="2852"/>
      <c r="N16" s="2867">
        <f t="shared" ref="N16" si="124">I16/100</f>
        <v>6.0000000000000001E-3</v>
      </c>
      <c r="O16" s="2853">
        <f t="shared" ref="O16" si="125">J16/100</f>
        <v>3.7000000000000002E-3</v>
      </c>
      <c r="P16" s="2853">
        <f t="shared" ref="P16" si="126">K16/100</f>
        <v>6.3E-3</v>
      </c>
      <c r="Q16" s="2853">
        <f t="shared" ref="Q16" si="127">L16/100</f>
        <v>1.1299999999999999E-2</v>
      </c>
      <c r="R16" s="2868"/>
      <c r="S16" s="2869">
        <f>B16/B17-1</f>
        <v>6.0000000000000053E-3</v>
      </c>
      <c r="T16" s="2870">
        <f>C16/C17-1</f>
        <v>3.7000000000000366E-3</v>
      </c>
      <c r="U16" s="2870">
        <f>E16/E17-1</f>
        <v>6.2999999999999723E-3</v>
      </c>
      <c r="V16" s="2870">
        <f>F16/F17-1</f>
        <v>1.1300000000000088E-2</v>
      </c>
      <c r="W16" s="2852"/>
      <c r="X16" s="2852">
        <f>ROUND(SUMPRODUCT(PRODUCT(1+N16:N$36)),4)</f>
        <v>1.5641</v>
      </c>
      <c r="Y16" s="2852">
        <f>ROUND(SUMPRODUCT(PRODUCT(1+O16:O$36)),4)</f>
        <v>1.3736999999999999</v>
      </c>
      <c r="Z16" s="2852">
        <f t="shared" si="88"/>
        <v>1.3736999999999999</v>
      </c>
      <c r="AA16" s="2852">
        <f>ROUND(SUMPRODUCT(PRODUCT(1+P16:P$36)),4)</f>
        <v>1.6298999999999999</v>
      </c>
      <c r="AB16" s="2852">
        <f>ROUND(SUMPRODUCT(PRODUCT(1+Q16:Q$36)),4)</f>
        <v>1.3588</v>
      </c>
      <c r="AC16" s="2852"/>
      <c r="AD16" s="2853">
        <f>ROUND(AVERAGE(I16:I$36)/100,4)</f>
        <v>2.1600000000000001E-2</v>
      </c>
      <c r="AE16" s="2853">
        <f>ROUND(AVERAGE(J16:J$36)/100,4)</f>
        <v>1.5299999999999999E-2</v>
      </c>
      <c r="AF16" s="2853">
        <f t="shared" ref="AF16" si="128">AE16</f>
        <v>1.5299999999999999E-2</v>
      </c>
      <c r="AG16" s="2853">
        <f>ROUND(AVERAGE(K16:K$36)/100,4)</f>
        <v>2.3699999999999999E-2</v>
      </c>
      <c r="AH16" s="2853">
        <f>ROUND(AVERAGE(L16:L$36)/100,4)</f>
        <v>1.47E-2</v>
      </c>
    </row>
    <row r="17" spans="1:34" s="2871" customFormat="1">
      <c r="A17" s="2864" t="s">
        <v>2919</v>
      </c>
      <c r="B17" s="2875">
        <f t="shared" si="110"/>
        <v>464.37293017158942</v>
      </c>
      <c r="C17" s="2875">
        <f t="shared" ref="C17" si="129">C18*(1+O17)</f>
        <v>344.73679941385956</v>
      </c>
      <c r="D17" s="2875">
        <f t="shared" ref="D17" si="130">C17</f>
        <v>344.73679941385956</v>
      </c>
      <c r="E17" s="2875">
        <f t="shared" ref="E17" si="131">E18*(1+P17)</f>
        <v>663.2377795103107</v>
      </c>
      <c r="F17" s="2876">
        <f t="shared" ref="F17" si="132">F18*(1+Q17)</f>
        <v>304.75936311478398</v>
      </c>
      <c r="G17" s="4417">
        <v>2018</v>
      </c>
      <c r="H17" s="2873">
        <v>4</v>
      </c>
      <c r="I17" s="2873">
        <v>0.96</v>
      </c>
      <c r="J17" s="2873">
        <v>1.03</v>
      </c>
      <c r="K17" s="2873">
        <v>0.92</v>
      </c>
      <c r="L17" s="2874">
        <v>1.29</v>
      </c>
      <c r="M17" s="2852"/>
      <c r="N17" s="2867">
        <f t="shared" ref="N17" si="133">I17/100</f>
        <v>9.5999999999999992E-3</v>
      </c>
      <c r="O17" s="2853">
        <f t="shared" ref="O17" si="134">J17/100</f>
        <v>1.03E-2</v>
      </c>
      <c r="P17" s="2853">
        <f t="shared" ref="P17" si="135">K17/100</f>
        <v>9.1999999999999998E-3</v>
      </c>
      <c r="Q17" s="2853">
        <f t="shared" ref="Q17" si="136">L17/100</f>
        <v>1.29E-2</v>
      </c>
      <c r="R17" s="2868"/>
      <c r="S17" s="2877"/>
      <c r="T17" s="2878"/>
      <c r="U17" s="2878"/>
      <c r="V17" s="2878"/>
      <c r="W17" s="2852"/>
      <c r="X17" s="2852">
        <f>ROUND(SUMPRODUCT(PRODUCT(1+N17:N$36)),4)</f>
        <v>1.5548</v>
      </c>
      <c r="Y17" s="2852">
        <f>ROUND(SUMPRODUCT(PRODUCT(1+O17:O$36)),4)</f>
        <v>1.3686</v>
      </c>
      <c r="Z17" s="2852">
        <f t="shared" si="88"/>
        <v>1.3686</v>
      </c>
      <c r="AA17" s="2852">
        <f>ROUND(SUMPRODUCT(PRODUCT(1+P17:P$36)),4)</f>
        <v>1.6196999999999999</v>
      </c>
      <c r="AB17" s="2852">
        <f>ROUND(SUMPRODUCT(PRODUCT(1+Q17:Q$36)),4)</f>
        <v>1.3435999999999999</v>
      </c>
      <c r="AC17" s="2852"/>
      <c r="AD17" s="2853">
        <f>ROUND(AVERAGE(I17:I$36)/100,4)</f>
        <v>2.24E-2</v>
      </c>
      <c r="AE17" s="2853">
        <f>ROUND(AVERAGE(J17:J$36)/100,4)</f>
        <v>1.5800000000000002E-2</v>
      </c>
      <c r="AF17" s="2853">
        <f t="shared" ref="AF17" si="137">AE17</f>
        <v>1.5800000000000002E-2</v>
      </c>
      <c r="AG17" s="2853">
        <f>ROUND(AVERAGE(K17:K$36)/100,4)</f>
        <v>2.4500000000000001E-2</v>
      </c>
      <c r="AH17" s="2853">
        <f>ROUND(AVERAGE(L17:L$36)/100,4)</f>
        <v>1.49E-2</v>
      </c>
    </row>
    <row r="18" spans="1:34" s="2871" customFormat="1" ht="14.45" customHeight="1">
      <c r="A18" s="2864" t="s">
        <v>2912</v>
      </c>
      <c r="B18" s="2865">
        <f t="shared" si="110"/>
        <v>459.95733971036987</v>
      </c>
      <c r="C18" s="2865">
        <f t="shared" ref="C18" si="138">C19*(1+O18)</f>
        <v>341.22221064422405</v>
      </c>
      <c r="D18" s="2865">
        <f t="shared" ref="D18" si="139">C18</f>
        <v>341.22221064422405</v>
      </c>
      <c r="E18" s="2865">
        <f t="shared" ref="E18" si="140">E19*(1+P18)</f>
        <v>657.19161663724799</v>
      </c>
      <c r="F18" s="2865">
        <f t="shared" ref="F18" si="141">F19*(1+Q18)</f>
        <v>300.87803644464805</v>
      </c>
      <c r="G18" s="4417"/>
      <c r="H18" s="2866">
        <v>3</v>
      </c>
      <c r="I18" s="2866">
        <v>1.51</v>
      </c>
      <c r="J18" s="2866">
        <v>1.41</v>
      </c>
      <c r="K18" s="2866">
        <v>1.52</v>
      </c>
      <c r="L18" s="2872">
        <v>1.74</v>
      </c>
      <c r="M18" s="2852"/>
      <c r="N18" s="2867">
        <f t="shared" ref="N18" si="142">I18/100</f>
        <v>1.5100000000000001E-2</v>
      </c>
      <c r="O18" s="2853">
        <f t="shared" ref="O18" si="143">J18/100</f>
        <v>1.41E-2</v>
      </c>
      <c r="P18" s="2853">
        <f t="shared" ref="P18" si="144">K18/100</f>
        <v>1.52E-2</v>
      </c>
      <c r="Q18" s="2853">
        <f t="shared" ref="Q18" si="145">L18/100</f>
        <v>1.7399999999999999E-2</v>
      </c>
      <c r="R18" s="2868"/>
      <c r="S18" s="2867"/>
      <c r="T18" s="2853"/>
      <c r="U18" s="2853"/>
      <c r="V18" s="2853"/>
      <c r="W18" s="2852"/>
      <c r="X18" s="2852">
        <f>ROUND(SUMPRODUCT(PRODUCT(1+N18:N$36)),4)</f>
        <v>1.54</v>
      </c>
      <c r="Y18" s="2852">
        <f>ROUND(SUMPRODUCT(PRODUCT(1+O18:O$36)),4)</f>
        <v>1.3547</v>
      </c>
      <c r="Z18" s="2852">
        <f t="shared" si="88"/>
        <v>1.3547</v>
      </c>
      <c r="AA18" s="2852">
        <f>ROUND(SUMPRODUCT(PRODUCT(1+P18:P$36)),4)</f>
        <v>1.605</v>
      </c>
      <c r="AB18" s="2852">
        <f>ROUND(SUMPRODUCT(PRODUCT(1+Q18:Q$36)),4)</f>
        <v>1.3265</v>
      </c>
      <c r="AC18" s="2852"/>
      <c r="AD18" s="2853">
        <f>ROUND(AVERAGE(I18:I$36)/100,4)</f>
        <v>2.3099999999999999E-2</v>
      </c>
      <c r="AE18" s="2853">
        <f>ROUND(AVERAGE(J18:J$36)/100,4)</f>
        <v>1.61E-2</v>
      </c>
      <c r="AF18" s="2853">
        <f t="shared" ref="AF18" si="146">AE18</f>
        <v>1.61E-2</v>
      </c>
      <c r="AG18" s="2853">
        <f>ROUND(AVERAGE(K18:K$36)/100,4)</f>
        <v>2.53E-2</v>
      </c>
      <c r="AH18" s="2853">
        <f>ROUND(AVERAGE(L18:L$36)/100,4)</f>
        <v>1.4999999999999999E-2</v>
      </c>
    </row>
    <row r="19" spans="1:34" s="2871" customFormat="1" ht="14.45" customHeight="1">
      <c r="A19" s="2864" t="s">
        <v>2913</v>
      </c>
      <c r="B19" s="2865">
        <f t="shared" si="110"/>
        <v>453.11529869999993</v>
      </c>
      <c r="C19" s="2865">
        <f t="shared" ref="C19" si="147">C20*(1+O19)</f>
        <v>336.47787264000004</v>
      </c>
      <c r="D19" s="2865">
        <f t="shared" ref="D19" si="148">C19</f>
        <v>336.47787264000004</v>
      </c>
      <c r="E19" s="2865">
        <f t="shared" ref="E19" si="149">E20*(1+P19)</f>
        <v>647.35186823999993</v>
      </c>
      <c r="F19" s="2865">
        <f t="shared" ref="F19" si="150">F20*(1+Q19)</f>
        <v>295.73229452000004</v>
      </c>
      <c r="G19" s="4417"/>
      <c r="H19" s="2879">
        <v>2</v>
      </c>
      <c r="I19" s="2879">
        <v>1.49</v>
      </c>
      <c r="J19" s="2879">
        <v>0.96</v>
      </c>
      <c r="K19" s="2879">
        <v>1.58</v>
      </c>
      <c r="L19" s="2880">
        <v>2.44</v>
      </c>
      <c r="M19" s="2852"/>
      <c r="N19" s="2867">
        <f t="shared" ref="N19" si="151">I19/100</f>
        <v>1.49E-2</v>
      </c>
      <c r="O19" s="2853">
        <f t="shared" ref="O19" si="152">J19/100</f>
        <v>9.5999999999999992E-3</v>
      </c>
      <c r="P19" s="2853">
        <f t="shared" ref="P19" si="153">K19/100</f>
        <v>1.5800000000000002E-2</v>
      </c>
      <c r="Q19" s="2853">
        <f t="shared" ref="Q19" si="154">L19/100</f>
        <v>2.4399999999999998E-2</v>
      </c>
      <c r="R19" s="2868"/>
      <c r="S19" s="2867"/>
      <c r="T19" s="2853"/>
      <c r="U19" s="2853"/>
      <c r="V19" s="2853"/>
      <c r="W19" s="2852"/>
      <c r="X19" s="2852">
        <f>ROUND(SUMPRODUCT(PRODUCT(1+N19:N$36)),4)</f>
        <v>1.5170999999999999</v>
      </c>
      <c r="Y19" s="2852">
        <f>ROUND(SUMPRODUCT(PRODUCT(1+O19:O$36)),4)</f>
        <v>1.3358000000000001</v>
      </c>
      <c r="Z19" s="2852">
        <f t="shared" si="88"/>
        <v>1.3358000000000001</v>
      </c>
      <c r="AA19" s="2852">
        <f>ROUND(SUMPRODUCT(PRODUCT(1+P19:P$36)),4)</f>
        <v>1.5809</v>
      </c>
      <c r="AB19" s="2852">
        <f>ROUND(SUMPRODUCT(PRODUCT(1+Q19:Q$36)),4)</f>
        <v>1.3038000000000001</v>
      </c>
      <c r="AC19" s="2852"/>
      <c r="AD19" s="2853">
        <f>ROUND(AVERAGE(I19:I$36)/100,4)</f>
        <v>2.35E-2</v>
      </c>
      <c r="AE19" s="2853">
        <f>ROUND(AVERAGE(J19:J$36)/100,4)</f>
        <v>1.6199999999999999E-2</v>
      </c>
      <c r="AF19" s="2853">
        <f t="shared" ref="AF19" si="155">AE19</f>
        <v>1.6199999999999999E-2</v>
      </c>
      <c r="AG19" s="2853">
        <f>ROUND(AVERAGE(K19:K$36)/100,4)</f>
        <v>2.5899999999999999E-2</v>
      </c>
      <c r="AH19" s="2853">
        <f>ROUND(AVERAGE(L19:L$36)/100,4)</f>
        <v>1.49E-2</v>
      </c>
    </row>
    <row r="20" spans="1:34" s="2871" customFormat="1" ht="15" customHeight="1" thickBot="1">
      <c r="A20" s="2864" t="s">
        <v>2909</v>
      </c>
      <c r="B20" s="2865">
        <f t="shared" si="110"/>
        <v>446.46299999999997</v>
      </c>
      <c r="C20" s="2865">
        <f t="shared" ref="C20" si="156">C21*(1+O20)</f>
        <v>333.27840000000003</v>
      </c>
      <c r="D20" s="2865">
        <f t="shared" ref="D20:D25" si="157">C20</f>
        <v>333.27840000000003</v>
      </c>
      <c r="E20" s="2865">
        <f t="shared" ref="E20" si="158">E21*(1+P20)</f>
        <v>637.28279999999995</v>
      </c>
      <c r="F20" s="2865">
        <f t="shared" ref="F20" si="159">F21*(1+Q20)</f>
        <v>288.68830000000003</v>
      </c>
      <c r="G20" s="4423"/>
      <c r="H20" s="2866">
        <v>1</v>
      </c>
      <c r="I20" s="2866">
        <v>1.7</v>
      </c>
      <c r="J20" s="2866">
        <v>1.92</v>
      </c>
      <c r="K20" s="2866">
        <v>1.64</v>
      </c>
      <c r="L20" s="2872">
        <v>2.0099999999999998</v>
      </c>
      <c r="M20" s="2852"/>
      <c r="N20" s="2867">
        <f t="shared" ref="N20:N25" si="160">I20/100</f>
        <v>1.7000000000000001E-2</v>
      </c>
      <c r="O20" s="2853">
        <f t="shared" ref="O20" si="161">J20/100</f>
        <v>1.9199999999999998E-2</v>
      </c>
      <c r="P20" s="2853">
        <f t="shared" ref="P20" si="162">K20/100</f>
        <v>1.6399999999999998E-2</v>
      </c>
      <c r="Q20" s="2853">
        <f t="shared" ref="Q20" si="163">L20/100</f>
        <v>2.0099999999999996E-2</v>
      </c>
      <c r="R20" s="2868"/>
      <c r="S20" s="2869">
        <f>B20/B21-1</f>
        <v>1.6999999999999904E-2</v>
      </c>
      <c r="T20" s="2870">
        <f>C20/C21-1</f>
        <v>1.9200000000000106E-2</v>
      </c>
      <c r="U20" s="2870">
        <f>E20/E21-1</f>
        <v>1.639999999999997E-2</v>
      </c>
      <c r="V20" s="2870">
        <f>F20/F21-1</f>
        <v>2.0100000000000007E-2</v>
      </c>
      <c r="W20" s="2852"/>
      <c r="X20" s="2852">
        <f>ROUND(SUMPRODUCT(PRODUCT(1+N20:N$36)),4)</f>
        <v>1.4947999999999999</v>
      </c>
      <c r="Y20" s="2852">
        <f>ROUND(SUMPRODUCT(PRODUCT(1+O20:O$36)),4)</f>
        <v>1.3230999999999999</v>
      </c>
      <c r="Z20" s="2852">
        <f t="shared" si="88"/>
        <v>1.3230999999999999</v>
      </c>
      <c r="AA20" s="2852">
        <f>ROUND(SUMPRODUCT(PRODUCT(1+P20:P$36)),4)</f>
        <v>1.5564</v>
      </c>
      <c r="AB20" s="2852">
        <f>ROUND(SUMPRODUCT(PRODUCT(1+Q20:Q$36)),4)</f>
        <v>1.2726999999999999</v>
      </c>
      <c r="AC20" s="2852"/>
      <c r="AD20" s="2853">
        <f>ROUND(AVERAGE(I20:I$36)/100,4)</f>
        <v>2.4E-2</v>
      </c>
      <c r="AE20" s="2853">
        <f>ROUND(AVERAGE(J20:J$36)/100,4)</f>
        <v>1.66E-2</v>
      </c>
      <c r="AF20" s="2853">
        <f t="shared" ref="AF20" si="164">AE20</f>
        <v>1.66E-2</v>
      </c>
      <c r="AG20" s="2853">
        <f>ROUND(AVERAGE(K20:K$36)/100,4)</f>
        <v>2.6499999999999999E-2</v>
      </c>
      <c r="AH20" s="2853">
        <f>ROUND(AVERAGE(L20:L$36)/100,4)</f>
        <v>1.43E-2</v>
      </c>
    </row>
    <row r="21" spans="1:34">
      <c r="A21" s="2864" t="s">
        <v>2902</v>
      </c>
      <c r="B21" s="2881">
        <v>439</v>
      </c>
      <c r="C21" s="2881">
        <v>327</v>
      </c>
      <c r="D21" s="2881">
        <f t="shared" si="157"/>
        <v>327</v>
      </c>
      <c r="E21" s="2881">
        <v>627</v>
      </c>
      <c r="F21" s="2882">
        <v>283</v>
      </c>
      <c r="G21" s="4422">
        <v>2017</v>
      </c>
      <c r="H21" s="2873">
        <v>4</v>
      </c>
      <c r="I21" s="2873">
        <v>1.71</v>
      </c>
      <c r="J21" s="2873">
        <v>1.78</v>
      </c>
      <c r="K21" s="2873">
        <v>1.71</v>
      </c>
      <c r="L21" s="2874">
        <v>1.43</v>
      </c>
      <c r="N21" s="2883">
        <f t="shared" si="160"/>
        <v>1.7100000000000001E-2</v>
      </c>
      <c r="O21" s="2884">
        <f t="shared" ref="O21" si="165">J21/100</f>
        <v>1.78E-2</v>
      </c>
      <c r="P21" s="2884">
        <f t="shared" ref="P21" si="166">K21/100</f>
        <v>1.7100000000000001E-2</v>
      </c>
      <c r="Q21" s="2884">
        <f t="shared" ref="Q21" si="167">L21/100</f>
        <v>1.43E-2</v>
      </c>
      <c r="R21" s="2868"/>
      <c r="S21" s="2877"/>
      <c r="T21" s="2878"/>
      <c r="U21" s="2878"/>
      <c r="V21" s="2878"/>
      <c r="X21" s="2852">
        <f>ROUND(SUMPRODUCT(PRODUCT(1+N21:N$36)),4)</f>
        <v>1.4698</v>
      </c>
      <c r="Y21" s="2852">
        <f>ROUND(SUMPRODUCT(PRODUCT(1+O21:O$36)),4)</f>
        <v>1.2982</v>
      </c>
      <c r="Z21" s="2852">
        <f t="shared" si="88"/>
        <v>1.2982</v>
      </c>
      <c r="AA21" s="2852">
        <f>ROUND(SUMPRODUCT(PRODUCT(1+P21:P$36)),4)</f>
        <v>1.5311999999999999</v>
      </c>
      <c r="AB21" s="2852">
        <f>ROUND(SUMPRODUCT(PRODUCT(1+Q21:Q$36)),4)</f>
        <v>1.2476</v>
      </c>
      <c r="AD21" s="2853">
        <f>ROUND(AVERAGE(I21:I$36)/100,4)</f>
        <v>2.4500000000000001E-2</v>
      </c>
      <c r="AE21" s="2853">
        <f>ROUND(AVERAGE(J21:J$36)/100,4)</f>
        <v>1.6500000000000001E-2</v>
      </c>
      <c r="AF21" s="2853">
        <f t="shared" si="1"/>
        <v>1.6500000000000001E-2</v>
      </c>
      <c r="AG21" s="2853">
        <f>ROUND(AVERAGE(K21:K$36)/100,4)</f>
        <v>2.7099999999999999E-2</v>
      </c>
      <c r="AH21" s="2853">
        <f>ROUND(AVERAGE(L21:L$36)/100,4)</f>
        <v>1.3899999999999999E-2</v>
      </c>
    </row>
    <row r="22" spans="1:34" s="2871" customFormat="1" ht="14.45" customHeight="1">
      <c r="A22" s="2864" t="s">
        <v>2905</v>
      </c>
      <c r="B22" s="2865">
        <f t="shared" ref="B22:C24" si="168">B23*(1+N22)</f>
        <v>431.80730811680002</v>
      </c>
      <c r="C22" s="2865">
        <f t="shared" si="168"/>
        <v>320.57880516480003</v>
      </c>
      <c r="D22" s="2865">
        <f t="shared" si="157"/>
        <v>320.57880516480003</v>
      </c>
      <c r="E22" s="2865">
        <f t="shared" ref="E22:F24" si="169">E23*(1+P22)</f>
        <v>615.96110553196797</v>
      </c>
      <c r="F22" s="2865">
        <f t="shared" si="169"/>
        <v>279.46777300108801</v>
      </c>
      <c r="G22" s="4417"/>
      <c r="H22" s="2866">
        <v>3</v>
      </c>
      <c r="I22" s="2866">
        <v>2.98</v>
      </c>
      <c r="J22" s="2866">
        <v>2.11</v>
      </c>
      <c r="K22" s="2866">
        <v>3.24</v>
      </c>
      <c r="L22" s="2872">
        <v>1.72</v>
      </c>
      <c r="M22" s="2852"/>
      <c r="N22" s="2867">
        <f t="shared" si="160"/>
        <v>2.98E-2</v>
      </c>
      <c r="O22" s="2885">
        <f t="shared" ref="O22:O23" si="170">J22/100</f>
        <v>2.1099999999999997E-2</v>
      </c>
      <c r="P22" s="2885">
        <f t="shared" ref="P22:P23" si="171">K22/100</f>
        <v>3.2400000000000005E-2</v>
      </c>
      <c r="Q22" s="2885">
        <f t="shared" ref="Q22:Q23" si="172">L22/100</f>
        <v>1.72E-2</v>
      </c>
      <c r="R22" s="2868"/>
      <c r="S22" s="2867"/>
      <c r="T22" s="2853"/>
      <c r="U22" s="2853"/>
      <c r="V22" s="2853"/>
      <c r="W22" s="2852"/>
      <c r="X22" s="2852">
        <f>ROUND(SUMPRODUCT(PRODUCT(1+N22:N$36)),4)</f>
        <v>1.4451000000000001</v>
      </c>
      <c r="Y22" s="2852">
        <f>ROUND(SUMPRODUCT(PRODUCT(1+O22:O$36)),4)</f>
        <v>1.2755000000000001</v>
      </c>
      <c r="Z22" s="2852">
        <f t="shared" si="88"/>
        <v>1.2755000000000001</v>
      </c>
      <c r="AA22" s="2852">
        <f>ROUND(SUMPRODUCT(PRODUCT(1+P22:P$36)),4)</f>
        <v>1.5055000000000001</v>
      </c>
      <c r="AB22" s="2852">
        <f>ROUND(SUMPRODUCT(PRODUCT(1+Q22:Q$36)),4)</f>
        <v>1.2301</v>
      </c>
      <c r="AC22" s="2852"/>
      <c r="AD22" s="2853">
        <f>ROUND(AVERAGE(I22:I$36)/100,4)</f>
        <v>2.4899999999999999E-2</v>
      </c>
      <c r="AE22" s="2853">
        <f>ROUND(AVERAGE(J22:J$36)/100,4)</f>
        <v>1.6400000000000001E-2</v>
      </c>
      <c r="AF22" s="2853">
        <f t="shared" si="1"/>
        <v>1.6400000000000001E-2</v>
      </c>
      <c r="AG22" s="2853">
        <f>ROUND(AVERAGE(K22:K$36)/100,4)</f>
        <v>2.7799999999999998E-2</v>
      </c>
      <c r="AH22" s="2853">
        <f>ROUND(AVERAGE(L22:L$36)/100,4)</f>
        <v>1.3899999999999999E-2</v>
      </c>
    </row>
    <row r="23" spans="1:34" s="2830" customFormat="1" ht="14.45" customHeight="1">
      <c r="A23" s="2864" t="s">
        <v>2534</v>
      </c>
      <c r="B23" s="2865">
        <f t="shared" si="168"/>
        <v>419.31181600000002</v>
      </c>
      <c r="C23" s="2865">
        <f t="shared" si="168"/>
        <v>313.95436800000004</v>
      </c>
      <c r="D23" s="2865">
        <f t="shared" si="157"/>
        <v>313.95436800000004</v>
      </c>
      <c r="E23" s="2865">
        <f t="shared" si="169"/>
        <v>596.63028431999999</v>
      </c>
      <c r="F23" s="2865">
        <f t="shared" si="169"/>
        <v>274.74220703999998</v>
      </c>
      <c r="G23" s="4417"/>
      <c r="H23" s="2879">
        <v>2</v>
      </c>
      <c r="I23" s="2879">
        <v>3.4</v>
      </c>
      <c r="J23" s="2879">
        <v>2</v>
      </c>
      <c r="K23" s="2879">
        <v>3.82</v>
      </c>
      <c r="L23" s="2880">
        <v>1.68</v>
      </c>
      <c r="N23" s="2867">
        <f t="shared" si="160"/>
        <v>3.4000000000000002E-2</v>
      </c>
      <c r="O23" s="2885">
        <f t="shared" si="170"/>
        <v>0.02</v>
      </c>
      <c r="P23" s="2885">
        <f t="shared" si="171"/>
        <v>3.8199999999999998E-2</v>
      </c>
      <c r="Q23" s="2885">
        <f t="shared" si="172"/>
        <v>1.6799999999999999E-2</v>
      </c>
      <c r="S23" s="2867"/>
      <c r="T23" s="2853"/>
      <c r="U23" s="2853"/>
      <c r="V23" s="2853"/>
      <c r="X23" s="2852">
        <f>ROUND(SUMPRODUCT(PRODUCT(1+N23:N$36)),4)</f>
        <v>1.4033</v>
      </c>
      <c r="Y23" s="2852">
        <f>ROUND(SUMPRODUCT(PRODUCT(1+O23:O$36)),4)</f>
        <v>1.2491000000000001</v>
      </c>
      <c r="Z23" s="2852">
        <f t="shared" si="88"/>
        <v>1.2491000000000001</v>
      </c>
      <c r="AA23" s="2852">
        <f>ROUND(SUMPRODUCT(PRODUCT(1+P23:P$36)),4)</f>
        <v>1.4581999999999999</v>
      </c>
      <c r="AB23" s="2852">
        <f>ROUND(SUMPRODUCT(PRODUCT(1+Q23:Q$36)),4)</f>
        <v>1.2093</v>
      </c>
      <c r="AD23" s="2853">
        <f>ROUND(AVERAGE(I23:I$36)/100,4)</f>
        <v>2.46E-2</v>
      </c>
      <c r="AE23" s="2853">
        <f>ROUND(AVERAGE(J23:J$36)/100,4)</f>
        <v>1.6E-2</v>
      </c>
      <c r="AF23" s="2853">
        <f t="shared" si="1"/>
        <v>1.6E-2</v>
      </c>
      <c r="AG23" s="2853">
        <f>ROUND(AVERAGE(K23:K$36)/100,4)</f>
        <v>2.75E-2</v>
      </c>
      <c r="AH23" s="2853">
        <f>ROUND(AVERAGE(L23:L$36)/100,4)</f>
        <v>1.37E-2</v>
      </c>
    </row>
    <row r="24" spans="1:34" s="2871" customFormat="1" ht="15" customHeight="1" thickBot="1">
      <c r="A24" s="2864" t="s">
        <v>2535</v>
      </c>
      <c r="B24" s="2865">
        <f t="shared" si="168"/>
        <v>405.524</v>
      </c>
      <c r="C24" s="2865">
        <f t="shared" si="168"/>
        <v>307.79840000000002</v>
      </c>
      <c r="D24" s="2865">
        <f t="shared" si="157"/>
        <v>307.79840000000002</v>
      </c>
      <c r="E24" s="2865">
        <f t="shared" si="169"/>
        <v>574.67759999999998</v>
      </c>
      <c r="F24" s="2865">
        <f t="shared" si="169"/>
        <v>270.20280000000002</v>
      </c>
      <c r="G24" s="4423"/>
      <c r="H24" s="2866">
        <v>1</v>
      </c>
      <c r="I24" s="2866">
        <v>3.45</v>
      </c>
      <c r="J24" s="2866">
        <v>1.92</v>
      </c>
      <c r="K24" s="2866">
        <v>3.92</v>
      </c>
      <c r="L24" s="2872">
        <v>1.58</v>
      </c>
      <c r="M24" s="2852"/>
      <c r="N24" s="2869">
        <f t="shared" si="160"/>
        <v>3.4500000000000003E-2</v>
      </c>
      <c r="O24" s="2870">
        <f t="shared" ref="O24" si="173">J24/100</f>
        <v>1.9199999999999998E-2</v>
      </c>
      <c r="P24" s="2870">
        <f t="shared" ref="P24" si="174">K24/100</f>
        <v>3.9199999999999999E-2</v>
      </c>
      <c r="Q24" s="2870">
        <f t="shared" ref="Q24" si="175">L24/100</f>
        <v>1.5800000000000002E-2</v>
      </c>
      <c r="R24" s="2868"/>
      <c r="S24" s="2869">
        <f>B24/B25-1</f>
        <v>3.4499999999999975E-2</v>
      </c>
      <c r="T24" s="2870">
        <f>C24/C25-1</f>
        <v>1.9200000000000106E-2</v>
      </c>
      <c r="U24" s="2870">
        <f>E24/E25-1</f>
        <v>3.9199999999999902E-2</v>
      </c>
      <c r="V24" s="2870">
        <f>F24/F25-1</f>
        <v>1.5800000000000036E-2</v>
      </c>
      <c r="W24" s="2852"/>
      <c r="X24" s="2852">
        <f>ROUND(SUMPRODUCT(PRODUCT(1+N24:N$36)),4)</f>
        <v>1.3571</v>
      </c>
      <c r="Y24" s="2852">
        <f>ROUND(SUMPRODUCT(PRODUCT(1+O24:O$36)),4)</f>
        <v>1.2245999999999999</v>
      </c>
      <c r="Z24" s="2852">
        <f t="shared" si="88"/>
        <v>1.2245999999999999</v>
      </c>
      <c r="AA24" s="2852">
        <f>ROUND(SUMPRODUCT(PRODUCT(1+P24:P$36)),4)</f>
        <v>1.4046000000000001</v>
      </c>
      <c r="AB24" s="2852">
        <f>ROUND(SUMPRODUCT(PRODUCT(1+Q24:Q$36)),4)</f>
        <v>1.1893</v>
      </c>
      <c r="AC24" s="2852"/>
      <c r="AD24" s="2853">
        <f>ROUND(AVERAGE(I24:I$36)/100,4)</f>
        <v>2.3900000000000001E-2</v>
      </c>
      <c r="AE24" s="2853">
        <f>ROUND(AVERAGE(J24:J$36)/100,4)</f>
        <v>1.5699999999999999E-2</v>
      </c>
      <c r="AF24" s="2853">
        <f t="shared" si="1"/>
        <v>1.5699999999999999E-2</v>
      </c>
      <c r="AG24" s="2853">
        <f>ROUND(AVERAGE(K24:K$36)/100,4)</f>
        <v>2.6599999999999999E-2</v>
      </c>
      <c r="AH24" s="2853">
        <f>ROUND(AVERAGE(L24:L$36)/100,4)</f>
        <v>1.34E-2</v>
      </c>
    </row>
    <row r="25" spans="1:34">
      <c r="A25" s="2864" t="s">
        <v>945</v>
      </c>
      <c r="B25" s="2886">
        <v>392</v>
      </c>
      <c r="C25" s="2886">
        <v>302</v>
      </c>
      <c r="D25" s="2886">
        <f t="shared" si="157"/>
        <v>302</v>
      </c>
      <c r="E25" s="2886">
        <v>553</v>
      </c>
      <c r="F25" s="2887">
        <v>266</v>
      </c>
      <c r="G25" s="4422">
        <v>2016</v>
      </c>
      <c r="H25" s="2873">
        <v>4</v>
      </c>
      <c r="I25" s="2873">
        <v>4.5599999999999996</v>
      </c>
      <c r="J25" s="2873">
        <v>2.15</v>
      </c>
      <c r="K25" s="2873">
        <v>5.32</v>
      </c>
      <c r="L25" s="2874">
        <v>1.57</v>
      </c>
      <c r="N25" s="2867">
        <f t="shared" si="160"/>
        <v>4.5599999999999995E-2</v>
      </c>
      <c r="O25" s="2853">
        <f t="shared" ref="O25:Q40" si="176">J25/100</f>
        <v>2.1499999999999998E-2</v>
      </c>
      <c r="P25" s="2853">
        <f t="shared" si="176"/>
        <v>5.3200000000000004E-2</v>
      </c>
      <c r="Q25" s="2853">
        <f t="shared" si="176"/>
        <v>1.5700000000000002E-2</v>
      </c>
      <c r="R25" s="2868"/>
      <c r="S25" s="2877"/>
      <c r="T25" s="2878"/>
      <c r="U25" s="2878"/>
      <c r="V25" s="2878"/>
      <c r="X25" s="2852">
        <f>ROUND(SUMPRODUCT(PRODUCT(1+N25:N$36)),4)</f>
        <v>1.3119000000000001</v>
      </c>
      <c r="Y25" s="2852">
        <f>ROUND(SUMPRODUCT(PRODUCT(1+O25:O$36)),4)</f>
        <v>1.2016</v>
      </c>
      <c r="Z25" s="2852">
        <f t="shared" si="88"/>
        <v>1.2016</v>
      </c>
      <c r="AA25" s="2852">
        <f>ROUND(SUMPRODUCT(PRODUCT(1+P25:P$36)),4)</f>
        <v>1.3515999999999999</v>
      </c>
      <c r="AB25" s="2852">
        <f>ROUND(SUMPRODUCT(PRODUCT(1+Q25:Q$36)),4)</f>
        <v>1.1708000000000001</v>
      </c>
      <c r="AD25" s="2853">
        <f>ROUND(AVERAGE(I25:I$36)/100,4)</f>
        <v>2.3E-2</v>
      </c>
      <c r="AE25" s="2853">
        <f>ROUND(AVERAGE(J25:J$36)/100,4)</f>
        <v>1.55E-2</v>
      </c>
      <c r="AF25" s="2853">
        <f t="shared" si="1"/>
        <v>1.55E-2</v>
      </c>
      <c r="AG25" s="2853">
        <f>ROUND(AVERAGE(K25:K$36)/100,4)</f>
        <v>2.5600000000000001E-2</v>
      </c>
      <c r="AH25" s="2853">
        <f>ROUND(AVERAGE(L25:L$36)/100,4)</f>
        <v>1.32E-2</v>
      </c>
    </row>
    <row r="26" spans="1:34">
      <c r="A26" s="2864" t="s">
        <v>944</v>
      </c>
      <c r="B26" s="2865">
        <f t="shared" ref="B26:C28" si="177">B25/(1+N25)</f>
        <v>374.90436113236416</v>
      </c>
      <c r="C26" s="2865">
        <f t="shared" si="177"/>
        <v>295.64366128242779</v>
      </c>
      <c r="D26" s="2865">
        <f t="shared" ref="D26:D85" si="178">C26</f>
        <v>295.64366128242779</v>
      </c>
      <c r="E26" s="2865">
        <f t="shared" ref="E26:F28" si="179">E25/(1+P25)</f>
        <v>525.06646410938095</v>
      </c>
      <c r="F26" s="2865">
        <f t="shared" si="179"/>
        <v>261.88835286009646</v>
      </c>
      <c r="G26" s="4417"/>
      <c r="H26" s="2866">
        <v>3</v>
      </c>
      <c r="I26" s="2866">
        <v>4.12</v>
      </c>
      <c r="J26" s="2866">
        <v>2</v>
      </c>
      <c r="K26" s="2866">
        <v>4.79</v>
      </c>
      <c r="L26" s="2872">
        <v>1.97</v>
      </c>
      <c r="N26" s="2867">
        <f t="shared" ref="N26:Q60" si="180">I26/100</f>
        <v>4.1200000000000001E-2</v>
      </c>
      <c r="O26" s="2853">
        <f t="shared" si="176"/>
        <v>0.02</v>
      </c>
      <c r="P26" s="2853">
        <f t="shared" si="176"/>
        <v>4.7899999999999998E-2</v>
      </c>
      <c r="Q26" s="2853">
        <f t="shared" si="176"/>
        <v>1.9699999999999999E-2</v>
      </c>
      <c r="R26" s="2868"/>
      <c r="S26" s="2867"/>
      <c r="T26" s="2853"/>
      <c r="U26" s="2853"/>
      <c r="V26" s="2853"/>
      <c r="X26" s="2852">
        <f>ROUND(SUMPRODUCT(PRODUCT(1+N26:N$36)),4)</f>
        <v>1.2546999999999999</v>
      </c>
      <c r="Y26" s="2852">
        <f>ROUND(SUMPRODUCT(PRODUCT(1+O26:O$36)),4)</f>
        <v>1.1762999999999999</v>
      </c>
      <c r="Z26" s="2852">
        <f t="shared" si="88"/>
        <v>1.1762999999999999</v>
      </c>
      <c r="AA26" s="2852">
        <f>ROUND(SUMPRODUCT(PRODUCT(1+P26:P$36)),4)</f>
        <v>1.2833000000000001</v>
      </c>
      <c r="AB26" s="2852">
        <f>ROUND(SUMPRODUCT(PRODUCT(1+Q26:Q$36)),4)</f>
        <v>1.1527000000000001</v>
      </c>
      <c r="AD26" s="2853">
        <f>ROUND(AVERAGE(I26:I$36)/100,4)</f>
        <v>2.0899999999999998E-2</v>
      </c>
      <c r="AE26" s="2853">
        <f>ROUND(AVERAGE(J26:J$36)/100,4)</f>
        <v>1.49E-2</v>
      </c>
      <c r="AF26" s="2853">
        <f t="shared" si="1"/>
        <v>1.49E-2</v>
      </c>
      <c r="AG26" s="2853">
        <f>ROUND(AVERAGE(K26:K$36)/100,4)</f>
        <v>2.3099999999999999E-2</v>
      </c>
      <c r="AH26" s="2853">
        <f>ROUND(AVERAGE(L26:L$36)/100,4)</f>
        <v>1.2999999999999999E-2</v>
      </c>
    </row>
    <row r="27" spans="1:34">
      <c r="A27" s="2864" t="s">
        <v>934</v>
      </c>
      <c r="B27" s="2865">
        <f t="shared" si="177"/>
        <v>360.06949782209392</v>
      </c>
      <c r="C27" s="2865">
        <f t="shared" si="177"/>
        <v>289.84672674747821</v>
      </c>
      <c r="D27" s="2865">
        <f t="shared" si="178"/>
        <v>289.84672674747821</v>
      </c>
      <c r="E27" s="2865">
        <f t="shared" si="179"/>
        <v>501.06543001181495</v>
      </c>
      <c r="F27" s="2865">
        <f t="shared" si="179"/>
        <v>256.82882500744967</v>
      </c>
      <c r="G27" s="4417"/>
      <c r="H27" s="2879">
        <v>2</v>
      </c>
      <c r="I27" s="2879">
        <v>3.85</v>
      </c>
      <c r="J27" s="2879">
        <v>1.95</v>
      </c>
      <c r="K27" s="2879">
        <v>4.4800000000000004</v>
      </c>
      <c r="L27" s="2880">
        <v>1.41</v>
      </c>
      <c r="N27" s="2867">
        <f t="shared" si="180"/>
        <v>3.85E-2</v>
      </c>
      <c r="O27" s="2853">
        <f t="shared" si="176"/>
        <v>1.95E-2</v>
      </c>
      <c r="P27" s="2853">
        <f t="shared" si="176"/>
        <v>4.4800000000000006E-2</v>
      </c>
      <c r="Q27" s="2853">
        <f t="shared" si="176"/>
        <v>1.41E-2</v>
      </c>
      <c r="R27" s="2868"/>
      <c r="S27" s="2867"/>
      <c r="T27" s="2853"/>
      <c r="U27" s="2853"/>
      <c r="V27" s="2853"/>
      <c r="X27" s="2852">
        <f>ROUND(SUMPRODUCT(PRODUCT(1+N27:N$36)),4)</f>
        <v>1.2050000000000001</v>
      </c>
      <c r="Y27" s="2852">
        <f>ROUND(SUMPRODUCT(PRODUCT(1+O27:O$36)),4)</f>
        <v>1.1532</v>
      </c>
      <c r="Z27" s="2852">
        <f t="shared" si="88"/>
        <v>1.1532</v>
      </c>
      <c r="AA27" s="2852">
        <f>ROUND(SUMPRODUCT(PRODUCT(1+P27:P$36)),4)</f>
        <v>1.2246999999999999</v>
      </c>
      <c r="AB27" s="2852">
        <f>ROUND(SUMPRODUCT(PRODUCT(1+Q27:Q$36)),4)</f>
        <v>1.1304000000000001</v>
      </c>
      <c r="AD27" s="2853">
        <f>ROUND(AVERAGE(I27:I$36)/100,4)</f>
        <v>1.89E-2</v>
      </c>
      <c r="AE27" s="2853">
        <f>ROUND(AVERAGE(J27:J$36)/100,4)</f>
        <v>1.44E-2</v>
      </c>
      <c r="AF27" s="2853">
        <f t="shared" si="1"/>
        <v>1.44E-2</v>
      </c>
      <c r="AG27" s="2853">
        <f>ROUND(AVERAGE(K27:K$36)/100,4)</f>
        <v>2.06E-2</v>
      </c>
      <c r="AH27" s="2853">
        <f>ROUND(AVERAGE(L27:L$36)/100,4)</f>
        <v>1.23E-2</v>
      </c>
    </row>
    <row r="28" spans="1:34" ht="13.5" thickBot="1">
      <c r="A28" s="2864" t="s">
        <v>943</v>
      </c>
      <c r="B28" s="2865">
        <f t="shared" si="177"/>
        <v>346.720748986128</v>
      </c>
      <c r="C28" s="2865">
        <f t="shared" si="177"/>
        <v>284.30282172386285</v>
      </c>
      <c r="D28" s="2865">
        <f t="shared" si="178"/>
        <v>284.30282172386285</v>
      </c>
      <c r="E28" s="2865">
        <f t="shared" si="179"/>
        <v>479.58023546306947</v>
      </c>
      <c r="F28" s="2865">
        <f t="shared" si="179"/>
        <v>253.25788877571213</v>
      </c>
      <c r="G28" s="4418"/>
      <c r="H28" s="2866">
        <v>1</v>
      </c>
      <c r="I28" s="2866">
        <v>4.09</v>
      </c>
      <c r="J28" s="2866">
        <v>2.93</v>
      </c>
      <c r="K28" s="2866">
        <v>4.54</v>
      </c>
      <c r="L28" s="2872">
        <v>1.48</v>
      </c>
      <c r="N28" s="2867">
        <f t="shared" si="180"/>
        <v>4.0899999999999999E-2</v>
      </c>
      <c r="O28" s="2853">
        <f t="shared" si="176"/>
        <v>2.9300000000000003E-2</v>
      </c>
      <c r="P28" s="2853">
        <f t="shared" si="176"/>
        <v>4.5400000000000003E-2</v>
      </c>
      <c r="Q28" s="2853">
        <f t="shared" si="176"/>
        <v>1.4800000000000001E-2</v>
      </c>
      <c r="R28" s="2868"/>
      <c r="S28" s="2869">
        <f>B28/B29-1</f>
        <v>4.1203450408792808E-2</v>
      </c>
      <c r="T28" s="2870">
        <f>C28/C29-1</f>
        <v>2.6363977342465095E-2</v>
      </c>
      <c r="U28" s="2870">
        <f>E28/E29-1</f>
        <v>4.4837114298626357E-2</v>
      </c>
      <c r="V28" s="2870">
        <f>F28/F29-1</f>
        <v>1.7099954922538574E-2</v>
      </c>
      <c r="X28" s="2852">
        <f>ROUND(SUMPRODUCT(PRODUCT(1+N28:N$36)),4)</f>
        <v>1.1604000000000001</v>
      </c>
      <c r="Y28" s="2852">
        <f>ROUND(SUMPRODUCT(PRODUCT(1+O28:O$36)),4)</f>
        <v>1.1312</v>
      </c>
      <c r="Z28" s="2852">
        <f t="shared" si="88"/>
        <v>1.1312</v>
      </c>
      <c r="AA28" s="2852">
        <f>ROUND(SUMPRODUCT(PRODUCT(1+P28:P$36)),4)</f>
        <v>1.1721999999999999</v>
      </c>
      <c r="AB28" s="2852">
        <f>ROUND(SUMPRODUCT(PRODUCT(1+Q28:Q$36)),4)</f>
        <v>1.1147</v>
      </c>
      <c r="AD28" s="2853">
        <f>ROUND(AVERAGE(I28:I$36)/100,4)</f>
        <v>1.67E-2</v>
      </c>
      <c r="AE28" s="2853">
        <f>ROUND(AVERAGE(J28:J$36)/100,4)</f>
        <v>1.38E-2</v>
      </c>
      <c r="AF28" s="2853">
        <f t="shared" si="1"/>
        <v>1.38E-2</v>
      </c>
      <c r="AG28" s="2853">
        <f>ROUND(AVERAGE(K28:K$36)/100,4)</f>
        <v>1.7899999999999999E-2</v>
      </c>
      <c r="AH28" s="2853">
        <f>ROUND(AVERAGE(L28:L$36)/100,4)</f>
        <v>1.21E-2</v>
      </c>
    </row>
    <row r="29" spans="1:34" ht="13.5" thickBot="1">
      <c r="A29" s="2864" t="s">
        <v>942</v>
      </c>
      <c r="B29" s="2886">
        <v>333</v>
      </c>
      <c r="C29" s="2886">
        <v>277</v>
      </c>
      <c r="D29" s="2886">
        <f t="shared" si="178"/>
        <v>277</v>
      </c>
      <c r="E29" s="2886">
        <v>459</v>
      </c>
      <c r="F29" s="2887">
        <v>249</v>
      </c>
      <c r="G29" s="4416">
        <v>2015</v>
      </c>
      <c r="H29" s="2888">
        <v>4</v>
      </c>
      <c r="I29" s="2888">
        <v>1.63</v>
      </c>
      <c r="J29" s="2888">
        <v>1.1100000000000001</v>
      </c>
      <c r="K29" s="2888">
        <v>1.77</v>
      </c>
      <c r="L29" s="2889">
        <v>1.89</v>
      </c>
      <c r="N29" s="2883">
        <f t="shared" si="180"/>
        <v>1.6299999999999999E-2</v>
      </c>
      <c r="O29" s="2884">
        <f t="shared" si="176"/>
        <v>1.11E-2</v>
      </c>
      <c r="P29" s="2884">
        <f t="shared" si="176"/>
        <v>1.77E-2</v>
      </c>
      <c r="Q29" s="2884">
        <f t="shared" si="176"/>
        <v>1.89E-2</v>
      </c>
      <c r="R29" s="2868"/>
      <c r="X29" s="2852">
        <f>ROUND(SUMPRODUCT(PRODUCT(1+N29:N$36)),4)</f>
        <v>1.1148</v>
      </c>
      <c r="Y29" s="2852">
        <f>ROUND(SUMPRODUCT(PRODUCT(1+O29:O$36)),4)</f>
        <v>1.099</v>
      </c>
      <c r="Z29" s="2852">
        <f t="shared" si="88"/>
        <v>1.099</v>
      </c>
      <c r="AA29" s="2852">
        <f>ROUND(SUMPRODUCT(PRODUCT(1+P29:P$36)),4)</f>
        <v>1.1213</v>
      </c>
      <c r="AB29" s="2852">
        <f>ROUND(SUMPRODUCT(PRODUCT(1+Q29:Q$36)),4)</f>
        <v>1.0984</v>
      </c>
      <c r="AD29" s="2853">
        <f>ROUND(AVERAGE(I29:I$36)/100,4)</f>
        <v>1.37E-2</v>
      </c>
      <c r="AE29" s="2853">
        <f>ROUND(AVERAGE(J29:J$36)/100,4)</f>
        <v>1.1900000000000001E-2</v>
      </c>
      <c r="AF29" s="2853">
        <f t="shared" si="1"/>
        <v>1.1900000000000001E-2</v>
      </c>
      <c r="AG29" s="2853">
        <f>ROUND(AVERAGE(K29:K$36)/100,4)</f>
        <v>1.4500000000000001E-2</v>
      </c>
      <c r="AH29" s="2853">
        <f>ROUND(AVERAGE(L29:L$36)/100,4)</f>
        <v>1.18E-2</v>
      </c>
    </row>
    <row r="30" spans="1:34">
      <c r="A30" s="2864" t="s">
        <v>941</v>
      </c>
      <c r="B30" s="2865">
        <f t="shared" ref="B30:C32" si="181">B29/(1+N29)</f>
        <v>327.65915576109415</v>
      </c>
      <c r="C30" s="2865">
        <f t="shared" si="181"/>
        <v>273.95905449510434</v>
      </c>
      <c r="D30" s="2865">
        <f t="shared" si="178"/>
        <v>273.95905449510434</v>
      </c>
      <c r="E30" s="2865">
        <f t="shared" ref="E30:F32" si="182">E29/(1+P29)</f>
        <v>451.01699911565294</v>
      </c>
      <c r="F30" s="2865">
        <f t="shared" si="182"/>
        <v>244.38119540681129</v>
      </c>
      <c r="G30" s="4417"/>
      <c r="H30" s="2891">
        <v>3</v>
      </c>
      <c r="I30" s="2891">
        <v>1.65</v>
      </c>
      <c r="J30" s="2891">
        <v>0.92</v>
      </c>
      <c r="K30" s="2891">
        <v>1.88</v>
      </c>
      <c r="L30" s="2892">
        <v>1.26</v>
      </c>
      <c r="N30" s="2867">
        <f t="shared" si="180"/>
        <v>1.6500000000000001E-2</v>
      </c>
      <c r="O30" s="2885">
        <f t="shared" si="176"/>
        <v>9.1999999999999998E-3</v>
      </c>
      <c r="P30" s="2885">
        <f t="shared" si="176"/>
        <v>1.8799999999999997E-2</v>
      </c>
      <c r="Q30" s="2885">
        <f t="shared" si="176"/>
        <v>1.26E-2</v>
      </c>
      <c r="R30" s="2868"/>
      <c r="S30" s="2867"/>
      <c r="T30" s="2853"/>
      <c r="U30" s="2853"/>
      <c r="V30" s="2853"/>
      <c r="X30" s="2852">
        <f>ROUND(SUMPRODUCT(PRODUCT(1+N30:N$36)),4)</f>
        <v>1.0969</v>
      </c>
      <c r="Y30" s="2852">
        <f>ROUND(SUMPRODUCT(PRODUCT(1+O30:O$36)),4)</f>
        <v>1.0869</v>
      </c>
      <c r="Z30" s="2852">
        <f t="shared" si="88"/>
        <v>1.0869</v>
      </c>
      <c r="AA30" s="2852">
        <f>ROUND(SUMPRODUCT(PRODUCT(1+P30:P$36)),4)</f>
        <v>1.1017999999999999</v>
      </c>
      <c r="AB30" s="2852">
        <f>ROUND(SUMPRODUCT(PRODUCT(1+Q30:Q$36)),4)</f>
        <v>1.0781000000000001</v>
      </c>
      <c r="AD30" s="2853">
        <f>ROUND(AVERAGE(I30:I$36)/100,4)</f>
        <v>1.3299999999999999E-2</v>
      </c>
      <c r="AE30" s="2853">
        <f>ROUND(AVERAGE(J30:J$36)/100,4)</f>
        <v>1.2E-2</v>
      </c>
      <c r="AF30" s="2853">
        <f t="shared" si="1"/>
        <v>1.2E-2</v>
      </c>
      <c r="AG30" s="2853">
        <f>ROUND(AVERAGE(K30:K$36)/100,4)</f>
        <v>1.4E-2</v>
      </c>
      <c r="AH30" s="2853">
        <f>ROUND(AVERAGE(L30:L$36)/100,4)</f>
        <v>1.0800000000000001E-2</v>
      </c>
    </row>
    <row r="31" spans="1:34">
      <c r="A31" s="2864" t="s">
        <v>940</v>
      </c>
      <c r="B31" s="2865">
        <f t="shared" si="181"/>
        <v>322.34053690220776</v>
      </c>
      <c r="C31" s="2865">
        <f t="shared" si="181"/>
        <v>271.46160770422546</v>
      </c>
      <c r="D31" s="2865">
        <f t="shared" si="178"/>
        <v>271.46160770422546</v>
      </c>
      <c r="E31" s="2865">
        <f t="shared" si="182"/>
        <v>442.69434542172456</v>
      </c>
      <c r="F31" s="2865">
        <f t="shared" si="182"/>
        <v>241.34030753190925</v>
      </c>
      <c r="G31" s="4417"/>
      <c r="H31" s="2879">
        <v>2</v>
      </c>
      <c r="I31" s="2879">
        <v>0.77</v>
      </c>
      <c r="J31" s="2879">
        <v>0.69</v>
      </c>
      <c r="K31" s="2879">
        <v>0.8</v>
      </c>
      <c r="L31" s="2880">
        <v>0.88</v>
      </c>
      <c r="N31" s="2867">
        <f t="shared" si="180"/>
        <v>7.7000000000000002E-3</v>
      </c>
      <c r="O31" s="2885">
        <f t="shared" si="176"/>
        <v>6.8999999999999999E-3</v>
      </c>
      <c r="P31" s="2885">
        <f t="shared" si="176"/>
        <v>8.0000000000000002E-3</v>
      </c>
      <c r="Q31" s="2885">
        <f t="shared" si="176"/>
        <v>8.8000000000000005E-3</v>
      </c>
      <c r="R31" s="2868"/>
      <c r="S31" s="2867"/>
      <c r="T31" s="2853"/>
      <c r="U31" s="2853"/>
      <c r="V31" s="2853"/>
      <c r="X31" s="2852">
        <f>ROUND(SUMPRODUCT(PRODUCT(1+N31:N$36)),4)</f>
        <v>1.0790999999999999</v>
      </c>
      <c r="Y31" s="2852">
        <f>ROUND(SUMPRODUCT(PRODUCT(1+O31:O$36)),4)</f>
        <v>1.077</v>
      </c>
      <c r="Z31" s="2852">
        <f t="shared" si="88"/>
        <v>1.077</v>
      </c>
      <c r="AA31" s="2852">
        <f>ROUND(SUMPRODUCT(PRODUCT(1+P31:P$36)),4)</f>
        <v>1.0813999999999999</v>
      </c>
      <c r="AB31" s="2852">
        <f>ROUND(SUMPRODUCT(PRODUCT(1+Q31:Q$36)),4)</f>
        <v>1.0647</v>
      </c>
      <c r="AD31" s="2853">
        <f>ROUND(AVERAGE(I31:I$36)/100,4)</f>
        <v>1.2800000000000001E-2</v>
      </c>
      <c r="AE31" s="2853">
        <f>ROUND(AVERAGE(J31:J$36)/100,4)</f>
        <v>1.2500000000000001E-2</v>
      </c>
      <c r="AF31" s="2853">
        <f t="shared" si="1"/>
        <v>1.2500000000000001E-2</v>
      </c>
      <c r="AG31" s="2853">
        <f>ROUND(AVERAGE(K31:K$36)/100,4)</f>
        <v>1.32E-2</v>
      </c>
      <c r="AH31" s="2853">
        <f>ROUND(AVERAGE(L31:L$36)/100,4)</f>
        <v>1.0500000000000001E-2</v>
      </c>
    </row>
    <row r="32" spans="1:34">
      <c r="A32" s="2864" t="s">
        <v>939</v>
      </c>
      <c r="B32" s="2865">
        <f t="shared" si="181"/>
        <v>319.87748030386797</v>
      </c>
      <c r="C32" s="2865">
        <f t="shared" si="181"/>
        <v>269.60135833173649</v>
      </c>
      <c r="D32" s="2865">
        <f t="shared" si="178"/>
        <v>269.60135833173649</v>
      </c>
      <c r="E32" s="2865">
        <f t="shared" si="182"/>
        <v>439.18089823583784</v>
      </c>
      <c r="F32" s="2865">
        <f t="shared" si="182"/>
        <v>239.23503918706311</v>
      </c>
      <c r="G32" s="4418"/>
      <c r="H32" s="2866">
        <v>1</v>
      </c>
      <c r="I32" s="2866">
        <v>0.51</v>
      </c>
      <c r="J32" s="2866">
        <v>0.54</v>
      </c>
      <c r="K32" s="2866">
        <v>0.48</v>
      </c>
      <c r="L32" s="2872">
        <v>0.93</v>
      </c>
      <c r="N32" s="2869">
        <f t="shared" si="180"/>
        <v>5.1000000000000004E-3</v>
      </c>
      <c r="O32" s="2870">
        <f t="shared" si="176"/>
        <v>5.4000000000000003E-3</v>
      </c>
      <c r="P32" s="2870">
        <f t="shared" si="176"/>
        <v>4.7999999999999996E-3</v>
      </c>
      <c r="Q32" s="2870">
        <f t="shared" si="176"/>
        <v>9.300000000000001E-3</v>
      </c>
      <c r="R32" s="2868"/>
      <c r="S32" s="2869">
        <f>B32/B33-1</f>
        <v>5.9040261127922822E-3</v>
      </c>
      <c r="T32" s="2870">
        <f>C32/C33-1</f>
        <v>5.9752176557332781E-3</v>
      </c>
      <c r="U32" s="2870">
        <f>E32/E33-1</f>
        <v>4.9906138119859556E-3</v>
      </c>
      <c r="V32" s="2870">
        <f>F32/F33-1</f>
        <v>9.4305450930933787E-3</v>
      </c>
      <c r="X32" s="2852">
        <f>ROUND(SUMPRODUCT(PRODUCT(1+N32:N$36)),4)</f>
        <v>1.0708</v>
      </c>
      <c r="Y32" s="2852">
        <f>ROUND(SUMPRODUCT(PRODUCT(1+O32:O$36)),4)</f>
        <v>1.0696000000000001</v>
      </c>
      <c r="Z32" s="2852">
        <f t="shared" si="88"/>
        <v>1.0696000000000001</v>
      </c>
      <c r="AA32" s="2852">
        <f>ROUND(SUMPRODUCT(PRODUCT(1+P32:P$36)),4)</f>
        <v>1.0728</v>
      </c>
      <c r="AB32" s="2852">
        <f>ROUND(SUMPRODUCT(PRODUCT(1+Q32:Q$36)),4)</f>
        <v>1.0553999999999999</v>
      </c>
      <c r="AD32" s="2853">
        <f>ROUND(AVERAGE(I32:I$36)/100,4)</f>
        <v>1.38E-2</v>
      </c>
      <c r="AE32" s="2853">
        <f>ROUND(AVERAGE(J32:J$36)/100,4)</f>
        <v>1.3599999999999999E-2</v>
      </c>
      <c r="AF32" s="2853">
        <f t="shared" si="1"/>
        <v>1.3599999999999999E-2</v>
      </c>
      <c r="AG32" s="2853">
        <f>ROUND(AVERAGE(K32:K$36)/100,4)</f>
        <v>1.4200000000000001E-2</v>
      </c>
      <c r="AH32" s="2853">
        <f>ROUND(AVERAGE(L32:L$36)/100,4)</f>
        <v>1.0800000000000001E-2</v>
      </c>
    </row>
    <row r="33" spans="1:34" ht="13.5" thickBot="1">
      <c r="A33" s="2864" t="s">
        <v>938</v>
      </c>
      <c r="B33" s="2893">
        <v>318</v>
      </c>
      <c r="C33" s="2893">
        <v>268</v>
      </c>
      <c r="D33" s="2893">
        <f t="shared" si="178"/>
        <v>268</v>
      </c>
      <c r="E33" s="2893">
        <v>437</v>
      </c>
      <c r="F33" s="2894">
        <v>237</v>
      </c>
      <c r="G33" s="4416">
        <v>2014</v>
      </c>
      <c r="H33" s="2888">
        <v>4</v>
      </c>
      <c r="I33" s="2888">
        <v>0.21</v>
      </c>
      <c r="J33" s="2888">
        <v>0.41</v>
      </c>
      <c r="K33" s="2888">
        <v>0.12</v>
      </c>
      <c r="L33" s="2889">
        <v>0.89</v>
      </c>
      <c r="N33" s="2867">
        <f t="shared" si="180"/>
        <v>2.0999999999999999E-3</v>
      </c>
      <c r="O33" s="2853">
        <f t="shared" si="176"/>
        <v>4.0999999999999995E-3</v>
      </c>
      <c r="P33" s="2853">
        <f t="shared" si="176"/>
        <v>1.1999999999999999E-3</v>
      </c>
      <c r="Q33" s="2853">
        <f t="shared" si="176"/>
        <v>8.8999999999999999E-3</v>
      </c>
      <c r="R33" s="2868"/>
      <c r="S33" s="2877"/>
      <c r="T33" s="2878"/>
      <c r="U33" s="2878"/>
      <c r="V33" s="2878"/>
      <c r="X33" s="2852">
        <f>ROUND(SUMPRODUCT(PRODUCT(1+N33:N$36)),4)</f>
        <v>1.0653999999999999</v>
      </c>
      <c r="Y33" s="2852">
        <f>ROUND(SUMPRODUCT(PRODUCT(1+O33:O$36)),4)</f>
        <v>1.0639000000000001</v>
      </c>
      <c r="Z33" s="2852">
        <f t="shared" si="88"/>
        <v>1.0639000000000001</v>
      </c>
      <c r="AA33" s="2852">
        <f>ROUND(SUMPRODUCT(PRODUCT(1+P33:P$36)),4)</f>
        <v>1.0677000000000001</v>
      </c>
      <c r="AB33" s="2852">
        <f>ROUND(SUMPRODUCT(PRODUCT(1+Q33:Q$36)),4)</f>
        <v>1.0456000000000001</v>
      </c>
      <c r="AD33" s="2853">
        <f>ROUND(AVERAGE(I33:I$36)/100,4)</f>
        <v>1.6E-2</v>
      </c>
      <c r="AE33" s="2853">
        <f>ROUND(AVERAGE(J33:J$36)/100,4)</f>
        <v>1.5599999999999999E-2</v>
      </c>
      <c r="AF33" s="2853">
        <f t="shared" si="1"/>
        <v>1.5599999999999999E-2</v>
      </c>
      <c r="AG33" s="2853">
        <f>ROUND(AVERAGE(K33:K$36)/100,4)</f>
        <v>1.66E-2</v>
      </c>
      <c r="AH33" s="2853">
        <f>ROUND(AVERAGE(L33:L$36)/100,4)</f>
        <v>1.12E-2</v>
      </c>
    </row>
    <row r="34" spans="1:34">
      <c r="A34" s="2864" t="s">
        <v>937</v>
      </c>
      <c r="B34" s="2865">
        <f t="shared" ref="B34:C36" si="183">B33/(1+N33)</f>
        <v>317.33359944117353</v>
      </c>
      <c r="C34" s="2865">
        <f t="shared" si="183"/>
        <v>266.90568668459315</v>
      </c>
      <c r="D34" s="2865">
        <f t="shared" si="178"/>
        <v>266.90568668459315</v>
      </c>
      <c r="E34" s="2865">
        <f t="shared" ref="E34:F36" si="184">E33/(1+P33)</f>
        <v>436.47622852576905</v>
      </c>
      <c r="F34" s="2865">
        <f t="shared" si="184"/>
        <v>234.90930716622066</v>
      </c>
      <c r="G34" s="4417"/>
      <c r="H34" s="2895">
        <v>3</v>
      </c>
      <c r="I34" s="2895">
        <v>0.83</v>
      </c>
      <c r="J34" s="2895">
        <v>1.47</v>
      </c>
      <c r="K34" s="2895">
        <v>0.65</v>
      </c>
      <c r="L34" s="2896">
        <v>0.72</v>
      </c>
      <c r="N34" s="2867">
        <f t="shared" si="180"/>
        <v>8.3000000000000001E-3</v>
      </c>
      <c r="O34" s="2853">
        <f t="shared" si="176"/>
        <v>1.47E-2</v>
      </c>
      <c r="P34" s="2853">
        <f t="shared" si="176"/>
        <v>6.5000000000000006E-3</v>
      </c>
      <c r="Q34" s="2853">
        <f t="shared" si="176"/>
        <v>7.1999999999999998E-3</v>
      </c>
      <c r="R34" s="2868"/>
      <c r="S34" s="2867"/>
      <c r="T34" s="2853"/>
      <c r="U34" s="2853"/>
      <c r="V34" s="2853"/>
      <c r="X34" s="2852">
        <f>ROUND(SUMPRODUCT(PRODUCT(1+N34:N$36)),4)</f>
        <v>1.0631999999999999</v>
      </c>
      <c r="Y34" s="2852">
        <f>ROUND(SUMPRODUCT(PRODUCT(1+O34:O$36)),4)</f>
        <v>1.0595000000000001</v>
      </c>
      <c r="Z34" s="2852">
        <f t="shared" si="88"/>
        <v>1.0595000000000001</v>
      </c>
      <c r="AA34" s="2852">
        <f>ROUND(SUMPRODUCT(PRODUCT(1+P34:P$36)),4)</f>
        <v>1.0664</v>
      </c>
      <c r="AB34" s="2852">
        <f>ROUND(SUMPRODUCT(PRODUCT(1+Q34:Q$36)),4)</f>
        <v>1.0364</v>
      </c>
      <c r="AD34" s="2853">
        <f>ROUND(AVERAGE(I34:I$36)/100,4)</f>
        <v>2.07E-2</v>
      </c>
      <c r="AE34" s="2853">
        <f>ROUND(AVERAGE(J34:J$36)/100,4)</f>
        <v>1.95E-2</v>
      </c>
      <c r="AF34" s="2853">
        <f t="shared" si="1"/>
        <v>1.95E-2</v>
      </c>
      <c r="AG34" s="2853">
        <f>ROUND(AVERAGE(K34:K$36)/100,4)</f>
        <v>2.1700000000000001E-2</v>
      </c>
      <c r="AH34" s="2853">
        <f>ROUND(AVERAGE(L34:L$36)/100,4)</f>
        <v>1.2E-2</v>
      </c>
    </row>
    <row r="35" spans="1:34" ht="13.5" thickBot="1">
      <c r="A35" s="2864" t="s">
        <v>936</v>
      </c>
      <c r="B35" s="2865">
        <f t="shared" si="183"/>
        <v>314.72141172386546</v>
      </c>
      <c r="C35" s="2865">
        <f t="shared" si="183"/>
        <v>263.03901319069001</v>
      </c>
      <c r="D35" s="2865">
        <f t="shared" si="178"/>
        <v>263.03901319069001</v>
      </c>
      <c r="E35" s="2865">
        <f t="shared" si="184"/>
        <v>433.65745506782821</v>
      </c>
      <c r="F35" s="2865">
        <f t="shared" si="184"/>
        <v>233.23005080045735</v>
      </c>
      <c r="G35" s="4417"/>
      <c r="H35" s="2888">
        <v>2</v>
      </c>
      <c r="I35" s="2888">
        <v>2.4</v>
      </c>
      <c r="J35" s="2888">
        <v>2.0299999999999998</v>
      </c>
      <c r="K35" s="2888">
        <v>2.59</v>
      </c>
      <c r="L35" s="2889">
        <v>1.52</v>
      </c>
      <c r="N35" s="2867">
        <f t="shared" si="180"/>
        <v>2.4E-2</v>
      </c>
      <c r="O35" s="2853">
        <f t="shared" si="176"/>
        <v>2.0299999999999999E-2</v>
      </c>
      <c r="P35" s="2853">
        <f t="shared" si="176"/>
        <v>2.5899999999999999E-2</v>
      </c>
      <c r="Q35" s="2853">
        <f t="shared" si="176"/>
        <v>1.52E-2</v>
      </c>
      <c r="R35" s="2868"/>
      <c r="S35" s="2867"/>
      <c r="T35" s="2853"/>
      <c r="U35" s="2853"/>
      <c r="V35" s="2853"/>
      <c r="X35" s="2852">
        <f>ROUND(SUMPRODUCT(PRODUCT(1+N35:N$36)),4)</f>
        <v>1.0544</v>
      </c>
      <c r="Y35" s="2852">
        <f>ROUND(SUMPRODUCT(PRODUCT(1+O35:O$36)),4)</f>
        <v>1.0442</v>
      </c>
      <c r="Z35" s="2852">
        <f t="shared" si="88"/>
        <v>1.0442</v>
      </c>
      <c r="AA35" s="2852">
        <f>ROUND(SUMPRODUCT(PRODUCT(1+P35:P$36)),4)</f>
        <v>1.0595000000000001</v>
      </c>
      <c r="AB35" s="2852">
        <f>ROUND(SUMPRODUCT(PRODUCT(1+Q35:Q$36)),4)</f>
        <v>1.0289999999999999</v>
      </c>
      <c r="AD35" s="2853">
        <f>ROUND(AVERAGE(I35:I$36)/100,4)</f>
        <v>2.69E-2</v>
      </c>
      <c r="AE35" s="2853">
        <f>ROUND(AVERAGE(J35:J$36)/100,4)</f>
        <v>2.1899999999999999E-2</v>
      </c>
      <c r="AF35" s="2853">
        <f t="shared" ref="AF35" si="185">AE35</f>
        <v>2.1899999999999999E-2</v>
      </c>
      <c r="AG35" s="2853">
        <f>ROUND(AVERAGE(K35:K$36)/100,4)</f>
        <v>2.9399999999999999E-2</v>
      </c>
      <c r="AH35" s="2853">
        <f>ROUND(AVERAGE(L35:L$36)/100,4)</f>
        <v>1.44E-2</v>
      </c>
    </row>
    <row r="36" spans="1:34" s="2901" customFormat="1" ht="13.5" thickBot="1">
      <c r="A36" s="2897" t="s">
        <v>935</v>
      </c>
      <c r="B36" s="2898">
        <f t="shared" si="183"/>
        <v>307.34512863658733</v>
      </c>
      <c r="C36" s="2898">
        <f t="shared" si="183"/>
        <v>257.80556031626975</v>
      </c>
      <c r="D36" s="2898">
        <f t="shared" si="178"/>
        <v>257.80556031626975</v>
      </c>
      <c r="E36" s="2898">
        <f t="shared" si="184"/>
        <v>422.70928459677179</v>
      </c>
      <c r="F36" s="2898">
        <f t="shared" si="184"/>
        <v>229.73803270336617</v>
      </c>
      <c r="G36" s="4418"/>
      <c r="H36" s="2899">
        <v>1</v>
      </c>
      <c r="I36" s="2899">
        <v>2.97</v>
      </c>
      <c r="J36" s="2899">
        <v>2.34</v>
      </c>
      <c r="K36" s="2899">
        <v>3.28</v>
      </c>
      <c r="L36" s="2900">
        <v>1.36</v>
      </c>
      <c r="N36" s="2902">
        <f t="shared" si="180"/>
        <v>2.9700000000000001E-2</v>
      </c>
      <c r="O36" s="2903">
        <f t="shared" si="176"/>
        <v>2.3399999999999997E-2</v>
      </c>
      <c r="P36" s="2903">
        <f t="shared" si="176"/>
        <v>3.2799999999999996E-2</v>
      </c>
      <c r="Q36" s="2903">
        <f t="shared" si="176"/>
        <v>1.3600000000000001E-2</v>
      </c>
      <c r="R36" s="2904"/>
      <c r="S36" s="2905">
        <f>B36/B37-1</f>
        <v>2.7910129219355539E-2</v>
      </c>
      <c r="T36" s="2906">
        <f>C36/C37-1</f>
        <v>2.3037937762975247E-2</v>
      </c>
      <c r="U36" s="2906">
        <f>E36/E37-1</f>
        <v>3.3519033243940788E-2</v>
      </c>
      <c r="V36" s="2906">
        <f>F36/F37-1</f>
        <v>1.2061818076502862E-2</v>
      </c>
      <c r="W36" s="2907" t="s">
        <v>2593</v>
      </c>
      <c r="X36" s="2908">
        <v>1</v>
      </c>
      <c r="Y36" s="2908">
        <v>1</v>
      </c>
      <c r="Z36" s="2908">
        <v>1</v>
      </c>
      <c r="AA36" s="2908">
        <v>1</v>
      </c>
      <c r="AB36" s="2908">
        <v>1</v>
      </c>
      <c r="AD36" s="2903">
        <f>I36/100</f>
        <v>2.9700000000000001E-2</v>
      </c>
      <c r="AE36" s="2903">
        <f>J36/100</f>
        <v>2.3399999999999997E-2</v>
      </c>
      <c r="AF36" s="2903">
        <f>AE36</f>
        <v>2.3399999999999997E-2</v>
      </c>
      <c r="AG36" s="2903">
        <f>K36/100</f>
        <v>3.2799999999999996E-2</v>
      </c>
      <c r="AH36" s="2903">
        <f>L36/100</f>
        <v>1.3600000000000001E-2</v>
      </c>
    </row>
    <row r="37" spans="1:34" ht="13.5" thickBot="1">
      <c r="A37" s="2864" t="s">
        <v>2536</v>
      </c>
      <c r="B37" s="2886">
        <v>299</v>
      </c>
      <c r="C37" s="2886">
        <v>252</v>
      </c>
      <c r="D37" s="2886">
        <f t="shared" si="178"/>
        <v>252</v>
      </c>
      <c r="E37" s="2886">
        <v>409</v>
      </c>
      <c r="F37" s="2887">
        <v>227</v>
      </c>
      <c r="G37" s="4419">
        <v>2013</v>
      </c>
      <c r="H37" s="2909">
        <v>4</v>
      </c>
      <c r="I37" s="2909">
        <v>1.83</v>
      </c>
      <c r="J37" s="2909">
        <v>1.68</v>
      </c>
      <c r="K37" s="2909">
        <v>1.97</v>
      </c>
      <c r="L37" s="2910">
        <v>0.87</v>
      </c>
      <c r="N37" s="2883">
        <f t="shared" si="180"/>
        <v>1.83E-2</v>
      </c>
      <c r="O37" s="2884">
        <f t="shared" si="176"/>
        <v>1.6799999999999999E-2</v>
      </c>
      <c r="P37" s="2884">
        <f t="shared" si="176"/>
        <v>1.9699999999999999E-2</v>
      </c>
      <c r="Q37" s="2884">
        <f t="shared" si="176"/>
        <v>8.6999999999999994E-3</v>
      </c>
      <c r="R37" s="2868"/>
      <c r="S37" s="2877"/>
      <c r="T37" s="2878"/>
      <c r="U37" s="2878"/>
      <c r="V37" s="2878"/>
      <c r="X37" s="2878"/>
      <c r="Y37" s="2878"/>
      <c r="Z37" s="2878"/>
    </row>
    <row r="38" spans="1:34">
      <c r="A38" s="2864" t="s">
        <v>2537</v>
      </c>
      <c r="B38" s="2865">
        <f t="shared" ref="B38:C40" si="186">B37/(1+N37)</f>
        <v>293.62663262299913</v>
      </c>
      <c r="C38" s="2865">
        <f t="shared" si="186"/>
        <v>247.83634933123525</v>
      </c>
      <c r="D38" s="2865">
        <f t="shared" si="178"/>
        <v>247.83634933123525</v>
      </c>
      <c r="E38" s="2865">
        <f t="shared" ref="E38:F40" si="187">E37/(1+P37)</f>
        <v>401.09836226341076</v>
      </c>
      <c r="F38" s="2865">
        <f t="shared" si="187"/>
        <v>225.04213343908003</v>
      </c>
      <c r="G38" s="4420"/>
      <c r="H38" s="2891">
        <v>3</v>
      </c>
      <c r="I38" s="2891">
        <v>1.86</v>
      </c>
      <c r="J38" s="2891">
        <v>1.72</v>
      </c>
      <c r="K38" s="2891">
        <v>1.98</v>
      </c>
      <c r="L38" s="2892">
        <v>0.88</v>
      </c>
      <c r="N38" s="2867">
        <f t="shared" si="180"/>
        <v>1.8600000000000002E-2</v>
      </c>
      <c r="O38" s="2885">
        <f t="shared" si="176"/>
        <v>1.72E-2</v>
      </c>
      <c r="P38" s="2885">
        <f t="shared" si="176"/>
        <v>1.9799999999999998E-2</v>
      </c>
      <c r="Q38" s="2885">
        <f t="shared" si="176"/>
        <v>8.8000000000000005E-3</v>
      </c>
      <c r="R38" s="2868"/>
      <c r="S38" s="2867"/>
      <c r="T38" s="2853"/>
      <c r="U38" s="2853"/>
      <c r="V38" s="2853"/>
    </row>
    <row r="39" spans="1:34">
      <c r="A39" s="2864" t="s">
        <v>2538</v>
      </c>
      <c r="B39" s="2865">
        <f t="shared" si="186"/>
        <v>288.2649053828776</v>
      </c>
      <c r="C39" s="2865">
        <f t="shared" si="186"/>
        <v>243.64564425013293</v>
      </c>
      <c r="D39" s="2865">
        <f t="shared" si="178"/>
        <v>243.64564425013293</v>
      </c>
      <c r="E39" s="2865">
        <f t="shared" si="187"/>
        <v>393.31080825986544</v>
      </c>
      <c r="F39" s="2865">
        <f t="shared" si="187"/>
        <v>223.07903790551154</v>
      </c>
      <c r="G39" s="4420"/>
      <c r="H39" s="2879">
        <v>2</v>
      </c>
      <c r="I39" s="2879">
        <v>2.04</v>
      </c>
      <c r="J39" s="2879">
        <v>2.33</v>
      </c>
      <c r="K39" s="2879">
        <v>2.0699999999999998</v>
      </c>
      <c r="L39" s="2880">
        <v>0.69</v>
      </c>
      <c r="N39" s="2867">
        <f t="shared" si="180"/>
        <v>2.0400000000000001E-2</v>
      </c>
      <c r="O39" s="2885">
        <f t="shared" si="176"/>
        <v>2.3300000000000001E-2</v>
      </c>
      <c r="P39" s="2885">
        <f t="shared" si="176"/>
        <v>2.07E-2</v>
      </c>
      <c r="Q39" s="2885">
        <f t="shared" si="176"/>
        <v>6.8999999999999999E-3</v>
      </c>
      <c r="R39" s="2868"/>
      <c r="S39" s="2867"/>
      <c r="T39" s="2853"/>
      <c r="U39" s="2853"/>
      <c r="V39" s="2853"/>
      <c r="X39" s="2911"/>
      <c r="Y39" s="2912"/>
    </row>
    <row r="40" spans="1:34">
      <c r="A40" s="2864" t="s">
        <v>2539</v>
      </c>
      <c r="B40" s="2865">
        <f t="shared" si="186"/>
        <v>282.50186729015837</v>
      </c>
      <c r="C40" s="2865">
        <f t="shared" si="186"/>
        <v>238.09796174155468</v>
      </c>
      <c r="D40" s="2865">
        <f t="shared" si="178"/>
        <v>238.09796174155468</v>
      </c>
      <c r="E40" s="2865">
        <f t="shared" si="187"/>
        <v>385.33438646014054</v>
      </c>
      <c r="F40" s="2865">
        <f t="shared" si="187"/>
        <v>221.55034055567739</v>
      </c>
      <c r="G40" s="4421"/>
      <c r="H40" s="2866">
        <v>1</v>
      </c>
      <c r="I40" s="2866">
        <v>1.67</v>
      </c>
      <c r="J40" s="2866">
        <v>1.31</v>
      </c>
      <c r="K40" s="2866">
        <v>1.85</v>
      </c>
      <c r="L40" s="2872">
        <v>0.96</v>
      </c>
      <c r="N40" s="2869">
        <f t="shared" si="180"/>
        <v>1.67E-2</v>
      </c>
      <c r="O40" s="2870">
        <f t="shared" si="176"/>
        <v>1.3100000000000001E-2</v>
      </c>
      <c r="P40" s="2870">
        <f t="shared" si="176"/>
        <v>1.8500000000000003E-2</v>
      </c>
      <c r="Q40" s="2870">
        <f t="shared" si="176"/>
        <v>9.5999999999999992E-3</v>
      </c>
      <c r="R40" s="2868"/>
      <c r="S40" s="2869">
        <f>B40/B41-1</f>
        <v>1.6193767230785472E-2</v>
      </c>
      <c r="T40" s="2870">
        <f>C40/C41-1</f>
        <v>1.7512657015190891E-2</v>
      </c>
      <c r="U40" s="2870">
        <f>E40/E41-1</f>
        <v>1.6713420739157048E-2</v>
      </c>
      <c r="V40" s="2870">
        <f>F40/F41-1</f>
        <v>7.0470025258062563E-3</v>
      </c>
      <c r="X40" s="2913"/>
      <c r="Y40" s="2853"/>
      <c r="Z40" s="2853"/>
    </row>
    <row r="41" spans="1:34" ht="13.5" thickBot="1">
      <c r="A41" s="2864" t="s">
        <v>2540</v>
      </c>
      <c r="B41" s="2914">
        <v>278</v>
      </c>
      <c r="C41" s="2914">
        <v>234</v>
      </c>
      <c r="D41" s="2914">
        <f t="shared" si="178"/>
        <v>234</v>
      </c>
      <c r="E41" s="2914">
        <v>379</v>
      </c>
      <c r="F41" s="2915">
        <v>220</v>
      </c>
      <c r="G41" s="4416">
        <v>2012</v>
      </c>
      <c r="H41" s="2888">
        <v>4</v>
      </c>
      <c r="I41" s="2888">
        <v>0.91</v>
      </c>
      <c r="J41" s="2888">
        <v>0.68</v>
      </c>
      <c r="K41" s="2888">
        <v>0.98</v>
      </c>
      <c r="L41" s="2889">
        <v>0.9</v>
      </c>
      <c r="N41" s="2867">
        <f t="shared" si="180"/>
        <v>9.1000000000000004E-3</v>
      </c>
      <c r="O41" s="2853">
        <f t="shared" si="180"/>
        <v>6.8000000000000005E-3</v>
      </c>
      <c r="P41" s="2853">
        <f t="shared" si="180"/>
        <v>9.7999999999999997E-3</v>
      </c>
      <c r="Q41" s="2853">
        <f t="shared" si="180"/>
        <v>9.0000000000000011E-3</v>
      </c>
      <c r="R41" s="2868"/>
      <c r="S41" s="2877"/>
      <c r="T41" s="2878"/>
      <c r="U41" s="2878"/>
      <c r="V41" s="2878"/>
      <c r="X41" s="2878"/>
      <c r="Y41" s="2878"/>
      <c r="Z41" s="2878"/>
    </row>
    <row r="42" spans="1:34">
      <c r="A42" s="2864" t="s">
        <v>2541</v>
      </c>
      <c r="B42" s="2865">
        <f>B41/(1+N41)</f>
        <v>275.49301357645425</v>
      </c>
      <c r="C42" s="2865">
        <f>C41/(1+O41)</f>
        <v>232.41954707985698</v>
      </c>
      <c r="D42" s="2865">
        <f t="shared" si="178"/>
        <v>232.41954707985698</v>
      </c>
      <c r="E42" s="2865">
        <f t="shared" ref="E42:F44" si="188">E41/(1+P41)</f>
        <v>375.32184591008121</v>
      </c>
      <c r="F42" s="2865">
        <f t="shared" si="188"/>
        <v>218.03766105054513</v>
      </c>
      <c r="G42" s="4417"/>
      <c r="H42" s="2891">
        <v>3</v>
      </c>
      <c r="I42" s="2891">
        <v>0.09</v>
      </c>
      <c r="J42" s="2891">
        <v>0.28999999999999998</v>
      </c>
      <c r="K42" s="2891">
        <v>-0.01</v>
      </c>
      <c r="L42" s="2892">
        <v>0.57999999999999996</v>
      </c>
      <c r="N42" s="2867">
        <f t="shared" si="180"/>
        <v>8.9999999999999998E-4</v>
      </c>
      <c r="O42" s="2853">
        <f t="shared" si="180"/>
        <v>2.8999999999999998E-3</v>
      </c>
      <c r="P42" s="2853">
        <f t="shared" si="180"/>
        <v>-1E-4</v>
      </c>
      <c r="Q42" s="2853">
        <f t="shared" si="180"/>
        <v>5.7999999999999996E-3</v>
      </c>
      <c r="R42" s="2868"/>
      <c r="S42" s="2867"/>
      <c r="T42" s="2853"/>
      <c r="U42" s="2853"/>
      <c r="V42" s="2853"/>
    </row>
    <row r="43" spans="1:34">
      <c r="A43" s="2864" t="s">
        <v>2542</v>
      </c>
      <c r="B43" s="2865">
        <f>B42/(1+N42)</f>
        <v>275.24529281292263</v>
      </c>
      <c r="C43" s="2865">
        <f>C42/(1+O42)</f>
        <v>231.74747938962707</v>
      </c>
      <c r="D43" s="2865">
        <f t="shared" si="178"/>
        <v>231.74747938962707</v>
      </c>
      <c r="E43" s="2865">
        <f t="shared" si="188"/>
        <v>375.35938184826603</v>
      </c>
      <c r="F43" s="2865">
        <f t="shared" si="188"/>
        <v>216.78033510692495</v>
      </c>
      <c r="G43" s="4417"/>
      <c r="H43" s="2879">
        <v>2</v>
      </c>
      <c r="I43" s="2879">
        <v>0.02</v>
      </c>
      <c r="J43" s="2879">
        <v>0.12</v>
      </c>
      <c r="K43" s="2879">
        <v>-0.08</v>
      </c>
      <c r="L43" s="2880">
        <v>1.24</v>
      </c>
      <c r="N43" s="2867">
        <f t="shared" si="180"/>
        <v>2.0000000000000001E-4</v>
      </c>
      <c r="O43" s="2853">
        <f t="shared" si="180"/>
        <v>1.1999999999999999E-3</v>
      </c>
      <c r="P43" s="2853">
        <f t="shared" si="180"/>
        <v>-8.0000000000000004E-4</v>
      </c>
      <c r="Q43" s="2853">
        <f t="shared" si="180"/>
        <v>1.24E-2</v>
      </c>
      <c r="R43" s="2868"/>
      <c r="S43" s="2867"/>
      <c r="T43" s="2853"/>
      <c r="U43" s="2853"/>
      <c r="V43" s="2853"/>
    </row>
    <row r="44" spans="1:34" ht="13.5" thickBot="1">
      <c r="A44" s="2864" t="s">
        <v>2543</v>
      </c>
      <c r="B44" s="2865">
        <f>B43/(1+N43)</f>
        <v>275.19025476197027</v>
      </c>
      <c r="C44" s="2916">
        <v>232</v>
      </c>
      <c r="D44" s="2916">
        <f t="shared" si="178"/>
        <v>232</v>
      </c>
      <c r="E44" s="2865">
        <f t="shared" si="188"/>
        <v>375.65990977608692</v>
      </c>
      <c r="F44" s="2865">
        <f t="shared" si="188"/>
        <v>214.12518283971252</v>
      </c>
      <c r="G44" s="4418"/>
      <c r="H44" s="2866">
        <v>1</v>
      </c>
      <c r="I44" s="2866">
        <v>0.02</v>
      </c>
      <c r="J44" s="2866">
        <v>0.13</v>
      </c>
      <c r="K44" s="2866">
        <v>-0.04</v>
      </c>
      <c r="L44" s="2872">
        <v>0.46</v>
      </c>
      <c r="N44" s="2867">
        <f t="shared" si="180"/>
        <v>2.0000000000000001E-4</v>
      </c>
      <c r="O44" s="2853">
        <f t="shared" si="180"/>
        <v>1.2999999999999999E-3</v>
      </c>
      <c r="P44" s="2853">
        <f t="shared" si="180"/>
        <v>-4.0000000000000002E-4</v>
      </c>
      <c r="Q44" s="2853">
        <f t="shared" si="180"/>
        <v>4.5999999999999999E-3</v>
      </c>
      <c r="R44" s="2868"/>
      <c r="S44" s="2869">
        <f>B44/B45-1</f>
        <v>6.9183549807361189E-4</v>
      </c>
      <c r="T44" s="2870">
        <f>C44/C45-1</f>
        <v>0</v>
      </c>
      <c r="U44" s="2870">
        <f>E44/E45-1</f>
        <v>-9.0449527636460303E-4</v>
      </c>
      <c r="V44" s="2870">
        <f>F44/F45-1</f>
        <v>5.2825485432512753E-3</v>
      </c>
      <c r="X44" s="2853"/>
      <c r="Y44" s="2853"/>
      <c r="Z44" s="2853"/>
    </row>
    <row r="45" spans="1:34" ht="13.5" thickBot="1">
      <c r="A45" s="2864" t="s">
        <v>2544</v>
      </c>
      <c r="B45" s="2886">
        <v>275</v>
      </c>
      <c r="C45" s="2886">
        <v>232</v>
      </c>
      <c r="D45" s="2886">
        <f t="shared" si="178"/>
        <v>232</v>
      </c>
      <c r="E45" s="2886">
        <v>376</v>
      </c>
      <c r="F45" s="2887">
        <v>213</v>
      </c>
      <c r="G45" s="4416">
        <v>2011</v>
      </c>
      <c r="H45" s="2888">
        <v>4</v>
      </c>
      <c r="I45" s="2888">
        <v>-0.2</v>
      </c>
      <c r="J45" s="2888">
        <v>0.04</v>
      </c>
      <c r="K45" s="2888">
        <v>-0.34</v>
      </c>
      <c r="L45" s="2889">
        <v>0.46</v>
      </c>
      <c r="N45" s="2883">
        <f t="shared" si="180"/>
        <v>-2E-3</v>
      </c>
      <c r="O45" s="2884">
        <f t="shared" si="180"/>
        <v>4.0000000000000002E-4</v>
      </c>
      <c r="P45" s="2884">
        <f t="shared" si="180"/>
        <v>-3.4000000000000002E-3</v>
      </c>
      <c r="Q45" s="2884">
        <f t="shared" si="180"/>
        <v>4.5999999999999999E-3</v>
      </c>
      <c r="R45" s="2868"/>
      <c r="S45" s="2877"/>
      <c r="T45" s="2878"/>
      <c r="U45" s="2878"/>
      <c r="V45" s="2878"/>
      <c r="X45" s="2878"/>
      <c r="Y45" s="2878"/>
      <c r="Z45" s="2878"/>
    </row>
    <row r="46" spans="1:34">
      <c r="A46" s="2864" t="s">
        <v>2545</v>
      </c>
      <c r="B46" s="2865">
        <f t="shared" ref="B46:C48" si="189">B45/(1+N45)</f>
        <v>275.55110220440883</v>
      </c>
      <c r="C46" s="2865">
        <f t="shared" si="189"/>
        <v>231.90723710515795</v>
      </c>
      <c r="D46" s="2865">
        <f t="shared" si="178"/>
        <v>231.90723710515795</v>
      </c>
      <c r="E46" s="2865">
        <f t="shared" ref="E46:F48" si="190">E45/(1+P45)</f>
        <v>377.28276138872161</v>
      </c>
      <c r="F46" s="2865">
        <f t="shared" si="190"/>
        <v>212.02468644236512</v>
      </c>
      <c r="G46" s="4417">
        <v>2011</v>
      </c>
      <c r="H46" s="2891">
        <v>3</v>
      </c>
      <c r="I46" s="2891">
        <v>0.13</v>
      </c>
      <c r="J46" s="2891">
        <v>0.75</v>
      </c>
      <c r="K46" s="2891">
        <v>-0.08</v>
      </c>
      <c r="L46" s="2892">
        <v>0.53</v>
      </c>
      <c r="N46" s="2867">
        <f t="shared" si="180"/>
        <v>1.2999999999999999E-3</v>
      </c>
      <c r="O46" s="2885">
        <f t="shared" si="180"/>
        <v>7.4999999999999997E-3</v>
      </c>
      <c r="P46" s="2885">
        <f t="shared" si="180"/>
        <v>-8.0000000000000004E-4</v>
      </c>
      <c r="Q46" s="2885">
        <f t="shared" si="180"/>
        <v>5.3E-3</v>
      </c>
      <c r="R46" s="2868"/>
      <c r="S46" s="2867"/>
      <c r="T46" s="2853"/>
      <c r="U46" s="2853"/>
      <c r="V46" s="2853"/>
    </row>
    <row r="47" spans="1:34">
      <c r="A47" s="2864" t="s">
        <v>2546</v>
      </c>
      <c r="B47" s="2865">
        <f t="shared" si="189"/>
        <v>275.19335084830601</v>
      </c>
      <c r="C47" s="2865">
        <f t="shared" si="189"/>
        <v>230.18088050139744</v>
      </c>
      <c r="D47" s="2865">
        <f t="shared" si="178"/>
        <v>230.18088050139744</v>
      </c>
      <c r="E47" s="2865">
        <f t="shared" si="190"/>
        <v>377.58482925212331</v>
      </c>
      <c r="F47" s="2865">
        <f t="shared" si="190"/>
        <v>210.90687997847917</v>
      </c>
      <c r="G47" s="4417">
        <v>2011</v>
      </c>
      <c r="H47" s="2879">
        <v>2</v>
      </c>
      <c r="I47" s="2879">
        <v>-0.4</v>
      </c>
      <c r="J47" s="2879">
        <v>0.17</v>
      </c>
      <c r="K47" s="2879">
        <v>-0.57999999999999996</v>
      </c>
      <c r="L47" s="2880">
        <v>-0.2</v>
      </c>
      <c r="N47" s="2867">
        <f t="shared" si="180"/>
        <v>-4.0000000000000001E-3</v>
      </c>
      <c r="O47" s="2885">
        <f t="shared" si="180"/>
        <v>1.7000000000000001E-3</v>
      </c>
      <c r="P47" s="2885">
        <f t="shared" si="180"/>
        <v>-5.7999999999999996E-3</v>
      </c>
      <c r="Q47" s="2885">
        <f t="shared" si="180"/>
        <v>-2E-3</v>
      </c>
      <c r="R47" s="2868"/>
      <c r="S47" s="2867"/>
      <c r="T47" s="2853"/>
      <c r="U47" s="2853"/>
      <c r="V47" s="2853"/>
    </row>
    <row r="48" spans="1:34" ht="13.5" thickBot="1">
      <c r="A48" s="2864" t="s">
        <v>2547</v>
      </c>
      <c r="B48" s="2865">
        <f t="shared" si="189"/>
        <v>276.29854502841971</v>
      </c>
      <c r="C48" s="2865">
        <f t="shared" si="189"/>
        <v>229.79023709833027</v>
      </c>
      <c r="D48" s="2865">
        <f t="shared" si="178"/>
        <v>229.79023709833027</v>
      </c>
      <c r="E48" s="2865">
        <f t="shared" si="190"/>
        <v>379.78759731655936</v>
      </c>
      <c r="F48" s="2865">
        <f t="shared" si="190"/>
        <v>211.32953905659235</v>
      </c>
      <c r="G48" s="4418">
        <v>2011</v>
      </c>
      <c r="H48" s="2866">
        <v>1</v>
      </c>
      <c r="I48" s="2866">
        <v>2.65</v>
      </c>
      <c r="J48" s="2866">
        <v>3.76</v>
      </c>
      <c r="K48" s="2866">
        <v>1.89</v>
      </c>
      <c r="L48" s="2872">
        <v>7.95</v>
      </c>
      <c r="N48" s="2869">
        <f t="shared" si="180"/>
        <v>2.6499999999999999E-2</v>
      </c>
      <c r="O48" s="2870">
        <f t="shared" si="180"/>
        <v>3.7599999999999995E-2</v>
      </c>
      <c r="P48" s="2870">
        <f t="shared" si="180"/>
        <v>1.89E-2</v>
      </c>
      <c r="Q48" s="2870">
        <f t="shared" si="180"/>
        <v>7.9500000000000001E-2</v>
      </c>
      <c r="R48" s="2868"/>
      <c r="S48" s="2869">
        <f>B48/B49-1</f>
        <v>2.713213765211786E-2</v>
      </c>
      <c r="T48" s="2870">
        <f>C48/C49-1</f>
        <v>3.9774828499231862E-2</v>
      </c>
      <c r="U48" s="2870">
        <f>E48/E49-1</f>
        <v>1.8197311840641772E-2</v>
      </c>
      <c r="V48" s="2870">
        <f>F48/F49-1</f>
        <v>7.8211933962205826E-2</v>
      </c>
      <c r="X48" s="2853"/>
      <c r="Y48" s="2853"/>
      <c r="Z48" s="2853"/>
    </row>
    <row r="49" spans="1:26" ht="13.5" thickBot="1">
      <c r="A49" s="2864" t="s">
        <v>2548</v>
      </c>
      <c r="B49" s="2886">
        <v>269</v>
      </c>
      <c r="C49" s="2886">
        <v>221</v>
      </c>
      <c r="D49" s="2886">
        <f t="shared" si="178"/>
        <v>221</v>
      </c>
      <c r="E49" s="2886">
        <v>373</v>
      </c>
      <c r="F49" s="2887">
        <v>196</v>
      </c>
      <c r="G49" s="4416">
        <v>2010</v>
      </c>
      <c r="H49" s="2888">
        <v>4</v>
      </c>
      <c r="I49" s="2888">
        <v>5.72</v>
      </c>
      <c r="J49" s="2888">
        <v>6.57</v>
      </c>
      <c r="K49" s="2888">
        <v>5.72</v>
      </c>
      <c r="L49" s="2889">
        <v>2.72</v>
      </c>
      <c r="N49" s="2867">
        <f t="shared" si="180"/>
        <v>5.7200000000000001E-2</v>
      </c>
      <c r="O49" s="2853">
        <f t="shared" si="180"/>
        <v>6.5700000000000008E-2</v>
      </c>
      <c r="P49" s="2853">
        <f t="shared" si="180"/>
        <v>5.7200000000000001E-2</v>
      </c>
      <c r="Q49" s="2853">
        <f t="shared" si="180"/>
        <v>2.7200000000000002E-2</v>
      </c>
      <c r="R49" s="2868"/>
      <c r="S49" s="2877"/>
      <c r="T49" s="2878"/>
      <c r="U49" s="2878"/>
      <c r="V49" s="2878"/>
      <c r="X49" s="2878"/>
      <c r="Y49" s="2878"/>
      <c r="Z49" s="2878"/>
    </row>
    <row r="50" spans="1:26">
      <c r="A50" s="2864" t="s">
        <v>2549</v>
      </c>
      <c r="B50" s="2865">
        <f t="shared" ref="B50:C52" si="191">B49/(1+N49)</f>
        <v>254.44570563753314</v>
      </c>
      <c r="C50" s="2865">
        <f t="shared" si="191"/>
        <v>207.37543398705074</v>
      </c>
      <c r="D50" s="2865">
        <f t="shared" si="178"/>
        <v>207.37543398705074</v>
      </c>
      <c r="E50" s="2865">
        <f t="shared" ref="E50:F52" si="192">E49/(1+P49)</f>
        <v>352.81876655315932</v>
      </c>
      <c r="F50" s="2865">
        <f t="shared" si="192"/>
        <v>190.809968847352</v>
      </c>
      <c r="G50" s="4417">
        <v>2010</v>
      </c>
      <c r="H50" s="2891">
        <v>3</v>
      </c>
      <c r="I50" s="2891">
        <v>4.7300000000000004</v>
      </c>
      <c r="J50" s="2891">
        <v>3.9</v>
      </c>
      <c r="K50" s="2891">
        <v>5.03</v>
      </c>
      <c r="L50" s="2892">
        <v>4.21</v>
      </c>
      <c r="N50" s="2867">
        <f t="shared" si="180"/>
        <v>4.7300000000000002E-2</v>
      </c>
      <c r="O50" s="2853">
        <f t="shared" si="180"/>
        <v>3.9E-2</v>
      </c>
      <c r="P50" s="2853">
        <f t="shared" si="180"/>
        <v>5.0300000000000004E-2</v>
      </c>
      <c r="Q50" s="2853">
        <f t="shared" si="180"/>
        <v>4.2099999999999999E-2</v>
      </c>
      <c r="R50" s="2868"/>
      <c r="S50" s="2867"/>
      <c r="T50" s="2853"/>
      <c r="U50" s="2853"/>
      <c r="V50" s="2853"/>
    </row>
    <row r="51" spans="1:26">
      <c r="A51" s="2864" t="s">
        <v>2550</v>
      </c>
      <c r="B51" s="2865">
        <f t="shared" si="191"/>
        <v>242.95398227588385</v>
      </c>
      <c r="C51" s="2865">
        <f t="shared" si="191"/>
        <v>199.59137053614126</v>
      </c>
      <c r="D51" s="2865">
        <f t="shared" si="178"/>
        <v>199.59137053614126</v>
      </c>
      <c r="E51" s="2865">
        <f t="shared" si="192"/>
        <v>335.92189522342125</v>
      </c>
      <c r="F51" s="2865">
        <f t="shared" si="192"/>
        <v>183.10139991109489</v>
      </c>
      <c r="G51" s="4417">
        <v>2010</v>
      </c>
      <c r="H51" s="2879">
        <v>2</v>
      </c>
      <c r="I51" s="2879">
        <v>4.6900000000000004</v>
      </c>
      <c r="J51" s="2879">
        <v>3.55</v>
      </c>
      <c r="K51" s="2879">
        <v>5.07</v>
      </c>
      <c r="L51" s="2880">
        <v>4.2300000000000004</v>
      </c>
      <c r="N51" s="2867">
        <f t="shared" si="180"/>
        <v>4.6900000000000004E-2</v>
      </c>
      <c r="O51" s="2853">
        <f t="shared" si="180"/>
        <v>3.5499999999999997E-2</v>
      </c>
      <c r="P51" s="2853">
        <f t="shared" si="180"/>
        <v>5.0700000000000002E-2</v>
      </c>
      <c r="Q51" s="2853">
        <f t="shared" si="180"/>
        <v>4.2300000000000004E-2</v>
      </c>
      <c r="R51" s="2868"/>
      <c r="S51" s="2867"/>
      <c r="T51" s="2853"/>
      <c r="U51" s="2853"/>
      <c r="V51" s="2853"/>
    </row>
    <row r="52" spans="1:26" ht="13.5" thickBot="1">
      <c r="A52" s="2864" t="s">
        <v>2551</v>
      </c>
      <c r="B52" s="2865">
        <f t="shared" si="191"/>
        <v>232.06990378821649</v>
      </c>
      <c r="C52" s="2865">
        <f t="shared" si="191"/>
        <v>192.74878854286936</v>
      </c>
      <c r="D52" s="2865">
        <f t="shared" si="178"/>
        <v>192.74878854286936</v>
      </c>
      <c r="E52" s="2865">
        <f t="shared" si="192"/>
        <v>319.71247284992984</v>
      </c>
      <c r="F52" s="2865">
        <f t="shared" si="192"/>
        <v>175.67053622862409</v>
      </c>
      <c r="G52" s="4418">
        <v>2010</v>
      </c>
      <c r="H52" s="2866">
        <v>1</v>
      </c>
      <c r="I52" s="2866">
        <v>5.4</v>
      </c>
      <c r="J52" s="2866">
        <v>3.2</v>
      </c>
      <c r="K52" s="2866">
        <v>6.16</v>
      </c>
      <c r="L52" s="2872">
        <v>4.51</v>
      </c>
      <c r="N52" s="2867">
        <f t="shared" si="180"/>
        <v>5.4000000000000006E-2</v>
      </c>
      <c r="O52" s="2853">
        <f t="shared" si="180"/>
        <v>3.2000000000000001E-2</v>
      </c>
      <c r="P52" s="2853">
        <f t="shared" si="180"/>
        <v>6.1600000000000002E-2</v>
      </c>
      <c r="Q52" s="2853">
        <f t="shared" si="180"/>
        <v>4.5100000000000001E-2</v>
      </c>
      <c r="R52" s="2868"/>
      <c r="S52" s="2869">
        <f>B52/B53-1</f>
        <v>5.4863199037347599E-2</v>
      </c>
      <c r="T52" s="2870">
        <f>C52/C53-1</f>
        <v>3.0742184721226584E-2</v>
      </c>
      <c r="U52" s="2870">
        <f>E52/E53-1</f>
        <v>6.2167683886810154E-2</v>
      </c>
      <c r="V52" s="2870">
        <f>F52/F53-1</f>
        <v>4.5657953741810031E-2</v>
      </c>
      <c r="X52" s="2853"/>
      <c r="Y52" s="2853"/>
      <c r="Z52" s="2853"/>
    </row>
    <row r="53" spans="1:26" ht="13.5" thickBot="1">
      <c r="A53" s="2864" t="s">
        <v>2552</v>
      </c>
      <c r="B53" s="2886">
        <v>220</v>
      </c>
      <c r="C53" s="2886">
        <v>187</v>
      </c>
      <c r="D53" s="2886">
        <f t="shared" si="178"/>
        <v>187</v>
      </c>
      <c r="E53" s="2886">
        <v>301</v>
      </c>
      <c r="F53" s="2887">
        <v>168</v>
      </c>
      <c r="G53" s="4416">
        <v>2009</v>
      </c>
      <c r="H53" s="2888">
        <v>4</v>
      </c>
      <c r="I53" s="2888">
        <v>2.2999999999999998</v>
      </c>
      <c r="J53" s="2888">
        <v>1.04</v>
      </c>
      <c r="K53" s="2888">
        <v>2.84</v>
      </c>
      <c r="L53" s="2889">
        <v>0.67</v>
      </c>
      <c r="N53" s="2883">
        <f t="shared" si="180"/>
        <v>2.3E-2</v>
      </c>
      <c r="O53" s="2884">
        <f t="shared" si="180"/>
        <v>1.04E-2</v>
      </c>
      <c r="P53" s="2884">
        <f t="shared" si="180"/>
        <v>2.8399999999999998E-2</v>
      </c>
      <c r="Q53" s="2884">
        <f t="shared" si="180"/>
        <v>6.7000000000000002E-3</v>
      </c>
      <c r="R53" s="2868"/>
      <c r="S53" s="2877"/>
      <c r="T53" s="2878"/>
      <c r="U53" s="2878"/>
      <c r="V53" s="2878"/>
      <c r="X53" s="2878"/>
      <c r="Y53" s="2878"/>
      <c r="Z53" s="2878"/>
    </row>
    <row r="54" spans="1:26">
      <c r="A54" s="2864" t="s">
        <v>2553</v>
      </c>
      <c r="B54" s="2865">
        <f t="shared" ref="B54:C56" si="193">B53/(1+N53)</f>
        <v>215.05376344086022</v>
      </c>
      <c r="C54" s="2865">
        <f t="shared" si="193"/>
        <v>185.0752177355503</v>
      </c>
      <c r="D54" s="2865">
        <f t="shared" si="178"/>
        <v>185.0752177355503</v>
      </c>
      <c r="E54" s="2865">
        <f t="shared" ref="E54:F56" si="194">E53/(1+P53)</f>
        <v>292.68767016725008</v>
      </c>
      <c r="F54" s="2865">
        <f t="shared" si="194"/>
        <v>166.88189132810174</v>
      </c>
      <c r="G54" s="4417">
        <v>2009</v>
      </c>
      <c r="H54" s="2891">
        <v>3</v>
      </c>
      <c r="I54" s="2891">
        <v>2.1</v>
      </c>
      <c r="J54" s="2891">
        <v>1.86</v>
      </c>
      <c r="K54" s="2891">
        <v>2.29</v>
      </c>
      <c r="L54" s="2892">
        <v>0.85</v>
      </c>
      <c r="N54" s="2867">
        <f t="shared" si="180"/>
        <v>2.1000000000000001E-2</v>
      </c>
      <c r="O54" s="2885">
        <f t="shared" si="180"/>
        <v>1.8600000000000002E-2</v>
      </c>
      <c r="P54" s="2885">
        <f t="shared" si="180"/>
        <v>2.29E-2</v>
      </c>
      <c r="Q54" s="2885">
        <f t="shared" si="180"/>
        <v>8.5000000000000006E-3</v>
      </c>
      <c r="R54" s="2868"/>
      <c r="S54" s="2867"/>
      <c r="T54" s="2853"/>
      <c r="U54" s="2853"/>
      <c r="V54" s="2853"/>
    </row>
    <row r="55" spans="1:26">
      <c r="A55" s="2864" t="s">
        <v>2554</v>
      </c>
      <c r="B55" s="2865">
        <f t="shared" si="193"/>
        <v>210.630522469011</v>
      </c>
      <c r="C55" s="2865">
        <f t="shared" si="193"/>
        <v>181.69567812247232</v>
      </c>
      <c r="D55" s="2865">
        <f t="shared" si="178"/>
        <v>181.69567812247232</v>
      </c>
      <c r="E55" s="2865">
        <f t="shared" si="194"/>
        <v>286.13517466736738</v>
      </c>
      <c r="F55" s="2865">
        <f t="shared" si="194"/>
        <v>165.47535084591149</v>
      </c>
      <c r="G55" s="4417">
        <v>2009</v>
      </c>
      <c r="H55" s="2879">
        <v>2</v>
      </c>
      <c r="I55" s="2879">
        <v>0.86</v>
      </c>
      <c r="J55" s="2879">
        <v>-1.1299999999999999</v>
      </c>
      <c r="K55" s="2879">
        <v>1.79</v>
      </c>
      <c r="L55" s="2880">
        <v>-2.0699999999999998</v>
      </c>
      <c r="N55" s="2867">
        <f t="shared" si="180"/>
        <v>8.6E-3</v>
      </c>
      <c r="O55" s="2885">
        <f t="shared" si="180"/>
        <v>-1.1299999999999999E-2</v>
      </c>
      <c r="P55" s="2885">
        <f t="shared" si="180"/>
        <v>1.7899999999999999E-2</v>
      </c>
      <c r="Q55" s="2885">
        <f t="shared" si="180"/>
        <v>-2.07E-2</v>
      </c>
      <c r="R55" s="2868"/>
      <c r="S55" s="2867"/>
      <c r="T55" s="2853"/>
      <c r="U55" s="2853"/>
      <c r="V55" s="2853"/>
    </row>
    <row r="56" spans="1:26">
      <c r="A56" s="2864" t="s">
        <v>2555</v>
      </c>
      <c r="B56" s="2865">
        <f t="shared" si="193"/>
        <v>208.83454537875372</v>
      </c>
      <c r="C56" s="2865">
        <f t="shared" si="193"/>
        <v>183.77230517090351</v>
      </c>
      <c r="D56" s="2865">
        <f t="shared" si="178"/>
        <v>183.77230517090351</v>
      </c>
      <c r="E56" s="2865">
        <f t="shared" si="194"/>
        <v>281.10342338870947</v>
      </c>
      <c r="F56" s="2865">
        <f t="shared" si="194"/>
        <v>168.97309388942256</v>
      </c>
      <c r="G56" s="4418">
        <v>2009</v>
      </c>
      <c r="H56" s="2866">
        <v>1</v>
      </c>
      <c r="I56" s="2866">
        <v>-2.64</v>
      </c>
      <c r="J56" s="2866">
        <v>-2.5299999999999998</v>
      </c>
      <c r="K56" s="2866">
        <v>-3.02</v>
      </c>
      <c r="L56" s="2872">
        <v>1.52</v>
      </c>
      <c r="N56" s="2869">
        <f t="shared" si="180"/>
        <v>-2.64E-2</v>
      </c>
      <c r="O56" s="2870">
        <f t="shared" si="180"/>
        <v>-2.53E-2</v>
      </c>
      <c r="P56" s="2870">
        <f t="shared" si="180"/>
        <v>-3.0200000000000001E-2</v>
      </c>
      <c r="Q56" s="2870">
        <f t="shared" si="180"/>
        <v>1.52E-2</v>
      </c>
      <c r="R56" s="2868"/>
      <c r="S56" s="2869">
        <f>B56/B57-1</f>
        <v>-2.4137638417038754E-2</v>
      </c>
      <c r="T56" s="2870">
        <f>C56/C57-1</f>
        <v>-2.248773845264096E-2</v>
      </c>
      <c r="U56" s="2870">
        <f>E56/E57-1</f>
        <v>-2.7323794502735366E-2</v>
      </c>
      <c r="V56" s="2870">
        <f>F56/F57-1</f>
        <v>1.7910204153148035E-2</v>
      </c>
      <c r="X56" s="2853"/>
      <c r="Y56" s="2853"/>
      <c r="Z56" s="2853"/>
    </row>
    <row r="57" spans="1:26" ht="13.5" thickBot="1">
      <c r="A57" s="2864" t="s">
        <v>2556</v>
      </c>
      <c r="B57" s="2914">
        <v>214</v>
      </c>
      <c r="C57" s="2914">
        <v>188</v>
      </c>
      <c r="D57" s="2914">
        <f t="shared" si="178"/>
        <v>188</v>
      </c>
      <c r="E57" s="2914">
        <v>289</v>
      </c>
      <c r="F57" s="2915">
        <v>166</v>
      </c>
      <c r="G57" s="4416">
        <v>2008</v>
      </c>
      <c r="H57" s="2888">
        <v>4</v>
      </c>
      <c r="I57" s="2888">
        <v>1.73</v>
      </c>
      <c r="J57" s="2888">
        <v>0.03</v>
      </c>
      <c r="K57" s="2888">
        <v>2.59</v>
      </c>
      <c r="L57" s="2889">
        <v>-1.66</v>
      </c>
      <c r="N57" s="2867">
        <f t="shared" si="180"/>
        <v>1.7299999999999999E-2</v>
      </c>
      <c r="O57" s="2853">
        <f t="shared" si="180"/>
        <v>2.9999999999999997E-4</v>
      </c>
      <c r="P57" s="2853">
        <f t="shared" si="180"/>
        <v>2.5899999999999999E-2</v>
      </c>
      <c r="Q57" s="2853">
        <f t="shared" si="180"/>
        <v>-1.66E-2</v>
      </c>
      <c r="R57" s="2868"/>
      <c r="S57" s="2877"/>
      <c r="T57" s="2878"/>
      <c r="U57" s="2878"/>
      <c r="V57" s="2878"/>
      <c r="X57" s="2878"/>
      <c r="Y57" s="2878"/>
      <c r="Z57" s="2878"/>
    </row>
    <row r="58" spans="1:26">
      <c r="A58" s="2864" t="s">
        <v>2557</v>
      </c>
      <c r="B58" s="2865">
        <f t="shared" ref="B58:C60" si="195">B57/(1+N57)</f>
        <v>210.36075887152265</v>
      </c>
      <c r="C58" s="2865">
        <f t="shared" si="195"/>
        <v>187.94361691492554</v>
      </c>
      <c r="D58" s="2865">
        <f t="shared" si="178"/>
        <v>187.94361691492554</v>
      </c>
      <c r="E58" s="2865">
        <f t="shared" ref="E58:F60" si="196">E57/(1+P57)</f>
        <v>281.70386977288234</v>
      </c>
      <c r="F58" s="2865">
        <f t="shared" si="196"/>
        <v>168.80211511083994</v>
      </c>
      <c r="G58" s="4417">
        <v>2008</v>
      </c>
      <c r="H58" s="2891">
        <v>3</v>
      </c>
      <c r="I58" s="2891">
        <v>1.96</v>
      </c>
      <c r="J58" s="2891">
        <v>2.36</v>
      </c>
      <c r="K58" s="2891">
        <v>1.82</v>
      </c>
      <c r="L58" s="2892">
        <v>2.2200000000000002</v>
      </c>
      <c r="N58" s="2867">
        <f t="shared" si="180"/>
        <v>1.9599999999999999E-2</v>
      </c>
      <c r="O58" s="2853">
        <f t="shared" si="180"/>
        <v>2.3599999999999999E-2</v>
      </c>
      <c r="P58" s="2853">
        <f t="shared" si="180"/>
        <v>1.8200000000000001E-2</v>
      </c>
      <c r="Q58" s="2853">
        <f t="shared" si="180"/>
        <v>2.2200000000000001E-2</v>
      </c>
      <c r="R58" s="2868"/>
      <c r="S58" s="2867"/>
      <c r="T58" s="2853"/>
      <c r="U58" s="2853"/>
      <c r="V58" s="2853"/>
    </row>
    <row r="59" spans="1:26">
      <c r="A59" s="2864" t="s">
        <v>2558</v>
      </c>
      <c r="B59" s="2865">
        <f t="shared" si="195"/>
        <v>206.31694671589116</v>
      </c>
      <c r="C59" s="2865">
        <f t="shared" si="195"/>
        <v>183.61041121036101</v>
      </c>
      <c r="D59" s="2865">
        <f t="shared" si="178"/>
        <v>183.61041121036101</v>
      </c>
      <c r="E59" s="2865">
        <f t="shared" si="196"/>
        <v>276.66850301795557</v>
      </c>
      <c r="F59" s="2865">
        <f t="shared" si="196"/>
        <v>165.1360938278614</v>
      </c>
      <c r="G59" s="4417">
        <v>2008</v>
      </c>
      <c r="H59" s="2879">
        <v>2</v>
      </c>
      <c r="I59" s="2879">
        <v>4.93</v>
      </c>
      <c r="J59" s="2879">
        <v>7.38</v>
      </c>
      <c r="K59" s="2879">
        <v>3.98</v>
      </c>
      <c r="L59" s="2880">
        <v>6.86</v>
      </c>
      <c r="N59" s="2867">
        <f t="shared" si="180"/>
        <v>4.9299999999999997E-2</v>
      </c>
      <c r="O59" s="2853">
        <f t="shared" si="180"/>
        <v>7.3800000000000004E-2</v>
      </c>
      <c r="P59" s="2853">
        <f t="shared" si="180"/>
        <v>3.9800000000000002E-2</v>
      </c>
      <c r="Q59" s="2853">
        <f t="shared" si="180"/>
        <v>6.8600000000000008E-2</v>
      </c>
      <c r="R59" s="2868"/>
      <c r="S59" s="2867"/>
      <c r="T59" s="2853"/>
      <c r="U59" s="2853"/>
      <c r="V59" s="2853"/>
    </row>
    <row r="60" spans="1:26" s="2920" customFormat="1" ht="13.5" thickBot="1">
      <c r="A60" s="2864" t="s">
        <v>2559</v>
      </c>
      <c r="B60" s="2917">
        <f t="shared" si="195"/>
        <v>196.62341248059772</v>
      </c>
      <c r="C60" s="2917">
        <f t="shared" si="195"/>
        <v>170.99125648199012</v>
      </c>
      <c r="D60" s="2917">
        <f t="shared" si="178"/>
        <v>170.99125648199012</v>
      </c>
      <c r="E60" s="2917">
        <f t="shared" si="196"/>
        <v>266.07857570490052</v>
      </c>
      <c r="F60" s="2917">
        <f t="shared" si="196"/>
        <v>154.53499328828505</v>
      </c>
      <c r="G60" s="4418">
        <v>2008</v>
      </c>
      <c r="H60" s="2918">
        <v>1</v>
      </c>
      <c r="I60" s="2918">
        <v>4.1399999999999997</v>
      </c>
      <c r="J60" s="2918">
        <v>3.45</v>
      </c>
      <c r="K60" s="2918">
        <v>4.95</v>
      </c>
      <c r="L60" s="2919">
        <v>4.82</v>
      </c>
      <c r="N60" s="2921">
        <f t="shared" si="180"/>
        <v>4.1399999999999999E-2</v>
      </c>
      <c r="O60" s="2922">
        <f t="shared" si="180"/>
        <v>3.4500000000000003E-2</v>
      </c>
      <c r="P60" s="2922">
        <f t="shared" si="180"/>
        <v>4.9500000000000002E-2</v>
      </c>
      <c r="Q60" s="2922">
        <f t="shared" si="180"/>
        <v>4.82E-2</v>
      </c>
      <c r="R60" s="2923"/>
      <c r="S60" s="2921">
        <f>B60/B61-1</f>
        <v>4.5869215322328349E-2</v>
      </c>
      <c r="T60" s="2922">
        <f>C60/C61-1</f>
        <v>3.6310645345394743E-2</v>
      </c>
      <c r="U60" s="2922">
        <f>E60/E61-1</f>
        <v>4.7553447657088688E-2</v>
      </c>
      <c r="V60" s="2922">
        <f>F60/F61-1</f>
        <v>4.4155360055980086E-2</v>
      </c>
      <c r="X60" s="2922"/>
      <c r="Y60" s="2922"/>
      <c r="Z60" s="2922"/>
    </row>
    <row r="61" spans="1:26" ht="13.5" thickBot="1">
      <c r="A61" s="2864" t="s">
        <v>2560</v>
      </c>
      <c r="B61" s="2886">
        <v>188</v>
      </c>
      <c r="C61" s="2886">
        <v>165</v>
      </c>
      <c r="D61" s="2886">
        <f t="shared" si="178"/>
        <v>165</v>
      </c>
      <c r="E61" s="2886">
        <v>254</v>
      </c>
      <c r="F61" s="2887">
        <v>148</v>
      </c>
      <c r="G61" s="4416">
        <v>2007</v>
      </c>
      <c r="H61" s="2924">
        <v>4</v>
      </c>
      <c r="I61" s="2924">
        <v>5.51</v>
      </c>
      <c r="J61" s="2924">
        <v>4.8899999999999997</v>
      </c>
      <c r="K61" s="2924">
        <v>6.43</v>
      </c>
      <c r="L61" s="2925">
        <v>5.36</v>
      </c>
      <c r="N61" s="2926">
        <f t="shared" ref="N61:O64" si="197">B61/B62-1</f>
        <v>4.1339718365245526E-2</v>
      </c>
      <c r="O61" s="2927">
        <f t="shared" si="197"/>
        <v>4.0324492593776018E-2</v>
      </c>
      <c r="P61" s="2927">
        <f t="shared" ref="P61:Q64" si="198">E61/E62-1</f>
        <v>6.1625555347990968E-2</v>
      </c>
      <c r="Q61" s="2927">
        <f t="shared" si="198"/>
        <v>4.6757569250590603E-2</v>
      </c>
      <c r="R61" s="2868"/>
      <c r="S61" s="2877"/>
      <c r="T61" s="2878"/>
      <c r="U61" s="2878"/>
      <c r="V61" s="2878"/>
      <c r="X61" s="2878"/>
      <c r="Y61" s="2878"/>
      <c r="Z61" s="2878"/>
    </row>
    <row r="62" spans="1:26">
      <c r="A62" s="2864" t="s">
        <v>2561</v>
      </c>
      <c r="B62" s="2865">
        <f t="shared" ref="B62:C64" si="199">B63+(B$61-B$65)*I62/SUM(I$61:I$64)</f>
        <v>180.5366651097618</v>
      </c>
      <c r="C62" s="2865">
        <f t="shared" si="199"/>
        <v>158.60435967302453</v>
      </c>
      <c r="D62" s="2865">
        <f t="shared" si="178"/>
        <v>158.60435967302453</v>
      </c>
      <c r="E62" s="2865">
        <f t="shared" ref="E62:F64" si="200">E63+(E$61-E$65)*K62/SUM(K$61:K$64)</f>
        <v>239.25573260785075</v>
      </c>
      <c r="F62" s="2865">
        <f t="shared" si="200"/>
        <v>141.38899430740037</v>
      </c>
      <c r="G62" s="4417">
        <v>2007</v>
      </c>
      <c r="H62" s="2891">
        <v>3</v>
      </c>
      <c r="I62" s="2891">
        <v>8.65</v>
      </c>
      <c r="J62" s="2891">
        <v>8.06</v>
      </c>
      <c r="K62" s="2891">
        <v>9.94</v>
      </c>
      <c r="L62" s="2892">
        <v>5.8</v>
      </c>
      <c r="N62" s="2926">
        <f t="shared" si="197"/>
        <v>6.940217571740015E-2</v>
      </c>
      <c r="O62" s="2927">
        <f t="shared" si="197"/>
        <v>7.1197482471153428E-2</v>
      </c>
      <c r="P62" s="2927">
        <f t="shared" si="198"/>
        <v>0.10529679922579582</v>
      </c>
      <c r="Q62" s="2927">
        <f t="shared" si="198"/>
        <v>5.3292245059512133E-2</v>
      </c>
      <c r="R62" s="2868"/>
      <c r="S62" s="2867"/>
      <c r="T62" s="2853"/>
      <c r="U62" s="2853"/>
      <c r="V62" s="2853"/>
      <c r="X62" s="2928"/>
      <c r="Y62" s="2928"/>
      <c r="Z62" s="2928"/>
    </row>
    <row r="63" spans="1:26">
      <c r="A63" s="2864" t="s">
        <v>2562</v>
      </c>
      <c r="B63" s="2865">
        <f t="shared" si="199"/>
        <v>168.82017748715555</v>
      </c>
      <c r="C63" s="2865">
        <f t="shared" si="199"/>
        <v>148.06267029972753</v>
      </c>
      <c r="D63" s="2865">
        <f t="shared" si="178"/>
        <v>148.06267029972753</v>
      </c>
      <c r="E63" s="2865">
        <f t="shared" si="200"/>
        <v>216.46288379323747</v>
      </c>
      <c r="F63" s="2865">
        <f t="shared" si="200"/>
        <v>134.23529411764704</v>
      </c>
      <c r="G63" s="4417">
        <v>2007</v>
      </c>
      <c r="H63" s="2879">
        <v>2</v>
      </c>
      <c r="I63" s="2879">
        <v>3.67</v>
      </c>
      <c r="J63" s="2879">
        <v>2.3199999999999998</v>
      </c>
      <c r="K63" s="2879">
        <v>5.0199999999999996</v>
      </c>
      <c r="L63" s="2880">
        <v>6.71</v>
      </c>
      <c r="N63" s="2926">
        <f t="shared" si="197"/>
        <v>3.0339138143848032E-2</v>
      </c>
      <c r="O63" s="2927">
        <f t="shared" si="197"/>
        <v>2.0922341588790472E-2</v>
      </c>
      <c r="P63" s="2927">
        <f t="shared" si="198"/>
        <v>5.6164796592717003E-2</v>
      </c>
      <c r="Q63" s="2927">
        <f t="shared" si="198"/>
        <v>6.5704536723887319E-2</v>
      </c>
      <c r="R63" s="2868"/>
      <c r="S63" s="2867"/>
      <c r="T63" s="2853"/>
      <c r="U63" s="2853"/>
      <c r="V63" s="2853"/>
      <c r="X63" s="2928"/>
      <c r="Y63" s="2928"/>
      <c r="Z63" s="2928"/>
    </row>
    <row r="64" spans="1:26">
      <c r="A64" s="2864" t="s">
        <v>2563</v>
      </c>
      <c r="B64" s="2865">
        <f t="shared" si="199"/>
        <v>163.84913591779542</v>
      </c>
      <c r="C64" s="2865">
        <f t="shared" si="199"/>
        <v>145.0283378746594</v>
      </c>
      <c r="D64" s="2865">
        <f t="shared" si="178"/>
        <v>145.0283378746594</v>
      </c>
      <c r="E64" s="2865">
        <f t="shared" si="200"/>
        <v>204.95180722891567</v>
      </c>
      <c r="F64" s="2865">
        <f t="shared" si="200"/>
        <v>125.95920303605313</v>
      </c>
      <c r="G64" s="4418">
        <v>2007</v>
      </c>
      <c r="H64" s="2866">
        <v>1</v>
      </c>
      <c r="I64" s="2866">
        <v>3.58</v>
      </c>
      <c r="J64" s="2866">
        <v>3.08</v>
      </c>
      <c r="K64" s="2866">
        <v>4.34</v>
      </c>
      <c r="L64" s="2872">
        <v>3.21</v>
      </c>
      <c r="N64" s="2929">
        <f t="shared" si="197"/>
        <v>3.0497710174814063E-2</v>
      </c>
      <c r="O64" s="2930">
        <f t="shared" si="197"/>
        <v>2.8569772160704998E-2</v>
      </c>
      <c r="P64" s="2930">
        <f t="shared" si="198"/>
        <v>5.1034908866234296E-2</v>
      </c>
      <c r="Q64" s="2930">
        <f t="shared" si="198"/>
        <v>3.245248390207478E-2</v>
      </c>
      <c r="R64" s="2868"/>
      <c r="S64" s="2869">
        <f>B64/B65-1</f>
        <v>3.0497710174814063E-2</v>
      </c>
      <c r="T64" s="2870">
        <f>C64/C65-1</f>
        <v>2.8569772160704998E-2</v>
      </c>
      <c r="U64" s="2870">
        <f>E64/E65-1</f>
        <v>5.1034908866234296E-2</v>
      </c>
      <c r="V64" s="2870">
        <f>F64/F65-1</f>
        <v>3.245248390207478E-2</v>
      </c>
      <c r="X64" s="2928"/>
      <c r="Y64" s="2928"/>
      <c r="Z64" s="2928"/>
    </row>
    <row r="65" spans="1:26" ht="13.5" thickBot="1">
      <c r="A65" s="2864" t="s">
        <v>2564</v>
      </c>
      <c r="B65" s="2893">
        <v>159</v>
      </c>
      <c r="C65" s="2893">
        <v>141</v>
      </c>
      <c r="D65" s="2893">
        <f t="shared" si="178"/>
        <v>141</v>
      </c>
      <c r="E65" s="2893">
        <v>195</v>
      </c>
      <c r="F65" s="2894">
        <v>122</v>
      </c>
      <c r="G65" s="4416">
        <v>2006</v>
      </c>
      <c r="H65" s="2888">
        <v>4</v>
      </c>
      <c r="I65" s="2888">
        <v>3.79</v>
      </c>
      <c r="J65" s="2888">
        <v>2.21</v>
      </c>
      <c r="K65" s="2888">
        <v>5.65</v>
      </c>
      <c r="L65" s="2889">
        <v>5.41</v>
      </c>
      <c r="N65" s="2926">
        <f t="shared" ref="N65:O68" si="201">I65/SUM(I$65:I$68)*(B$65/B$69-1)</f>
        <v>7.245466462748526E-2</v>
      </c>
      <c r="O65" s="2927">
        <f t="shared" si="201"/>
        <v>2.3237230038062766E-2</v>
      </c>
      <c r="P65" s="2927">
        <f t="shared" ref="P65:Q68" si="202">K65/SUM(K$65:K$68)*(E$65/E$69-1)</f>
        <v>0.16146893866323722</v>
      </c>
      <c r="Q65" s="2927">
        <f t="shared" si="202"/>
        <v>5.0755230321793784E-2</v>
      </c>
      <c r="R65" s="2868"/>
      <c r="S65" s="2877"/>
      <c r="T65" s="2878"/>
      <c r="U65" s="2878"/>
      <c r="V65" s="2878"/>
      <c r="X65" s="2928"/>
      <c r="Y65" s="2928"/>
      <c r="Z65" s="2928"/>
    </row>
    <row r="66" spans="1:26">
      <c r="A66" s="2864" t="s">
        <v>2565</v>
      </c>
      <c r="B66" s="2865">
        <f t="shared" ref="B66:C68" si="203">B67+(B$65-B$69)*I66/SUM(I$65:I$68)</f>
        <v>149.00125628140702</v>
      </c>
      <c r="C66" s="2865">
        <f t="shared" si="203"/>
        <v>137.95592286501378</v>
      </c>
      <c r="D66" s="2865">
        <f t="shared" si="178"/>
        <v>137.95592286501378</v>
      </c>
      <c r="E66" s="2865">
        <f t="shared" ref="E66:F68" si="204">E67+(E$65-E$69)*K66/SUM(K$65:K$68)</f>
        <v>169.97231450719823</v>
      </c>
      <c r="F66" s="2865">
        <f t="shared" si="204"/>
        <v>116.21390374331551</v>
      </c>
      <c r="G66" s="4417">
        <v>2006</v>
      </c>
      <c r="H66" s="2891">
        <v>3</v>
      </c>
      <c r="I66" s="2891">
        <v>0.92</v>
      </c>
      <c r="J66" s="2891">
        <v>1.08</v>
      </c>
      <c r="K66" s="2891">
        <v>0.73</v>
      </c>
      <c r="L66" s="2892">
        <v>1.08</v>
      </c>
      <c r="N66" s="2926">
        <f t="shared" si="201"/>
        <v>1.7587939698492462E-2</v>
      </c>
      <c r="O66" s="2927">
        <f t="shared" si="201"/>
        <v>1.1355750425840628E-2</v>
      </c>
      <c r="P66" s="2927">
        <f t="shared" si="202"/>
        <v>2.0862358446754544E-2</v>
      </c>
      <c r="Q66" s="2927">
        <f t="shared" si="202"/>
        <v>1.0132282578103011E-2</v>
      </c>
      <c r="R66" s="2868"/>
      <c r="S66" s="2867"/>
      <c r="T66" s="2853"/>
      <c r="U66" s="2853"/>
      <c r="V66" s="2853"/>
      <c r="X66" s="2928"/>
      <c r="Y66" s="2928"/>
      <c r="Z66" s="2928"/>
    </row>
    <row r="67" spans="1:26">
      <c r="A67" s="2864" t="s">
        <v>2566</v>
      </c>
      <c r="B67" s="2865">
        <f t="shared" si="203"/>
        <v>146.57412060301507</v>
      </c>
      <c r="C67" s="2865">
        <f t="shared" si="203"/>
        <v>136.46831955922866</v>
      </c>
      <c r="D67" s="2865">
        <f t="shared" si="178"/>
        <v>136.46831955922866</v>
      </c>
      <c r="E67" s="2865">
        <f t="shared" si="204"/>
        <v>166.73864894795128</v>
      </c>
      <c r="F67" s="2865">
        <f t="shared" si="204"/>
        <v>115.05882352941177</v>
      </c>
      <c r="G67" s="4417">
        <v>2006</v>
      </c>
      <c r="H67" s="2879">
        <v>2</v>
      </c>
      <c r="I67" s="2879">
        <v>0.96</v>
      </c>
      <c r="J67" s="2879">
        <v>0.25</v>
      </c>
      <c r="K67" s="2879">
        <v>1.9</v>
      </c>
      <c r="L67" s="2880">
        <v>0.95</v>
      </c>
      <c r="N67" s="2926">
        <f t="shared" si="201"/>
        <v>1.8352632728861701E-2</v>
      </c>
      <c r="O67" s="2927">
        <f t="shared" si="201"/>
        <v>2.6286459319075526E-3</v>
      </c>
      <c r="P67" s="2927">
        <f t="shared" si="202"/>
        <v>5.4299289107991269E-2</v>
      </c>
      <c r="Q67" s="2927">
        <f t="shared" si="202"/>
        <v>8.9126559714794995E-3</v>
      </c>
      <c r="R67" s="2868"/>
      <c r="S67" s="2867"/>
      <c r="T67" s="2853"/>
      <c r="U67" s="2853"/>
      <c r="V67" s="2853"/>
      <c r="X67" s="2928"/>
      <c r="Y67" s="2928"/>
      <c r="Z67" s="2928"/>
    </row>
    <row r="68" spans="1:26">
      <c r="A68" s="2864" t="s">
        <v>2567</v>
      </c>
      <c r="B68" s="2865">
        <f t="shared" si="203"/>
        <v>144.04145728643215</v>
      </c>
      <c r="C68" s="2865">
        <f t="shared" si="203"/>
        <v>136.12396694214877</v>
      </c>
      <c r="D68" s="2865">
        <f t="shared" si="178"/>
        <v>136.12396694214877</v>
      </c>
      <c r="E68" s="2865">
        <f t="shared" si="204"/>
        <v>158.32225913621264</v>
      </c>
      <c r="F68" s="2865">
        <f t="shared" si="204"/>
        <v>114.04278074866311</v>
      </c>
      <c r="G68" s="4418">
        <v>2006</v>
      </c>
      <c r="H68" s="2866">
        <v>1</v>
      </c>
      <c r="I68" s="2866">
        <v>2.29</v>
      </c>
      <c r="J68" s="2866">
        <v>3.72</v>
      </c>
      <c r="K68" s="2866">
        <v>0.75</v>
      </c>
      <c r="L68" s="2872">
        <v>0.04</v>
      </c>
      <c r="N68" s="2929">
        <f t="shared" si="201"/>
        <v>4.3778675988638847E-2</v>
      </c>
      <c r="O68" s="2930">
        <f t="shared" si="201"/>
        <v>3.9114251466784385E-2</v>
      </c>
      <c r="P68" s="2930">
        <f t="shared" si="202"/>
        <v>2.1433929911049188E-2</v>
      </c>
      <c r="Q68" s="2930">
        <f t="shared" si="202"/>
        <v>3.7526972511492629E-4</v>
      </c>
      <c r="R68" s="2868"/>
      <c r="S68" s="2869">
        <f>B68/B69-1</f>
        <v>4.3778675988638716E-2</v>
      </c>
      <c r="T68" s="2870">
        <f>C68/C69-1</f>
        <v>3.91142514667846E-2</v>
      </c>
      <c r="U68" s="2870">
        <f>E68/E69-1</f>
        <v>2.143392991104931E-2</v>
      </c>
      <c r="V68" s="2870">
        <f>F68/F69-1</f>
        <v>3.7526972511492396E-4</v>
      </c>
      <c r="X68" s="2928"/>
      <c r="Y68" s="2928"/>
      <c r="Z68" s="2928"/>
    </row>
    <row r="69" spans="1:26" ht="13.5" thickBot="1">
      <c r="A69" s="2864" t="s">
        <v>2568</v>
      </c>
      <c r="B69" s="2893">
        <v>138</v>
      </c>
      <c r="C69" s="2893">
        <v>131</v>
      </c>
      <c r="D69" s="2893">
        <f t="shared" si="178"/>
        <v>131</v>
      </c>
      <c r="E69" s="2893">
        <v>155</v>
      </c>
      <c r="F69" s="2894">
        <v>114</v>
      </c>
      <c r="G69" s="4416">
        <v>2005</v>
      </c>
      <c r="H69" s="2888">
        <v>4</v>
      </c>
      <c r="I69" s="2888">
        <v>3.29</v>
      </c>
      <c r="J69" s="2888">
        <v>1.44</v>
      </c>
      <c r="K69" s="2888">
        <v>0.66</v>
      </c>
      <c r="L69" s="2889">
        <v>7.78</v>
      </c>
      <c r="N69" s="2926">
        <f t="shared" ref="N69:O72" si="205">I69/SUM(I$69:I$72)*(B$69/B$73-1)</f>
        <v>9.9404603216919935E-2</v>
      </c>
      <c r="O69" s="2927">
        <f t="shared" si="205"/>
        <v>4.7636550760861554E-2</v>
      </c>
      <c r="P69" s="2927">
        <f t="shared" ref="P69:Q72" si="206">K69/SUM(K$69:K$72)*(E$69/E$73-1)</f>
        <v>8.3756345177664976E-2</v>
      </c>
      <c r="Q69" s="2927">
        <f t="shared" si="206"/>
        <v>5.2148766661559584E-2</v>
      </c>
      <c r="R69" s="2868"/>
      <c r="S69" s="2877"/>
      <c r="T69" s="2878"/>
      <c r="U69" s="2878"/>
      <c r="V69" s="2878"/>
      <c r="X69" s="2928"/>
      <c r="Y69" s="2928"/>
      <c r="Z69" s="2928"/>
    </row>
    <row r="70" spans="1:26">
      <c r="A70" s="2864" t="s">
        <v>2569</v>
      </c>
      <c r="B70" s="2865">
        <f t="shared" ref="B70:C72" si="207">B71+(B$69-B$73)*I70/SUM(I$69:I$72)</f>
        <v>125.9720430107527</v>
      </c>
      <c r="C70" s="2865">
        <f t="shared" si="207"/>
        <v>125.1883408071749</v>
      </c>
      <c r="D70" s="2865">
        <f t="shared" si="178"/>
        <v>125.1883408071749</v>
      </c>
      <c r="E70" s="2865">
        <f t="shared" ref="E70:F72" si="208">E71+(E$69-E$73)*K70/SUM(K$69:K$72)</f>
        <v>144.61421319796952</v>
      </c>
      <c r="F70" s="2865">
        <f t="shared" si="208"/>
        <v>108.42008196721311</v>
      </c>
      <c r="G70" s="4417">
        <v>2005</v>
      </c>
      <c r="H70" s="2891">
        <v>3</v>
      </c>
      <c r="I70" s="2891">
        <v>0.46</v>
      </c>
      <c r="J70" s="2891">
        <v>0.32</v>
      </c>
      <c r="K70" s="2891">
        <v>0.42</v>
      </c>
      <c r="L70" s="2892">
        <v>0.64</v>
      </c>
      <c r="N70" s="2926">
        <f t="shared" si="205"/>
        <v>1.3898515951301874E-2</v>
      </c>
      <c r="O70" s="2927">
        <f t="shared" si="205"/>
        <v>1.0585900169080346E-2</v>
      </c>
      <c r="P70" s="2927">
        <f t="shared" si="206"/>
        <v>5.3299492385786795E-2</v>
      </c>
      <c r="Q70" s="2927">
        <f t="shared" si="206"/>
        <v>4.2898728359123568E-3</v>
      </c>
      <c r="R70" s="2868"/>
      <c r="S70" s="2867"/>
      <c r="T70" s="2853"/>
      <c r="U70" s="2853"/>
      <c r="V70" s="2853"/>
      <c r="X70" s="2928"/>
      <c r="Y70" s="2928"/>
      <c r="Z70" s="2928"/>
    </row>
    <row r="71" spans="1:26">
      <c r="A71" s="2864" t="s">
        <v>2570</v>
      </c>
      <c r="B71" s="2865">
        <f t="shared" si="207"/>
        <v>124.29032258064517</v>
      </c>
      <c r="C71" s="2865">
        <f t="shared" si="207"/>
        <v>123.8968609865471</v>
      </c>
      <c r="D71" s="2865">
        <f t="shared" si="178"/>
        <v>123.8968609865471</v>
      </c>
      <c r="E71" s="2865">
        <f t="shared" si="208"/>
        <v>138.00507614213197</v>
      </c>
      <c r="F71" s="2865">
        <f t="shared" si="208"/>
        <v>107.96106557377048</v>
      </c>
      <c r="G71" s="4417">
        <v>2005</v>
      </c>
      <c r="H71" s="2879">
        <v>2</v>
      </c>
      <c r="I71" s="2879">
        <v>0.47</v>
      </c>
      <c r="J71" s="2879">
        <v>0.1</v>
      </c>
      <c r="K71" s="2879">
        <v>0.52</v>
      </c>
      <c r="L71" s="2880">
        <v>0.79</v>
      </c>
      <c r="N71" s="2926">
        <f t="shared" si="205"/>
        <v>1.420065760241713E-2</v>
      </c>
      <c r="O71" s="2927">
        <f t="shared" si="205"/>
        <v>3.3080938028376083E-3</v>
      </c>
      <c r="P71" s="2927">
        <f t="shared" si="206"/>
        <v>6.598984771573603E-2</v>
      </c>
      <c r="Q71" s="2927">
        <f t="shared" si="206"/>
        <v>5.2953117818293153E-3</v>
      </c>
      <c r="R71" s="2868"/>
      <c r="S71" s="2867"/>
      <c r="T71" s="2853"/>
      <c r="U71" s="2853"/>
      <c r="V71" s="2853"/>
      <c r="X71" s="2928"/>
      <c r="Y71" s="2928"/>
      <c r="Z71" s="2928"/>
    </row>
    <row r="72" spans="1:26">
      <c r="A72" s="2864" t="s">
        <v>2571</v>
      </c>
      <c r="B72" s="2865">
        <f t="shared" si="207"/>
        <v>122.57204301075269</v>
      </c>
      <c r="C72" s="2865">
        <f t="shared" si="207"/>
        <v>123.4932735426009</v>
      </c>
      <c r="D72" s="2865">
        <f t="shared" si="178"/>
        <v>123.4932735426009</v>
      </c>
      <c r="E72" s="2865">
        <f t="shared" si="208"/>
        <v>129.82233502538071</v>
      </c>
      <c r="F72" s="2865">
        <f t="shared" si="208"/>
        <v>107.39446721311475</v>
      </c>
      <c r="G72" s="4418">
        <v>2005</v>
      </c>
      <c r="H72" s="2866">
        <v>1</v>
      </c>
      <c r="I72" s="2866">
        <v>0.43</v>
      </c>
      <c r="J72" s="2866">
        <v>0.37</v>
      </c>
      <c r="K72" s="2866">
        <v>0.37</v>
      </c>
      <c r="L72" s="2872">
        <v>0.55000000000000004</v>
      </c>
      <c r="N72" s="2929">
        <f t="shared" si="205"/>
        <v>1.2992090997956099E-2</v>
      </c>
      <c r="O72" s="2930">
        <f t="shared" si="205"/>
        <v>1.2239947070499151E-2</v>
      </c>
      <c r="P72" s="2930">
        <f t="shared" si="206"/>
        <v>4.6954314720812178E-2</v>
      </c>
      <c r="Q72" s="2930">
        <f t="shared" si="206"/>
        <v>3.6866094683621815E-3</v>
      </c>
      <c r="R72" s="2868"/>
      <c r="S72" s="2869">
        <f>B72/B73-1</f>
        <v>1.2992090997956174E-2</v>
      </c>
      <c r="T72" s="2870">
        <f>C72/C73-1</f>
        <v>1.2239947070499246E-2</v>
      </c>
      <c r="U72" s="2870">
        <f>E72/E73-1</f>
        <v>4.695431472081224E-2</v>
      </c>
      <c r="V72" s="2870">
        <f>F72/F73-1</f>
        <v>3.6866094683620787E-3</v>
      </c>
      <c r="X72" s="2928"/>
      <c r="Y72" s="2928"/>
      <c r="Z72" s="2928"/>
    </row>
    <row r="73" spans="1:26" ht="13.5" thickBot="1">
      <c r="A73" s="2864" t="s">
        <v>2572</v>
      </c>
      <c r="B73" s="2914">
        <v>121</v>
      </c>
      <c r="C73" s="2914">
        <v>122</v>
      </c>
      <c r="D73" s="2914">
        <f t="shared" si="178"/>
        <v>122</v>
      </c>
      <c r="E73" s="2914">
        <v>124</v>
      </c>
      <c r="F73" s="2915">
        <v>107</v>
      </c>
      <c r="G73" s="4416">
        <v>2004</v>
      </c>
      <c r="H73" s="2888">
        <v>4</v>
      </c>
      <c r="I73" s="2888">
        <v>0.33</v>
      </c>
      <c r="J73" s="2888">
        <v>0.5</v>
      </c>
      <c r="K73" s="2888">
        <v>0.5</v>
      </c>
      <c r="L73" s="2889">
        <v>0</v>
      </c>
      <c r="N73" s="2926">
        <f t="shared" ref="N73:O76" si="209">I73/SUM(I$73:I$76)*(B$73/B$77-1)</f>
        <v>1.3391770148526898E-2</v>
      </c>
      <c r="O73" s="2927">
        <f t="shared" si="209"/>
        <v>1.063264221158958E-2</v>
      </c>
      <c r="P73" s="2927">
        <f t="shared" ref="P73:Q76" si="210">K73/SUM(K$73:K$76)*(E$73/E$77-1)</f>
        <v>2.2244466688911134E-2</v>
      </c>
      <c r="Q73" s="2927">
        <f t="shared" si="210"/>
        <v>0</v>
      </c>
      <c r="R73" s="2868"/>
      <c r="S73" s="2877"/>
      <c r="T73" s="2878"/>
      <c r="U73" s="2878"/>
      <c r="V73" s="2878"/>
      <c r="X73" s="2928"/>
      <c r="Y73" s="2928"/>
      <c r="Z73" s="2928"/>
    </row>
    <row r="74" spans="1:26">
      <c r="A74" s="2864" t="s">
        <v>2573</v>
      </c>
      <c r="B74" s="2865">
        <f t="shared" ref="B74:C76" si="211">B75+(B$73-B$77)*I74/SUM(I$73:I$76)</f>
        <v>119.51351351351352</v>
      </c>
      <c r="C74" s="2865">
        <f t="shared" si="211"/>
        <v>120.7878787878788</v>
      </c>
      <c r="D74" s="2865">
        <f t="shared" si="178"/>
        <v>120.7878787878788</v>
      </c>
      <c r="E74" s="2865">
        <f t="shared" ref="E74:F76" si="212">E75+(E$73-E$77)*K74/SUM(K$73:K$76)</f>
        <v>121.5975975975976</v>
      </c>
      <c r="F74" s="2865">
        <f t="shared" si="212"/>
        <v>107</v>
      </c>
      <c r="G74" s="4417">
        <v>2004</v>
      </c>
      <c r="H74" s="2891">
        <v>3</v>
      </c>
      <c r="I74" s="2891">
        <v>0.56000000000000005</v>
      </c>
      <c r="J74" s="2891">
        <v>0.8</v>
      </c>
      <c r="K74" s="2891">
        <v>0.83</v>
      </c>
      <c r="L74" s="2892">
        <v>0.06</v>
      </c>
      <c r="N74" s="2926">
        <f t="shared" si="209"/>
        <v>2.2725428130833527E-2</v>
      </c>
      <c r="O74" s="2927">
        <f t="shared" si="209"/>
        <v>1.7012227538543329E-2</v>
      </c>
      <c r="P74" s="2927">
        <f t="shared" si="210"/>
        <v>3.6925814703592477E-2</v>
      </c>
      <c r="Q74" s="2927">
        <f t="shared" si="210"/>
        <v>2.8846153846153744E-2</v>
      </c>
      <c r="R74" s="2868"/>
      <c r="S74" s="2867"/>
      <c r="T74" s="2853"/>
      <c r="U74" s="2853"/>
      <c r="V74" s="2853"/>
      <c r="X74" s="2928"/>
      <c r="Y74" s="2928"/>
      <c r="Z74" s="2928"/>
    </row>
    <row r="75" spans="1:26">
      <c r="A75" s="2864" t="s">
        <v>2574</v>
      </c>
      <c r="B75" s="2865">
        <f t="shared" si="211"/>
        <v>116.99099099099099</v>
      </c>
      <c r="C75" s="2865">
        <f t="shared" si="211"/>
        <v>118.84848484848486</v>
      </c>
      <c r="D75" s="2865">
        <f t="shared" si="178"/>
        <v>118.84848484848486</v>
      </c>
      <c r="E75" s="2865">
        <f t="shared" si="212"/>
        <v>117.60960960960961</v>
      </c>
      <c r="F75" s="2865">
        <f t="shared" si="212"/>
        <v>104</v>
      </c>
      <c r="G75" s="4417">
        <v>2004</v>
      </c>
      <c r="H75" s="2879">
        <v>2</v>
      </c>
      <c r="I75" s="2879">
        <v>1</v>
      </c>
      <c r="J75" s="2879">
        <v>1.5</v>
      </c>
      <c r="K75" s="2879">
        <v>1.5</v>
      </c>
      <c r="L75" s="2880">
        <v>0</v>
      </c>
      <c r="N75" s="2926">
        <f t="shared" si="209"/>
        <v>4.0581121662202721E-2</v>
      </c>
      <c r="O75" s="2927">
        <f t="shared" si="209"/>
        <v>3.1897926634768738E-2</v>
      </c>
      <c r="P75" s="2927">
        <f t="shared" si="210"/>
        <v>6.6733400066733395E-2</v>
      </c>
      <c r="Q75" s="2927">
        <f t="shared" si="210"/>
        <v>0</v>
      </c>
      <c r="R75" s="2868"/>
      <c r="S75" s="2867"/>
      <c r="T75" s="2853"/>
      <c r="U75" s="2853"/>
      <c r="V75" s="2853"/>
      <c r="X75" s="2928"/>
      <c r="Y75" s="2928"/>
      <c r="Z75" s="2928"/>
    </row>
    <row r="76" spans="1:26" s="2920" customFormat="1" ht="13.5" thickBot="1">
      <c r="A76" s="2864" t="s">
        <v>2575</v>
      </c>
      <c r="B76" s="2917">
        <f t="shared" si="211"/>
        <v>112.48648648648648</v>
      </c>
      <c r="C76" s="2917">
        <f t="shared" si="211"/>
        <v>115.21212121212122</v>
      </c>
      <c r="D76" s="2917">
        <f t="shared" si="178"/>
        <v>115.21212121212122</v>
      </c>
      <c r="E76" s="2917">
        <f t="shared" si="212"/>
        <v>110.4024024024024</v>
      </c>
      <c r="F76" s="2917">
        <f t="shared" si="212"/>
        <v>104</v>
      </c>
      <c r="G76" s="4418">
        <v>2004</v>
      </c>
      <c r="H76" s="2918">
        <v>1</v>
      </c>
      <c r="I76" s="2918">
        <v>0.33</v>
      </c>
      <c r="J76" s="2918">
        <v>0.5</v>
      </c>
      <c r="K76" s="2918">
        <v>0.5</v>
      </c>
      <c r="L76" s="2919">
        <v>0</v>
      </c>
      <c r="N76" s="2931">
        <f t="shared" si="209"/>
        <v>1.3391770148526898E-2</v>
      </c>
      <c r="O76" s="2932">
        <f t="shared" si="209"/>
        <v>1.063264221158958E-2</v>
      </c>
      <c r="P76" s="2932">
        <f t="shared" si="210"/>
        <v>2.2244466688911134E-2</v>
      </c>
      <c r="Q76" s="2932">
        <f t="shared" si="210"/>
        <v>0</v>
      </c>
      <c r="R76" s="2923"/>
      <c r="S76" s="2921">
        <f>B76/B77-1</f>
        <v>1.3391770148526883E-2</v>
      </c>
      <c r="T76" s="2922">
        <f>C76/C77-1</f>
        <v>1.063264221158966E-2</v>
      </c>
      <c r="U76" s="2922">
        <f>E76/E77-1</f>
        <v>2.2244466688911224E-2</v>
      </c>
      <c r="V76" s="2922">
        <f>F76/F77-1</f>
        <v>0</v>
      </c>
      <c r="X76" s="2933"/>
      <c r="Y76" s="2933"/>
      <c r="Z76" s="2933"/>
    </row>
    <row r="77" spans="1:26" ht="13.5" thickBot="1">
      <c r="A77" s="2864" t="s">
        <v>2576</v>
      </c>
      <c r="B77" s="2934">
        <v>111</v>
      </c>
      <c r="C77" s="2934">
        <v>114</v>
      </c>
      <c r="D77" s="2934">
        <f t="shared" si="178"/>
        <v>114</v>
      </c>
      <c r="E77" s="2934">
        <v>108</v>
      </c>
      <c r="F77" s="2935">
        <v>104</v>
      </c>
      <c r="G77" s="4416">
        <v>2003</v>
      </c>
      <c r="H77" s="2924">
        <v>4</v>
      </c>
      <c r="I77" s="2936"/>
      <c r="J77" s="2936"/>
      <c r="K77" s="2936"/>
      <c r="L77" s="2936"/>
      <c r="N77" s="2937"/>
      <c r="O77" s="2936"/>
      <c r="P77" s="2936"/>
      <c r="Q77" s="2936"/>
      <c r="S77" s="2937"/>
      <c r="T77" s="2936"/>
      <c r="U77" s="2936"/>
      <c r="V77" s="2936"/>
      <c r="X77" s="2928"/>
      <c r="Y77" s="2928"/>
      <c r="Z77" s="2928"/>
    </row>
    <row r="78" spans="1:26">
      <c r="A78" s="2864" t="s">
        <v>2577</v>
      </c>
      <c r="B78" s="2938">
        <f t="shared" ref="B78:C80" si="213">B79+(B$77-B$81)/4</f>
        <v>109.75</v>
      </c>
      <c r="C78" s="2938">
        <f t="shared" si="213"/>
        <v>112.25</v>
      </c>
      <c r="D78" s="2938">
        <f t="shared" si="178"/>
        <v>112.25</v>
      </c>
      <c r="E78" s="2938">
        <f t="shared" ref="E78:F80" si="214">E79+(E$77-E$81)/4</f>
        <v>107.25</v>
      </c>
      <c r="F78" s="2938">
        <f t="shared" si="214"/>
        <v>103.5</v>
      </c>
      <c r="G78" s="4417">
        <v>2003</v>
      </c>
      <c r="H78" s="2891">
        <v>3</v>
      </c>
      <c r="I78" s="2936"/>
      <c r="J78" s="2936"/>
      <c r="K78" s="2936"/>
      <c r="L78" s="2936"/>
      <c r="X78" s="2928"/>
      <c r="Y78" s="2928"/>
      <c r="Z78" s="2928"/>
    </row>
    <row r="79" spans="1:26">
      <c r="A79" s="2864" t="s">
        <v>2578</v>
      </c>
      <c r="B79" s="2938">
        <f t="shared" si="213"/>
        <v>108.5</v>
      </c>
      <c r="C79" s="2938">
        <f t="shared" si="213"/>
        <v>110.5</v>
      </c>
      <c r="D79" s="2938">
        <f t="shared" si="178"/>
        <v>110.5</v>
      </c>
      <c r="E79" s="2938">
        <f t="shared" si="214"/>
        <v>106.5</v>
      </c>
      <c r="F79" s="2938">
        <f t="shared" si="214"/>
        <v>103</v>
      </c>
      <c r="G79" s="4417">
        <v>2003</v>
      </c>
      <c r="H79" s="2879">
        <v>2</v>
      </c>
      <c r="I79" s="2936"/>
      <c r="J79" s="2936"/>
      <c r="K79" s="2936"/>
      <c r="L79" s="2936"/>
      <c r="X79" s="2928"/>
      <c r="Y79" s="2928"/>
      <c r="Z79" s="2928"/>
    </row>
    <row r="80" spans="1:26" ht="13.5" thickBot="1">
      <c r="A80" s="2864" t="s">
        <v>2579</v>
      </c>
      <c r="B80" s="2938">
        <f t="shared" si="213"/>
        <v>107.25</v>
      </c>
      <c r="C80" s="2938">
        <f t="shared" si="213"/>
        <v>108.75</v>
      </c>
      <c r="D80" s="2938">
        <f t="shared" si="178"/>
        <v>108.75</v>
      </c>
      <c r="E80" s="2938">
        <f t="shared" si="214"/>
        <v>105.75</v>
      </c>
      <c r="F80" s="2938">
        <f t="shared" si="214"/>
        <v>102.5</v>
      </c>
      <c r="G80" s="4418">
        <v>2003</v>
      </c>
      <c r="H80" s="2939">
        <v>1</v>
      </c>
      <c r="I80" s="2936"/>
      <c r="J80" s="2936"/>
      <c r="K80" s="2936"/>
      <c r="L80" s="2936"/>
      <c r="S80" s="2867"/>
      <c r="T80" s="2853"/>
      <c r="U80" s="2853"/>
      <c r="X80" s="2928"/>
      <c r="Y80" s="2928"/>
      <c r="Z80" s="2928"/>
    </row>
    <row r="81" spans="1:26" ht="13.5" thickBot="1">
      <c r="A81" s="2864" t="s">
        <v>2580</v>
      </c>
      <c r="B81" s="2940">
        <v>106</v>
      </c>
      <c r="C81" s="2940">
        <v>107</v>
      </c>
      <c r="D81" s="2940">
        <f t="shared" si="178"/>
        <v>107</v>
      </c>
      <c r="E81" s="2940">
        <v>105</v>
      </c>
      <c r="F81" s="2941">
        <v>102</v>
      </c>
      <c r="G81" s="4416">
        <v>2002</v>
      </c>
      <c r="H81" s="2888">
        <v>4</v>
      </c>
      <c r="I81" s="2936"/>
      <c r="J81" s="2936"/>
      <c r="K81" s="2936"/>
      <c r="L81" s="2936"/>
      <c r="N81" s="2937"/>
      <c r="O81" s="2936"/>
      <c r="P81" s="2936"/>
      <c r="Q81" s="2936"/>
      <c r="S81" s="2937"/>
      <c r="T81" s="2936"/>
      <c r="U81" s="2936"/>
      <c r="V81" s="2936"/>
      <c r="X81" s="2928"/>
      <c r="Y81" s="2928"/>
      <c r="Z81" s="2928"/>
    </row>
    <row r="82" spans="1:26">
      <c r="A82" s="2864" t="s">
        <v>2581</v>
      </c>
      <c r="B82" s="2938">
        <f t="shared" ref="B82:C84" si="215">B83+(B$81-B$85)/4</f>
        <v>105</v>
      </c>
      <c r="C82" s="2938">
        <f t="shared" si="215"/>
        <v>106</v>
      </c>
      <c r="D82" s="2938">
        <f t="shared" si="178"/>
        <v>106</v>
      </c>
      <c r="E82" s="2938">
        <f t="shared" ref="E82:F84" si="216">E83+(E$81-E$85)/4</f>
        <v>104.5</v>
      </c>
      <c r="F82" s="2938">
        <f t="shared" si="216"/>
        <v>101.5</v>
      </c>
      <c r="G82" s="4417">
        <v>2002</v>
      </c>
      <c r="H82" s="2891">
        <v>3</v>
      </c>
      <c r="I82" s="2936"/>
      <c r="J82" s="2936"/>
      <c r="K82" s="2936"/>
      <c r="L82" s="2936"/>
      <c r="X82" s="2928"/>
      <c r="Y82" s="2928"/>
      <c r="Z82" s="2928"/>
    </row>
    <row r="83" spans="1:26">
      <c r="A83" s="2864" t="s">
        <v>2582</v>
      </c>
      <c r="B83" s="2938">
        <f t="shared" si="215"/>
        <v>104</v>
      </c>
      <c r="C83" s="2938">
        <f t="shared" si="215"/>
        <v>105</v>
      </c>
      <c r="D83" s="2938">
        <f t="shared" si="178"/>
        <v>105</v>
      </c>
      <c r="E83" s="2938">
        <f t="shared" si="216"/>
        <v>104</v>
      </c>
      <c r="F83" s="2938">
        <f t="shared" si="216"/>
        <v>101</v>
      </c>
      <c r="G83" s="4417">
        <v>2002</v>
      </c>
      <c r="H83" s="2879">
        <v>2</v>
      </c>
      <c r="I83" s="2936"/>
      <c r="J83" s="2936"/>
      <c r="K83" s="2936"/>
      <c r="L83" s="2936"/>
      <c r="X83" s="2928"/>
      <c r="Y83" s="2928"/>
      <c r="Z83" s="2928"/>
    </row>
    <row r="84" spans="1:26" s="2901" customFormat="1" ht="13.5" thickBot="1">
      <c r="A84" s="2897" t="s">
        <v>2583</v>
      </c>
      <c r="B84" s="2904">
        <f t="shared" si="215"/>
        <v>103</v>
      </c>
      <c r="C84" s="2904">
        <f t="shared" si="215"/>
        <v>104</v>
      </c>
      <c r="D84" s="2904">
        <f t="shared" si="178"/>
        <v>104</v>
      </c>
      <c r="E84" s="2904">
        <f t="shared" si="216"/>
        <v>103.5</v>
      </c>
      <c r="F84" s="2904">
        <f t="shared" si="216"/>
        <v>100.5</v>
      </c>
      <c r="G84" s="4418">
        <v>2002</v>
      </c>
      <c r="H84" s="2942">
        <v>1</v>
      </c>
      <c r="I84" s="2943"/>
      <c r="J84" s="2943"/>
      <c r="K84" s="2943"/>
      <c r="L84" s="2943"/>
      <c r="N84" s="2944"/>
      <c r="S84" s="2944"/>
      <c r="X84" s="2945"/>
      <c r="Y84" s="2945"/>
      <c r="Z84" s="2945"/>
    </row>
    <row r="85" spans="1:26" ht="13.5" thickBot="1">
      <c r="B85" s="2946">
        <v>102</v>
      </c>
      <c r="C85" s="2947">
        <v>103</v>
      </c>
      <c r="D85" s="2947">
        <f t="shared" si="178"/>
        <v>103</v>
      </c>
      <c r="E85" s="2947">
        <v>103</v>
      </c>
      <c r="F85" s="2948">
        <v>100</v>
      </c>
      <c r="I85" s="2936"/>
      <c r="J85" s="2936"/>
      <c r="K85" s="2936"/>
      <c r="L85" s="2936"/>
      <c r="N85" s="2937"/>
      <c r="O85" s="2936"/>
      <c r="P85" s="2936"/>
      <c r="Q85" s="2936"/>
      <c r="S85" s="2937"/>
      <c r="T85" s="2936"/>
      <c r="U85" s="2936"/>
      <c r="V85" s="2936"/>
      <c r="X85" s="2878"/>
      <c r="Y85" s="2878"/>
      <c r="Z85" s="2878"/>
    </row>
    <row r="87" spans="1:26" s="2950" customFormat="1">
      <c r="A87" s="2949" t="s">
        <v>2584</v>
      </c>
      <c r="G87" s="2951"/>
      <c r="N87" s="2951"/>
      <c r="S87" s="2951"/>
    </row>
    <row r="88" spans="1:26" s="2950" customFormat="1">
      <c r="A88" s="2950" t="s">
        <v>2585</v>
      </c>
      <c r="G88" s="2951"/>
      <c r="N88" s="2951"/>
      <c r="S88" s="2951"/>
    </row>
    <row r="89" spans="1:26" s="2950" customFormat="1">
      <c r="A89" s="2950" t="s">
        <v>2586</v>
      </c>
      <c r="G89" s="2951"/>
      <c r="I89" s="2952"/>
      <c r="J89" s="2952"/>
      <c r="K89" s="2952"/>
      <c r="L89" s="2952"/>
      <c r="N89" s="2953"/>
      <c r="O89" s="2952"/>
      <c r="P89" s="2952"/>
      <c r="Q89" s="2952"/>
      <c r="S89" s="2953"/>
      <c r="T89" s="2952"/>
      <c r="U89" s="2952"/>
      <c r="V89" s="2952"/>
    </row>
    <row r="90" spans="1:26" s="2950" customFormat="1">
      <c r="A90" s="2950" t="s">
        <v>2587</v>
      </c>
      <c r="G90" s="2951"/>
      <c r="N90" s="2951"/>
      <c r="S90" s="2951"/>
    </row>
    <row r="97" spans="7:22" ht="13.5" thickBot="1"/>
    <row r="98" spans="7:22">
      <c r="G98" s="2852"/>
      <c r="S98" s="2954" t="s">
        <v>2588</v>
      </c>
      <c r="T98" s="2955" t="s">
        <v>2589</v>
      </c>
      <c r="U98" s="2955" t="s">
        <v>2590</v>
      </c>
      <c r="V98" s="2955" t="s">
        <v>2591</v>
      </c>
    </row>
    <row r="99" spans="7:22">
      <c r="G99" s="2852"/>
      <c r="N99" s="2877"/>
      <c r="O99" s="2878"/>
      <c r="P99" s="2878"/>
      <c r="Q99" s="2878"/>
      <c r="S99" s="2956">
        <v>2006</v>
      </c>
      <c r="T99" s="2957">
        <v>15.1</v>
      </c>
      <c r="U99" s="2957">
        <v>7.43</v>
      </c>
      <c r="V99" s="2957">
        <v>26.26</v>
      </c>
    </row>
    <row r="100" spans="7:22">
      <c r="G100" s="2852"/>
      <c r="N100" s="2877"/>
      <c r="O100" s="2878"/>
      <c r="P100" s="2878"/>
      <c r="Q100" s="2878"/>
      <c r="S100" s="2958">
        <v>2005</v>
      </c>
      <c r="T100" s="2959">
        <v>13.9</v>
      </c>
      <c r="U100" s="2959">
        <v>7.49</v>
      </c>
      <c r="V100" s="2959">
        <v>24.92</v>
      </c>
    </row>
    <row r="101" spans="7:22">
      <c r="G101" s="2852"/>
      <c r="N101" s="2877"/>
      <c r="O101" s="2878"/>
      <c r="P101" s="2878"/>
      <c r="Q101" s="2878"/>
      <c r="S101" s="2956">
        <v>2004</v>
      </c>
      <c r="T101" s="2957">
        <v>9.48</v>
      </c>
      <c r="U101" s="2957">
        <v>7.2</v>
      </c>
      <c r="V101" s="2957">
        <v>14.68</v>
      </c>
    </row>
    <row r="102" spans="7:22">
      <c r="G102" s="2852"/>
      <c r="N102" s="2877"/>
      <c r="O102" s="2878"/>
      <c r="P102" s="2878"/>
      <c r="Q102" s="2878"/>
      <c r="S102" s="2958">
        <v>2003</v>
      </c>
      <c r="T102" s="2959">
        <v>4.5</v>
      </c>
      <c r="U102" s="2959">
        <v>6.12</v>
      </c>
      <c r="V102" s="2959">
        <v>2.34</v>
      </c>
    </row>
    <row r="103" spans="7:22" ht="13.5" thickBot="1">
      <c r="G103" s="2852"/>
      <c r="N103" s="2877"/>
      <c r="O103" s="2878"/>
      <c r="P103" s="2878"/>
      <c r="Q103" s="2878"/>
      <c r="S103" s="2960">
        <v>2002</v>
      </c>
      <c r="T103" s="2961">
        <v>3.59</v>
      </c>
      <c r="U103" s="2961">
        <v>4.54</v>
      </c>
      <c r="V103" s="2961">
        <v>2.5499999999999998</v>
      </c>
    </row>
    <row r="104" spans="7:22">
      <c r="G104" s="2852"/>
      <c r="N104" s="2877"/>
      <c r="O104" s="2878"/>
      <c r="P104" s="2878"/>
      <c r="Q104" s="2878"/>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c r="S114" s="2852"/>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3" customWidth="1"/>
    <col min="2" max="2" width="12.5" style="3213" customWidth="1"/>
    <col min="3" max="3" width="12.125" style="3213" customWidth="1"/>
    <col min="4" max="4" width="16.625" style="3213" customWidth="1"/>
    <col min="5" max="5" width="12.5" style="3213" customWidth="1"/>
    <col min="6" max="6" width="12.75" style="3213" customWidth="1"/>
    <col min="7" max="16384" width="8.875" style="3213"/>
  </cols>
  <sheetData>
    <row r="1" spans="1:14" ht="20.25">
      <c r="A1" s="3216" t="s">
        <v>2886</v>
      </c>
      <c r="B1" s="3211"/>
      <c r="C1" s="3211"/>
      <c r="D1" s="3211"/>
      <c r="E1" s="3211"/>
      <c r="F1" s="3211"/>
      <c r="G1" s="3212"/>
      <c r="H1" s="3212"/>
      <c r="I1" s="3212"/>
      <c r="J1" s="3212"/>
      <c r="K1" s="3212"/>
      <c r="L1" s="3212"/>
      <c r="M1" s="3212"/>
      <c r="N1" s="3212"/>
    </row>
    <row r="2" spans="1:14" ht="14.25">
      <c r="A2" s="3217" t="s">
        <v>2881</v>
      </c>
      <c r="B2" s="3222">
        <f ca="1">SUMIF(B7:B14,"&lt;&gt;#ref!",B7:B14)</f>
        <v>0</v>
      </c>
      <c r="C2" s="3217" t="s">
        <v>2882</v>
      </c>
      <c r="D2" s="3214"/>
      <c r="E2" s="3214"/>
      <c r="F2" s="3214"/>
      <c r="G2" s="3212"/>
      <c r="H2" s="3212"/>
      <c r="I2" s="3212"/>
      <c r="J2" s="3212"/>
      <c r="K2" s="3212"/>
      <c r="L2" s="3212"/>
      <c r="M2" s="3212"/>
      <c r="N2" s="3212"/>
    </row>
    <row r="3" spans="1:14" ht="14.2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4.2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4.25">
      <c r="A5" s="3218"/>
      <c r="B5" s="3214"/>
      <c r="C5" s="3214"/>
      <c r="D5" s="3214"/>
      <c r="E5" s="3214"/>
      <c r="F5" s="3214"/>
      <c r="G5" s="3212"/>
      <c r="H5" s="3212"/>
      <c r="I5" s="3212"/>
      <c r="J5" s="3212"/>
      <c r="K5" s="3212"/>
      <c r="L5" s="3212"/>
      <c r="M5" s="3212"/>
      <c r="N5" s="3212"/>
    </row>
    <row r="6" spans="1:14" ht="28.5">
      <c r="A6" s="3219" t="s">
        <v>2887</v>
      </c>
      <c r="B6" s="3217" t="s">
        <v>2884</v>
      </c>
      <c r="C6" s="2756"/>
      <c r="D6" s="3214"/>
      <c r="E6" s="3217" t="s">
        <v>2885</v>
      </c>
      <c r="F6" s="3217" t="s">
        <v>2888</v>
      </c>
      <c r="G6" s="3212"/>
      <c r="H6" s="3212"/>
      <c r="I6" s="3212"/>
      <c r="J6" s="3212"/>
      <c r="K6" s="3212"/>
      <c r="L6" s="3212"/>
      <c r="M6" s="3212"/>
      <c r="N6" s="3212"/>
    </row>
    <row r="7" spans="1:14" ht="14.2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4.2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4.2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4.2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4.2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4.2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4.2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4.2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3" sqref="K33"/>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606</v>
      </c>
      <c r="B1" s="712"/>
      <c r="C1" s="745"/>
      <c r="D1" s="1905"/>
      <c r="E1" s="2213" t="s">
        <v>2336</v>
      </c>
      <c r="F1" s="2214">
        <f ca="1">J54</f>
        <v>-3</v>
      </c>
      <c r="G1" s="746">
        <f>MATCH(C1,'数据-取费表'!A6:A16,0)+5</f>
        <v>7</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4425" t="s">
        <v>2417</v>
      </c>
      <c r="C8" s="1713">
        <f ca="1">ROUND(F8*F10*F9*(1-F11)/10000,0)</f>
        <v>0</v>
      </c>
      <c r="D8" s="1710" t="s">
        <v>2488</v>
      </c>
      <c r="E8" s="61" t="s">
        <v>615</v>
      </c>
      <c r="F8" s="757">
        <f ca="1">INDIRECT("'数据-取费表'!u"&amp;$G$1)</f>
        <v>0</v>
      </c>
      <c r="G8" s="1501"/>
      <c r="H8" s="2326" t="s">
        <v>1799</v>
      </c>
      <c r="I8" s="4425" t="s">
        <v>2417</v>
      </c>
      <c r="J8" s="755">
        <f ca="1">ROUND(M8*M10*M9*(1-M11)/10000,0)</f>
        <v>0</v>
      </c>
      <c r="K8" s="339" t="s">
        <v>2488</v>
      </c>
      <c r="L8" s="756" t="s">
        <v>1713</v>
      </c>
      <c r="M8" s="757">
        <f ca="1">INDIRECT("'数据-取费表'!z"&amp;$G$1)</f>
        <v>0</v>
      </c>
    </row>
    <row r="9" spans="1:25" ht="18" customHeight="1">
      <c r="A9" s="2322"/>
      <c r="B9" s="4426"/>
      <c r="C9" s="1714"/>
      <c r="D9" s="1711"/>
      <c r="E9" s="61" t="s">
        <v>616</v>
      </c>
      <c r="F9" s="757">
        <f ca="1">IF(INDIRECT("'数据-取费表'!ah"&amp;$G$1)="",INDIRECT("'数据-取费表'!k"&amp;$G$1),INDIRECT("'数据-取费表'!ah"&amp;$G$1))</f>
        <v>0</v>
      </c>
      <c r="G9" s="1501"/>
      <c r="H9" s="2311"/>
      <c r="I9" s="4426"/>
      <c r="J9" s="760"/>
      <c r="K9" s="761"/>
      <c r="L9" s="756" t="s">
        <v>1714</v>
      </c>
      <c r="M9" s="757">
        <f ca="1">F9</f>
        <v>0</v>
      </c>
    </row>
    <row r="10" spans="1:25" ht="18" customHeight="1">
      <c r="A10" s="2315"/>
      <c r="B10" s="4427"/>
      <c r="C10" s="1714"/>
      <c r="D10" s="1711"/>
      <c r="E10" s="61" t="s">
        <v>617</v>
      </c>
      <c r="F10" s="757">
        <f ca="1">INDIRECT("'数据-取费表'!ai"&amp;$G$1)</f>
        <v>0</v>
      </c>
      <c r="G10" s="1501"/>
      <c r="H10" s="2311"/>
      <c r="I10" s="4427"/>
      <c r="J10" s="760"/>
      <c r="K10" s="761"/>
      <c r="L10" s="756" t="s">
        <v>1715</v>
      </c>
      <c r="M10" s="757">
        <f ca="1">INDIRECT("'数据-取费表'!ai"&amp;$G$1)</f>
        <v>0</v>
      </c>
    </row>
    <row r="11" spans="1:25" ht="18" customHeight="1">
      <c r="A11" s="758"/>
      <c r="B11" s="4428"/>
      <c r="C11" s="1714"/>
      <c r="D11" s="1711"/>
      <c r="E11" s="61" t="s">
        <v>618</v>
      </c>
      <c r="F11" s="766">
        <f ca="1">INDIRECT("'数据-取费表'!w"&amp;$G$1)</f>
        <v>0</v>
      </c>
      <c r="G11" s="1501"/>
      <c r="H11" s="2327"/>
      <c r="I11" s="4427"/>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5.6000000000000001E-2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3</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1.4E-3</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5.33E-2</v>
      </c>
      <c r="D30" s="783" t="s">
        <v>687</v>
      </c>
      <c r="E30" s="756" t="s">
        <v>627</v>
      </c>
      <c r="F30" s="781">
        <f>'数据-取费表'!B41</f>
        <v>5.6000000000000001E-2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5.6000000000000001E-2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4424"/>
      <c r="J36" s="1934"/>
      <c r="K36" s="1935"/>
      <c r="L36" s="1934"/>
      <c r="M36" s="1934"/>
    </row>
    <row r="37" spans="1:18" ht="18" customHeight="1">
      <c r="A37" s="786"/>
      <c r="B37" s="765"/>
      <c r="C37" s="69"/>
      <c r="D37" s="787"/>
      <c r="E37" s="756" t="s">
        <v>652</v>
      </c>
      <c r="F37" s="757">
        <f ca="1">INDIRECT("'数据-取费表'!r"&amp;$G$1)</f>
        <v>0</v>
      </c>
      <c r="G37" s="1917"/>
      <c r="H37" s="1920"/>
      <c r="I37" s="4424"/>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29.25" thickBot="1">
      <c r="A54" s="1950"/>
      <c r="I54" s="2771" t="s">
        <v>2911</v>
      </c>
      <c r="J54" s="2824">
        <f ca="1">IF(M48="住宅",MAX(J52,L49-'数据-取费表'!B20),MIN(J52,L49-'数据-取费表'!B20))</f>
        <v>-3</v>
      </c>
      <c r="K54" s="4429"/>
      <c r="L54" s="4430"/>
      <c r="O54" s="2227" t="s">
        <v>2350</v>
      </c>
      <c r="P54" s="2225" t="s">
        <v>2351</v>
      </c>
      <c r="Q54" s="2226">
        <f ca="1">J54</f>
        <v>-3</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5"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3.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29.2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29.2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29.2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5.75"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20.25" thickBot="1">
      <c r="A62" s="1950"/>
      <c r="B62" s="1951"/>
      <c r="C62" s="1951"/>
      <c r="K62" s="1940"/>
      <c r="O62" s="2227" t="s">
        <v>2348</v>
      </c>
      <c r="P62" s="2225" t="s">
        <v>2356</v>
      </c>
      <c r="Q62" s="2226">
        <f ca="1">L59</f>
        <v>0</v>
      </c>
      <c r="R62" s="2229" t="s">
        <v>2357</v>
      </c>
    </row>
    <row r="63" spans="1:18" s="1914" customFormat="1" ht="20.25"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5.75"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5" thickBot="1">
      <c r="A65" s="1950"/>
      <c r="B65" s="1951"/>
      <c r="C65" s="1951"/>
      <c r="I65" s="2790" t="s">
        <v>2333</v>
      </c>
      <c r="J65" s="2791">
        <v>50</v>
      </c>
      <c r="K65" s="2791">
        <v>35</v>
      </c>
      <c r="L65" s="2791">
        <v>60</v>
      </c>
      <c r="M65" s="817">
        <v>0</v>
      </c>
      <c r="O65" s="2230" t="s">
        <v>2377</v>
      </c>
      <c r="P65" s="1501"/>
      <c r="Q65" s="1509"/>
      <c r="R65" s="1501"/>
    </row>
    <row r="66" spans="1:18" s="1914" customFormat="1" ht="15.75"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5.75" thickBot="1">
      <c r="A67" s="1950"/>
      <c r="B67" s="1951"/>
      <c r="C67" s="1951"/>
      <c r="K67" s="1940"/>
      <c r="O67" s="2224" t="s">
        <v>2341</v>
      </c>
      <c r="P67" s="2225" t="s">
        <v>2367</v>
      </c>
      <c r="Q67" s="2226">
        <f ca="1">C41+J31</f>
        <v>0</v>
      </c>
      <c r="R67" s="2225" t="s">
        <v>2342</v>
      </c>
    </row>
    <row r="68" spans="1:18" s="1914" customFormat="1" ht="20.25" thickBot="1">
      <c r="A68" s="1950"/>
      <c r="B68" s="1951"/>
      <c r="C68" s="1951"/>
      <c r="K68" s="1940"/>
      <c r="O68" s="2224" t="s">
        <v>2343</v>
      </c>
      <c r="P68" s="2225" t="s">
        <v>2374</v>
      </c>
      <c r="Q68" s="2226" t="e">
        <f ca="1">L61</f>
        <v>#DIV/0!</v>
      </c>
      <c r="R68" s="2229" t="s">
        <v>2376</v>
      </c>
    </row>
    <row r="69" spans="1:18" s="1914" customFormat="1" ht="21.75" thickBot="1">
      <c r="A69" s="1950"/>
      <c r="B69" s="1951"/>
      <c r="C69" s="1951"/>
      <c r="K69" s="1940"/>
      <c r="O69" s="2227" t="s">
        <v>2345</v>
      </c>
      <c r="P69" s="2225" t="s">
        <v>2375</v>
      </c>
      <c r="Q69" s="2231">
        <f ca="1">L52</f>
        <v>0</v>
      </c>
      <c r="R69" s="2232" t="s">
        <v>2378</v>
      </c>
    </row>
    <row r="70" spans="1:18" s="1914" customFormat="1" ht="20.25" thickBot="1">
      <c r="A70" s="1950"/>
      <c r="B70" s="1951"/>
      <c r="C70" s="1951"/>
      <c r="K70" s="1940"/>
      <c r="O70" s="2227" t="s">
        <v>2346</v>
      </c>
      <c r="P70" s="2233" t="s">
        <v>2360</v>
      </c>
      <c r="Q70" s="2226">
        <f ca="1">ROUND(Q71-Q72*Q73,0)</f>
        <v>0</v>
      </c>
      <c r="R70" s="2229"/>
    </row>
    <row r="71" spans="1:18" s="1914" customFormat="1" ht="15.75" thickBot="1">
      <c r="A71" s="1950"/>
      <c r="B71" s="1951"/>
      <c r="C71" s="1951"/>
      <c r="K71" s="1940"/>
      <c r="O71" s="2227" t="s">
        <v>2361</v>
      </c>
      <c r="P71" s="2233" t="s">
        <v>2362</v>
      </c>
      <c r="Q71" s="2226">
        <f ca="1">C42</f>
        <v>0</v>
      </c>
      <c r="R71" s="2225" t="s">
        <v>2342</v>
      </c>
    </row>
    <row r="72" spans="1:18" s="1914" customFormat="1" ht="15.75" thickBot="1">
      <c r="A72" s="1950"/>
      <c r="B72" s="1951"/>
      <c r="C72" s="1951"/>
      <c r="K72" s="1940"/>
      <c r="O72" s="2227" t="s">
        <v>2363</v>
      </c>
      <c r="P72" s="2233" t="s">
        <v>2364</v>
      </c>
      <c r="Q72" s="2226">
        <f ca="1">C15</f>
        <v>0</v>
      </c>
      <c r="R72" s="2225" t="s">
        <v>2342</v>
      </c>
    </row>
    <row r="73" spans="1:18" s="1914" customFormat="1" ht="15.75" thickBot="1">
      <c r="A73" s="1950"/>
      <c r="B73" s="1951"/>
      <c r="C73" s="1951"/>
      <c r="K73" s="1940"/>
      <c r="O73" s="2227" t="s">
        <v>2365</v>
      </c>
      <c r="P73" s="2233" t="s">
        <v>2366</v>
      </c>
      <c r="Q73" s="2228">
        <f ca="1">F43</f>
        <v>0</v>
      </c>
      <c r="R73" s="2229"/>
    </row>
    <row r="74" spans="1:18" s="1914" customFormat="1" ht="15.75" thickBot="1">
      <c r="A74" s="1950"/>
      <c r="B74" s="1951"/>
      <c r="C74" s="1951"/>
      <c r="K74" s="1940"/>
      <c r="O74" s="2227" t="s">
        <v>2348</v>
      </c>
      <c r="P74" s="2225" t="s">
        <v>2355</v>
      </c>
      <c r="Q74" s="2228">
        <f>L53</f>
        <v>0</v>
      </c>
      <c r="R74" s="2229"/>
    </row>
    <row r="75" spans="1:18" s="1914" customFormat="1" ht="20.25" thickBot="1">
      <c r="A75" s="1950"/>
      <c r="B75" s="1951"/>
      <c r="C75" s="1951"/>
      <c r="K75" s="1940"/>
      <c r="O75" s="2227" t="s">
        <v>2350</v>
      </c>
      <c r="P75" s="2225" t="s">
        <v>2356</v>
      </c>
      <c r="Q75" s="2226">
        <f ca="1">L59</f>
        <v>0</v>
      </c>
      <c r="R75" s="2229" t="s">
        <v>2357</v>
      </c>
    </row>
    <row r="76" spans="1:18" s="1914" customFormat="1" ht="20.25" thickBot="1">
      <c r="A76" s="1950"/>
      <c r="B76" s="1951"/>
      <c r="C76" s="1951"/>
      <c r="K76" s="1940"/>
      <c r="O76" s="2227" t="s">
        <v>2379</v>
      </c>
      <c r="P76" s="2225" t="s">
        <v>2358</v>
      </c>
      <c r="Q76" s="2226">
        <f ca="1">L60</f>
        <v>0</v>
      </c>
      <c r="R76" s="2229" t="s">
        <v>2359</v>
      </c>
    </row>
    <row r="77" spans="1:18" s="1914" customFormat="1" ht="15.75"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K33" sqref="K33"/>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1700</v>
      </c>
      <c r="B1" s="712"/>
      <c r="C1" s="745"/>
      <c r="D1" s="2764" t="s">
        <v>927</v>
      </c>
      <c r="E1" s="2213" t="s">
        <v>2336</v>
      </c>
      <c r="F1" s="2214">
        <f ca="1">J53</f>
        <v>0</v>
      </c>
      <c r="G1" s="3224">
        <f>MATCH(C1,'数据-取费表'!A6:A16,0)+5</f>
        <v>7</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t="e">
        <f ca="1">C40+J29+L46</f>
        <v>#DIV/0!</v>
      </c>
      <c r="C2" s="3229"/>
      <c r="D2" s="3230"/>
      <c r="E2" s="3231"/>
      <c r="F2" s="3231"/>
      <c r="G2" s="3225"/>
      <c r="H2" s="1912"/>
      <c r="I2" s="1912"/>
      <c r="J2" s="1912"/>
      <c r="K2" s="1913"/>
      <c r="L2" s="1912"/>
      <c r="M2" s="1912"/>
    </row>
    <row r="3" spans="1:33" ht="18" customHeight="1" thickBot="1">
      <c r="A3" s="804" t="s">
        <v>1702</v>
      </c>
      <c r="B3" s="805">
        <f ca="1">IF(ISERROR(B2*10000/F43),0,ROUND(B2*10000/F43,0))</f>
        <v>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0</v>
      </c>
      <c r="D5" s="2318" t="s">
        <v>2415</v>
      </c>
      <c r="E5" s="2312"/>
      <c r="F5" s="2313"/>
      <c r="G5" s="1917"/>
      <c r="H5" s="753">
        <v>1</v>
      </c>
      <c r="I5" s="754" t="s">
        <v>2412</v>
      </c>
      <c r="J5" s="55">
        <f ca="1">J6+J10+J12</f>
        <v>0</v>
      </c>
      <c r="K5" s="2318" t="s">
        <v>2415</v>
      </c>
      <c r="L5" s="2312"/>
      <c r="M5" s="2313"/>
    </row>
    <row r="6" spans="1:33" ht="18" customHeight="1">
      <c r="A6" s="1718" t="s">
        <v>1799</v>
      </c>
      <c r="B6" s="4425" t="s">
        <v>2417</v>
      </c>
      <c r="C6" s="755">
        <f ca="1">ROUND(F6*F8*F7*(1-F9)/10000,0)</f>
        <v>0</v>
      </c>
      <c r="D6" s="2319" t="s">
        <v>2416</v>
      </c>
      <c r="E6" s="756" t="s">
        <v>1713</v>
      </c>
      <c r="F6" s="757">
        <f ca="1">INDIRECT("'数据-取费表'!u"&amp;$G$1)</f>
        <v>0</v>
      </c>
      <c r="G6" s="1917"/>
      <c r="H6" s="2326" t="s">
        <v>2422</v>
      </c>
      <c r="I6" s="4425" t="s">
        <v>2417</v>
      </c>
      <c r="J6" s="755">
        <f ca="1">ROUND(M6*M8*M7*(1-M9)/10000,0)</f>
        <v>0</v>
      </c>
      <c r="K6" s="339" t="s">
        <v>1712</v>
      </c>
      <c r="L6" s="756" t="s">
        <v>1713</v>
      </c>
      <c r="M6" s="757">
        <f ca="1">INDIRECT("'数据-取费表'!z"&amp;$G$1)</f>
        <v>0</v>
      </c>
    </row>
    <row r="7" spans="1:33" ht="18" customHeight="1">
      <c r="A7" s="2322"/>
      <c r="B7" s="4426"/>
      <c r="C7" s="760"/>
      <c r="D7" s="761"/>
      <c r="E7" s="756" t="s">
        <v>1714</v>
      </c>
      <c r="F7" s="757">
        <f ca="1">IF(INDIRECT("'数据-取费表'!ah"&amp;$G$1)="",INDIRECT("'数据-取费表'!k"&amp;$G$1),INDIRECT("'数据-取费表'!ah"&amp;$G$1))</f>
        <v>0</v>
      </c>
      <c r="G7" s="1917"/>
      <c r="H7" s="2311"/>
      <c r="I7" s="4426"/>
      <c r="J7" s="760"/>
      <c r="K7" s="761"/>
      <c r="L7" s="756" t="s">
        <v>1714</v>
      </c>
      <c r="M7" s="757">
        <f ca="1">F7</f>
        <v>0</v>
      </c>
    </row>
    <row r="8" spans="1:33" ht="18" customHeight="1">
      <c r="A8" s="2315"/>
      <c r="B8" s="4427"/>
      <c r="C8" s="760"/>
      <c r="D8" s="761"/>
      <c r="E8" s="756" t="s">
        <v>1715</v>
      </c>
      <c r="F8" s="757">
        <f ca="1">INDIRECT("'数据-取费表'!ai"&amp;$G$1)</f>
        <v>0</v>
      </c>
      <c r="G8" s="1917"/>
      <c r="H8" s="2311"/>
      <c r="I8" s="4427"/>
      <c r="J8" s="760"/>
      <c r="K8" s="761"/>
      <c r="L8" s="756" t="s">
        <v>1715</v>
      </c>
      <c r="M8" s="757">
        <f ca="1">INDIRECT("'数据-取费表'!ai"&amp;$G$1)</f>
        <v>0</v>
      </c>
    </row>
    <row r="9" spans="1:33" ht="18" customHeight="1">
      <c r="A9" s="758"/>
      <c r="B9" s="4428"/>
      <c r="C9" s="760"/>
      <c r="D9" s="761"/>
      <c r="E9" s="756" t="s">
        <v>1716</v>
      </c>
      <c r="F9" s="766">
        <f ca="1">INDIRECT("'数据-取费表'!w"&amp;$G$1)</f>
        <v>0</v>
      </c>
      <c r="G9" s="1917"/>
      <c r="H9" s="2327"/>
      <c r="I9" s="4427"/>
      <c r="J9" s="760"/>
      <c r="K9" s="761"/>
      <c r="L9" s="767" t="s">
        <v>1716</v>
      </c>
      <c r="M9" s="768">
        <f ca="1">INDIRECT("'数据-取费表'!ab"&amp;$G$1)</f>
        <v>0</v>
      </c>
    </row>
    <row r="10" spans="1:33" ht="18" customHeight="1">
      <c r="A10" s="1718" t="s">
        <v>2420</v>
      </c>
      <c r="B10" s="2316" t="s">
        <v>2413</v>
      </c>
      <c r="C10" s="771">
        <f ca="1">ROUND(IF(F10="押一",C6/12*F11,IF(F10="押二",C6/12*2*F11,IF(F10="押三",C6/12*3*F11,C11*F11))),0)</f>
        <v>0</v>
      </c>
      <c r="D10" s="2323" t="s">
        <v>2907</v>
      </c>
      <c r="E10" s="2320" t="s">
        <v>2418</v>
      </c>
      <c r="F10" s="2433"/>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0</v>
      </c>
      <c r="D13" s="1722" t="s">
        <v>2262</v>
      </c>
      <c r="E13" s="1722" t="s">
        <v>1719</v>
      </c>
      <c r="F13" s="2358">
        <f ca="1">INDIRECT("'数据-取费表'!y"&amp;$G$1)</f>
        <v>0</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0</v>
      </c>
      <c r="D14" s="1865" t="s">
        <v>1720</v>
      </c>
      <c r="E14" s="1866"/>
      <c r="F14" s="777"/>
      <c r="G14" s="1917"/>
      <c r="H14" s="1551" t="s">
        <v>1805</v>
      </c>
      <c r="I14" s="2082" t="s">
        <v>2778</v>
      </c>
      <c r="J14" s="53">
        <f ca="1">C29</f>
        <v>0</v>
      </c>
      <c r="K14" s="26"/>
      <c r="L14" s="773"/>
      <c r="M14" s="774"/>
    </row>
    <row r="15" spans="1:33" s="1919" customFormat="1" ht="18" customHeight="1" thickBot="1">
      <c r="A15" s="1550" t="s">
        <v>1854</v>
      </c>
      <c r="B15" s="756" t="s">
        <v>625</v>
      </c>
      <c r="C15" s="53">
        <f ca="1">ROUND(C14*F15,0)</f>
        <v>0</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0</v>
      </c>
      <c r="K16" s="1709" t="s">
        <v>1725</v>
      </c>
      <c r="L16" s="2308"/>
      <c r="M16" s="2313"/>
    </row>
    <row r="17" spans="1:33" s="1919" customFormat="1" ht="18" customHeight="1">
      <c r="A17" s="1550" t="s">
        <v>1856</v>
      </c>
      <c r="B17" s="756" t="s">
        <v>631</v>
      </c>
      <c r="C17" s="53">
        <f ca="1">ROUND(F17*(F43+INDIRECT("'数据-取费表'!S"&amp;$G$1))/10000,0)</f>
        <v>0</v>
      </c>
      <c r="D17" s="756" t="s">
        <v>1726</v>
      </c>
      <c r="E17" s="756" t="s">
        <v>1727</v>
      </c>
      <c r="F17" s="56">
        <f>'数据-取费表'!B35</f>
        <v>200</v>
      </c>
      <c r="G17" s="3226"/>
      <c r="H17" s="1551" t="s">
        <v>1805</v>
      </c>
      <c r="I17" s="756" t="s">
        <v>634</v>
      </c>
      <c r="J17" s="2985">
        <f ca="1">ROUND(IF(AND(项目基本情况!B11="自然人",项目基本情况!B10="北京市"),J6*M17/(1+'数据-取费表'!C42),J18+J19+J20),0)</f>
        <v>0</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0</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5.6000000000000001E-2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0</v>
      </c>
      <c r="D19" s="259" t="s">
        <v>1732</v>
      </c>
      <c r="E19" s="1868"/>
      <c r="F19" s="56"/>
      <c r="G19" s="1917"/>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9" customFormat="1" ht="18" customHeight="1">
      <c r="A20" s="1551" t="s">
        <v>1858</v>
      </c>
      <c r="B20" s="756" t="s">
        <v>644</v>
      </c>
      <c r="C20" s="53">
        <f ca="1">ROUND(C19*F20,0)</f>
        <v>0</v>
      </c>
      <c r="D20" s="783" t="s">
        <v>1734</v>
      </c>
      <c r="E20" s="756" t="s">
        <v>1722</v>
      </c>
      <c r="F20" s="781">
        <f>'数据-取费表'!B37</f>
        <v>0.02</v>
      </c>
      <c r="G20" s="3226"/>
      <c r="H20" s="1553" t="s">
        <v>1849</v>
      </c>
      <c r="I20" s="339" t="s">
        <v>1735</v>
      </c>
      <c r="J20" s="54">
        <f ca="1">ROUND(M20*M21/10000,0)</f>
        <v>0</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6"/>
      <c r="H21" s="2328"/>
      <c r="I21" s="765"/>
      <c r="J21" s="69"/>
      <c r="K21" s="787"/>
      <c r="L21" s="756" t="s">
        <v>1741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0</v>
      </c>
      <c r="K22" s="2306" t="s">
        <v>1744</v>
      </c>
      <c r="L22" s="756" t="s">
        <v>1722</v>
      </c>
      <c r="M22" s="788">
        <f ca="1">INDIRECT("'数据-取费表'!Ak"&amp;$G$1)</f>
        <v>0</v>
      </c>
    </row>
    <row r="23" spans="1:33" s="1919" customFormat="1" ht="18" customHeight="1">
      <c r="A23" s="1550" t="s">
        <v>1806</v>
      </c>
      <c r="B23" s="756" t="s">
        <v>2489</v>
      </c>
      <c r="C23" s="53">
        <f ca="1">ROUND(IF('数据-取费表'!B22&lt;=1,(C19+C20)*F24*F23/2,(C19+C20)*(POWER((1+F24),F23/2)-1)),0)</f>
        <v>0</v>
      </c>
      <c r="D23" s="2391" t="str">
        <f>IF(F23&lt;=1,"(建造成本+管理费用)×利率×(建设周期÷2)","(建造成本+管理费用)×((1+利率)^(建设周期÷2)-1)")</f>
        <v>(建造成本+管理费用)×((1+利率)^(建设周期÷2)-1)</v>
      </c>
      <c r="E23" s="756" t="s">
        <v>1745</v>
      </c>
      <c r="F23" s="614">
        <f>'数据-取费表'!B20</f>
        <v>3</v>
      </c>
      <c r="G23" s="3226"/>
      <c r="H23" s="1551" t="s">
        <v>1859</v>
      </c>
      <c r="I23" s="756" t="s">
        <v>657</v>
      </c>
      <c r="J23" s="53">
        <f ca="1">ROUND(J13*M23,0)</f>
        <v>0</v>
      </c>
      <c r="K23" s="2306" t="s">
        <v>1746</v>
      </c>
      <c r="L23" s="756" t="s">
        <v>1722</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1.4E-3</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0</v>
      </c>
      <c r="K25" s="2370" t="s">
        <v>1752</v>
      </c>
      <c r="L25" s="2371"/>
      <c r="M25" s="2372"/>
    </row>
    <row r="26" spans="1:33" ht="18" customHeight="1">
      <c r="A26" s="1550" t="s">
        <v>1806</v>
      </c>
      <c r="B26" s="756" t="s">
        <v>2394</v>
      </c>
      <c r="C26" s="53">
        <f ca="1">ROUND((C19+C20)*F26,0)</f>
        <v>0</v>
      </c>
      <c r="D26" s="783" t="s">
        <v>1753</v>
      </c>
      <c r="E26" s="767" t="s">
        <v>1754</v>
      </c>
      <c r="F26" s="766">
        <f ca="1">INDIRECT("'数据-取费表'!q"&amp;$G$1)</f>
        <v>0</v>
      </c>
      <c r="G26" s="1917"/>
      <c r="H26" s="2324" t="s">
        <v>1755</v>
      </c>
      <c r="I26" s="2083"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5.33E-2</v>
      </c>
      <c r="D28" s="783" t="s">
        <v>2264</v>
      </c>
      <c r="E28" s="756" t="s">
        <v>1760</v>
      </c>
      <c r="F28" s="781">
        <f>'数据-取费表'!B41</f>
        <v>5.6000000000000001E-2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0</v>
      </c>
      <c r="D29" s="2367"/>
      <c r="E29" s="2368"/>
      <c r="F29" s="2369"/>
      <c r="G29" s="3226"/>
      <c r="H29" s="794" t="s">
        <v>1762</v>
      </c>
      <c r="I29" s="795" t="s">
        <v>1763</v>
      </c>
      <c r="J29" s="796">
        <f ca="1">ROUND(J26/(1+F40)^F41,0)</f>
        <v>0</v>
      </c>
      <c r="K29" s="797" t="s">
        <v>1764</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0</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0</v>
      </c>
      <c r="D31" s="1865" t="s">
        <v>1767</v>
      </c>
      <c r="E31" s="1863" t="s">
        <v>1768</v>
      </c>
      <c r="F31" s="2984" t="str">
        <f>IF(项目基本情况!B11="企业","——",IF('数据-取费表'!B10="住宅",IF(F6*F7*F8/12/(1+'数据-取费表'!F30)&gt;100000,4%,2.5%),IF(F6*F7*F8/12/(1+'数据-取费表'!F30)&gt;100000,12%,7%)))</f>
        <v>——</v>
      </c>
      <c r="G31" s="1917"/>
      <c r="H31" s="3223" t="s">
        <v>2962</v>
      </c>
      <c r="I31" s="1921"/>
      <c r="J31" s="1922"/>
      <c r="K31" s="1923"/>
      <c r="L31" s="1924"/>
      <c r="M31" s="1925"/>
    </row>
    <row r="32" spans="1:33" ht="18" customHeight="1">
      <c r="A32" s="1550" t="s">
        <v>1806</v>
      </c>
      <c r="B32" s="756" t="s">
        <v>1769</v>
      </c>
      <c r="C32" s="53">
        <f ca="1">ROUND(C6*F32/(1+'数据-取费表'!C42),1)</f>
        <v>0</v>
      </c>
      <c r="D32" s="1863" t="s">
        <v>1770</v>
      </c>
      <c r="E32" s="756" t="s">
        <v>1771</v>
      </c>
      <c r="F32" s="781">
        <f>'数据-取费表'!B41</f>
        <v>5.6000000000000001E-2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7"/>
      <c r="H33" s="1932"/>
      <c r="I33" s="1932"/>
      <c r="J33" s="1932"/>
      <c r="K33" s="1933"/>
      <c r="L33" s="1932"/>
      <c r="M33" s="1932"/>
    </row>
    <row r="34" spans="1:18" ht="18" customHeight="1">
      <c r="A34" s="1553" t="s">
        <v>1808</v>
      </c>
      <c r="B34" s="339" t="s">
        <v>1773</v>
      </c>
      <c r="C34" s="54">
        <f ca="1">ROUND(F34*F35/10000,1)</f>
        <v>0</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0</v>
      </c>
      <c r="G35" s="1917"/>
      <c r="H35" s="1920"/>
      <c r="I35" s="808" t="s">
        <v>1789</v>
      </c>
      <c r="J35" s="809">
        <f ca="1">ROUND(C13*J36,0)</f>
        <v>0</v>
      </c>
      <c r="K35" s="1933"/>
      <c r="L35" s="1932"/>
      <c r="M35" s="1932"/>
    </row>
    <row r="36" spans="1:18" ht="18" customHeight="1">
      <c r="A36" s="1551" t="s">
        <v>1858</v>
      </c>
      <c r="B36" s="756" t="s">
        <v>1777</v>
      </c>
      <c r="C36" s="53">
        <f ca="1">ROUND(C29*F36,1)</f>
        <v>0</v>
      </c>
      <c r="D36" s="1863" t="s">
        <v>1778</v>
      </c>
      <c r="E36" s="756" t="s">
        <v>1771</v>
      </c>
      <c r="F36" s="788">
        <f ca="1">INDIRECT("'数据-取费表'!Ak"&amp;$G$1)</f>
        <v>0</v>
      </c>
      <c r="G36" s="1917"/>
      <c r="H36" s="1932"/>
      <c r="I36" s="810" t="s">
        <v>1790</v>
      </c>
      <c r="J36" s="811">
        <f ca="1">INDIRECT("'数据-取费表'!j"&amp;$G$1)</f>
        <v>0</v>
      </c>
      <c r="K36" s="1936"/>
      <c r="L36" s="1932"/>
      <c r="M36" s="1932"/>
    </row>
    <row r="37" spans="1:18" ht="18" customHeight="1">
      <c r="A37" s="1551" t="s">
        <v>1859</v>
      </c>
      <c r="B37" s="756" t="s">
        <v>657</v>
      </c>
      <c r="C37" s="53">
        <f ca="1">ROUND(C13*F37,1)</f>
        <v>0</v>
      </c>
      <c r="D37" s="1863" t="s">
        <v>1779</v>
      </c>
      <c r="E37" s="756" t="s">
        <v>1771</v>
      </c>
      <c r="F37" s="789">
        <f ca="1">INDIRECT("'数据-取费表'!Al"&amp;$G$1)</f>
        <v>0</v>
      </c>
      <c r="G37" s="1917"/>
      <c r="H37" s="1932"/>
      <c r="I37" s="812" t="s">
        <v>1791</v>
      </c>
      <c r="J37" s="813"/>
      <c r="K37" s="1936"/>
      <c r="L37" s="1932"/>
      <c r="M37" s="1932"/>
    </row>
    <row r="38" spans="1:18" ht="18" customHeight="1" thickBot="1">
      <c r="A38" s="2373" t="s">
        <v>1860</v>
      </c>
      <c r="B38" s="2368" t="s">
        <v>644</v>
      </c>
      <c r="C38" s="2366">
        <f ca="1">ROUND(C5*F38,1)</f>
        <v>0</v>
      </c>
      <c r="D38" s="2367" t="s">
        <v>1780</v>
      </c>
      <c r="E38" s="2368" t="s">
        <v>1771</v>
      </c>
      <c r="F38" s="2364">
        <f ca="1">INDIRECT("'数据-取费表'!Am"&amp;$G$1)</f>
        <v>0</v>
      </c>
      <c r="G38" s="1917"/>
      <c r="H38" s="1932"/>
      <c r="I38" s="814" t="s">
        <v>1792</v>
      </c>
      <c r="J38" s="815"/>
      <c r="K38" s="1937"/>
      <c r="L38" s="1932"/>
      <c r="M38" s="1932"/>
    </row>
    <row r="39" spans="1:18" ht="24.6" customHeight="1" thickTop="1">
      <c r="A39" s="1717" t="s">
        <v>1863</v>
      </c>
      <c r="B39" s="2691" t="s">
        <v>2774</v>
      </c>
      <c r="C39" s="764">
        <f ca="1">C5-C30</f>
        <v>0</v>
      </c>
      <c r="D39" s="2370" t="s">
        <v>1781</v>
      </c>
      <c r="E39" s="2371"/>
      <c r="F39" s="2372"/>
      <c r="G39" s="1917"/>
      <c r="H39" s="1932"/>
      <c r="I39" s="808" t="s">
        <v>1793</v>
      </c>
      <c r="J39" s="816" t="e">
        <f ca="1">ROUND(J35/C39,3)</f>
        <v>#DIV/0!</v>
      </c>
      <c r="K39" s="1937"/>
      <c r="L39" s="1932"/>
      <c r="M39" s="1932"/>
    </row>
    <row r="40" spans="1:18" ht="18" customHeight="1">
      <c r="A40" s="753" t="s">
        <v>1864</v>
      </c>
      <c r="B40" s="2083" t="s">
        <v>2266</v>
      </c>
      <c r="C40" s="755" t="e">
        <f ca="1">ROUND(C39*(1-((1+F42)/(1+F40))^F41)/(F40-F42),0)</f>
        <v>#DIV/0!</v>
      </c>
      <c r="D40" s="785" t="s">
        <v>1782</v>
      </c>
      <c r="E40" s="756" t="s">
        <v>2381</v>
      </c>
      <c r="F40" s="766">
        <f ca="1">INDIRECT("'数据-取费表'!I"&amp;$G$1)</f>
        <v>0</v>
      </c>
      <c r="G40" s="1917"/>
      <c r="H40" s="1917"/>
      <c r="I40" s="808" t="s">
        <v>1794</v>
      </c>
      <c r="J40" s="816" t="e">
        <f ca="1">1-J39</f>
        <v>#DIV/0!</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t="e">
        <f ca="1">ROUND(C13/C40,3)</f>
        <v>#DIV/0!</v>
      </c>
      <c r="K42" s="1936"/>
      <c r="L42" s="1872"/>
      <c r="M42" s="1872"/>
    </row>
    <row r="43" spans="1:18" ht="18" customHeight="1" thickBot="1">
      <c r="A43" s="794" t="s">
        <v>1762</v>
      </c>
      <c r="B43" s="795" t="s">
        <v>1785</v>
      </c>
      <c r="C43" s="796" t="e">
        <f ca="1">ROUND(C40*10000/F43,0)</f>
        <v>#DIV/0!</v>
      </c>
      <c r="D43" s="797" t="s">
        <v>1786</v>
      </c>
      <c r="E43" s="798" t="s">
        <v>1787</v>
      </c>
      <c r="F43" s="799">
        <f ca="1">INDIRECT("'数据-取费表'!k"&amp;$G$1)</f>
        <v>0</v>
      </c>
      <c r="G43" s="1917"/>
      <c r="H43" s="1872"/>
      <c r="I43" s="818" t="s">
        <v>1797</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t="e">
        <f ca="1">C67-C40</f>
        <v>#DIV/0!</v>
      </c>
      <c r="D46" s="3227"/>
      <c r="E46" s="3227"/>
      <c r="F46" s="3227"/>
      <c r="I46" s="2204" t="s">
        <v>2305</v>
      </c>
      <c r="J46" s="2205"/>
      <c r="K46" s="2206"/>
      <c r="L46" s="2777" t="e">
        <f ca="1">IF(OR(M47="住宅",D1="土地（套用方法）"),0,IF(L48&gt;J51,L60,J60))</f>
        <v>#DIV/0!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c r="K47" s="2774" t="s">
        <v>2311</v>
      </c>
      <c r="L47" s="2778">
        <f ca="1">INDIRECT("'数据-取费表'!d"&amp;$G$1)</f>
        <v>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c r="K48" s="2775" t="s">
        <v>2313</v>
      </c>
      <c r="L48" s="1795">
        <f ca="1">INDIRECT("'数据-取费表'!f"&amp;$G$1)</f>
        <v>0</v>
      </c>
      <c r="M48" s="3228"/>
      <c r="O48" s="2224" t="s">
        <v>2341</v>
      </c>
      <c r="P48" s="2225" t="s">
        <v>2367</v>
      </c>
      <c r="Q48" s="2226" t="e">
        <f ca="1">C40+J29</f>
        <v>#DIV/0!</v>
      </c>
      <c r="R48" s="2225" t="s">
        <v>2342</v>
      </c>
    </row>
    <row r="49" spans="1:18" s="1914" customFormat="1" ht="18" customHeight="1" thickBot="1">
      <c r="A49" s="758"/>
      <c r="B49" s="759"/>
      <c r="C49" s="760"/>
      <c r="D49" s="761"/>
      <c r="E49" s="756" t="s">
        <v>1714</v>
      </c>
      <c r="F49" s="757">
        <f ca="1">F7</f>
        <v>0</v>
      </c>
      <c r="G49" s="1944"/>
      <c r="H49" s="1947"/>
      <c r="I49" s="2765" t="s">
        <v>2308</v>
      </c>
      <c r="J49" s="2209"/>
      <c r="K49" s="2776" t="s">
        <v>2314</v>
      </c>
      <c r="L49" s="2210"/>
      <c r="M49" s="3228"/>
      <c r="O49" s="2224" t="s">
        <v>2343</v>
      </c>
      <c r="P49" s="2225" t="s">
        <v>2368</v>
      </c>
      <c r="Q49" s="2226" t="e">
        <f ca="1">J60</f>
        <v>#DIV/0!</v>
      </c>
      <c r="R49" s="2225" t="s">
        <v>2344</v>
      </c>
    </row>
    <row r="50" spans="1:18" s="1914" customFormat="1" ht="18" customHeight="1" thickBot="1">
      <c r="A50" s="758"/>
      <c r="B50" s="759"/>
      <c r="C50" s="760"/>
      <c r="D50" s="761"/>
      <c r="E50" s="756" t="s">
        <v>1715</v>
      </c>
      <c r="F50" s="757">
        <f ca="1">F8</f>
        <v>0</v>
      </c>
      <c r="G50" s="1949"/>
      <c r="H50" s="1947"/>
      <c r="I50" s="2765" t="s">
        <v>2309</v>
      </c>
      <c r="J50" s="2772">
        <f>SUMPRODUCT((I63:I65=J47)*(J62:L62=J48)*(J63:L65))</f>
        <v>0</v>
      </c>
      <c r="K50" s="2776" t="s">
        <v>2315</v>
      </c>
      <c r="L50" s="2210"/>
      <c r="M50" s="3228"/>
      <c r="O50" s="2227" t="s">
        <v>2345</v>
      </c>
      <c r="P50" s="2225" t="s">
        <v>2369</v>
      </c>
      <c r="Q50" s="2226">
        <f ca="1">C29</f>
        <v>0</v>
      </c>
      <c r="R50" s="2225" t="s">
        <v>2342</v>
      </c>
    </row>
    <row r="51" spans="1:18" s="1914" customFormat="1" ht="18" customHeight="1" thickBot="1">
      <c r="A51" s="758"/>
      <c r="B51" s="759"/>
      <c r="C51" s="760"/>
      <c r="D51" s="761"/>
      <c r="E51" s="756" t="s">
        <v>618</v>
      </c>
      <c r="F51" s="2197"/>
      <c r="H51" s="1947"/>
      <c r="I51" s="2769" t="s">
        <v>2310</v>
      </c>
      <c r="J51" s="2773">
        <f>IF(J49="",J50,J49+J50-YEAR('数据-取费表'!B2))</f>
        <v>0</v>
      </c>
      <c r="K51" s="2765" t="s">
        <v>2316</v>
      </c>
      <c r="L51" s="2779">
        <f ca="1">ROUND(-PV(INDIRECT("'数据-取费表'!h"&amp;$G$1),J51,(C39-C13*J36),0),0)</f>
        <v>0</v>
      </c>
      <c r="M51" s="3228"/>
      <c r="O51" s="2227" t="s">
        <v>2346</v>
      </c>
      <c r="P51" s="2225" t="s">
        <v>2347</v>
      </c>
      <c r="Q51" s="2228" t="e">
        <f ca="1">J58</f>
        <v>#DIV/0!</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0</v>
      </c>
      <c r="K53" s="4431" t="s">
        <v>2901</v>
      </c>
      <c r="L53" s="4432"/>
      <c r="M53" s="3228"/>
      <c r="O53" s="2227" t="s">
        <v>2350</v>
      </c>
      <c r="P53" s="2225" t="s">
        <v>2351</v>
      </c>
      <c r="Q53" s="2226">
        <f ca="1">J53</f>
        <v>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t="e">
        <f ca="1">Q48+Q49</f>
        <v>#DIV/0!</v>
      </c>
      <c r="R54" s="2229" t="s">
        <v>2354</v>
      </c>
    </row>
    <row r="55" spans="1:18" s="1914" customFormat="1" ht="18" customHeight="1" thickTop="1" thickBot="1">
      <c r="A55" s="769">
        <v>2</v>
      </c>
      <c r="B55" s="770" t="s">
        <v>622</v>
      </c>
      <c r="C55" s="771">
        <f ca="1">C13</f>
        <v>0</v>
      </c>
      <c r="D55" s="767"/>
      <c r="E55" s="767"/>
      <c r="F55" s="772"/>
      <c r="I55" s="2782" t="s">
        <v>2317</v>
      </c>
      <c r="J55" s="2754" t="e">
        <f ca="1">ROUND(IF(J47="钢混",J57/J50,1-(1-2%)*(J50-J57)/J50),3)</f>
        <v>#DIV/0!</v>
      </c>
      <c r="K55" s="2783" t="s">
        <v>2318</v>
      </c>
      <c r="L55" s="2212"/>
      <c r="M55" s="3228"/>
      <c r="O55" s="2230" t="s">
        <v>2373</v>
      </c>
      <c r="P55" s="1501"/>
      <c r="Q55" s="1509"/>
      <c r="R55" s="1501"/>
    </row>
    <row r="56" spans="1:18" s="1914" customFormat="1" ht="42.75" customHeight="1" thickBot="1">
      <c r="A56" s="1552"/>
      <c r="B56" s="2082" t="s">
        <v>2267</v>
      </c>
      <c r="C56" s="53">
        <f ca="1">C29</f>
        <v>0</v>
      </c>
      <c r="D56" s="2449"/>
      <c r="E56" s="756"/>
      <c r="F56" s="781"/>
      <c r="I56" s="2784" t="s">
        <v>2319</v>
      </c>
      <c r="J56" s="2794"/>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0</v>
      </c>
      <c r="D57" s="26" t="s">
        <v>1725</v>
      </c>
      <c r="E57" s="2450"/>
      <c r="F57" s="56"/>
      <c r="I57" s="2785" t="s">
        <v>2320</v>
      </c>
      <c r="J57" s="2786">
        <f ca="1">IF(OR(M47="住宅",J51&lt;L48,J56="是"),"——",J51-L48)</f>
        <v>0</v>
      </c>
      <c r="K57" s="2765" t="s">
        <v>2325</v>
      </c>
      <c r="L57" s="1795">
        <f ca="1">IF(L48&lt;J51,"——",IF(L55="比较法",L49,IF(L55="基准地价",L50,L51)))</f>
        <v>0</v>
      </c>
      <c r="M57" s="3228"/>
      <c r="O57" s="2224" t="s">
        <v>2341</v>
      </c>
      <c r="P57" s="2225" t="s">
        <v>2371</v>
      </c>
      <c r="Q57" s="2226" t="e">
        <f ca="1">C40+J29</f>
        <v>#DIV/0!</v>
      </c>
      <c r="R57" s="2225" t="s">
        <v>2342</v>
      </c>
    </row>
    <row r="58" spans="1:18" s="1914" customFormat="1" ht="28.5" customHeight="1" thickBot="1">
      <c r="A58" s="1551" t="s">
        <v>1799</v>
      </c>
      <c r="B58" s="756" t="s">
        <v>634</v>
      </c>
      <c r="C58" s="2985">
        <f ca="1">ROUND(IF(AND(项目基本情况!B11="自然人",项目基本情况!B10="北京市"),C48*F58/(1+'数据-取费表'!C42),C59+C60+C61),0)</f>
        <v>0</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#DIV/0!</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5.6000000000000001E-2</v>
      </c>
      <c r="I59" s="2785" t="s">
        <v>2322</v>
      </c>
      <c r="J59" s="2786" t="e">
        <f ca="1">IF(OR(M47="住宅",J51&lt;L48,J56="是"),"——",ROUND(C29*J58,0))</f>
        <v>#DIV/0!</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按房产原值计税</v>
      </c>
      <c r="E60" s="756" t="s">
        <v>1722</v>
      </c>
      <c r="F60" s="781">
        <f t="shared" si="0"/>
        <v>1.2E-2</v>
      </c>
      <c r="I60" s="2787" t="s">
        <v>2323</v>
      </c>
      <c r="J60" s="2788" t="e">
        <f ca="1">IF(OR(M47="住宅",J51&lt;L48,J56="是"),"0",ROUND(J59/(1+J52)^J53,0))</f>
        <v>#DIV/0!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0</v>
      </c>
      <c r="D61" s="785" t="s">
        <v>647</v>
      </c>
      <c r="E61" s="756" t="s">
        <v>648</v>
      </c>
      <c r="F61" s="614">
        <f t="shared" si="0"/>
        <v>1.5</v>
      </c>
      <c r="K61" s="1940"/>
      <c r="O61" s="2227" t="s">
        <v>2348</v>
      </c>
      <c r="P61" s="2225" t="s">
        <v>2356</v>
      </c>
      <c r="Q61" s="2226" t="e">
        <f ca="1">L58</f>
        <v>#DIV/0!</v>
      </c>
      <c r="R61" s="2229" t="s">
        <v>2357</v>
      </c>
    </row>
    <row r="62" spans="1:18" s="1914" customFormat="1" ht="15.75" thickBot="1">
      <c r="A62" s="786"/>
      <c r="B62" s="765"/>
      <c r="C62" s="69"/>
      <c r="D62" s="787"/>
      <c r="E62" s="756" t="s">
        <v>652</v>
      </c>
      <c r="F62" s="757">
        <f t="shared" ca="1" si="0"/>
        <v>0</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5.75" thickBot="1">
      <c r="A63" s="1551" t="s">
        <v>1858</v>
      </c>
      <c r="B63" s="756" t="s">
        <v>654</v>
      </c>
      <c r="C63" s="53">
        <f ca="1">ROUND(C56*F63,1)</f>
        <v>0</v>
      </c>
      <c r="D63" s="2449" t="s">
        <v>1778</v>
      </c>
      <c r="E63" s="756" t="s">
        <v>1722</v>
      </c>
      <c r="F63" s="788">
        <f t="shared" ca="1" si="0"/>
        <v>0</v>
      </c>
      <c r="I63" s="2790" t="s">
        <v>2332</v>
      </c>
      <c r="J63" s="2791">
        <v>70</v>
      </c>
      <c r="K63" s="2791">
        <v>50</v>
      </c>
      <c r="L63" s="2791">
        <v>80</v>
      </c>
      <c r="M63" s="2793">
        <v>0.02</v>
      </c>
      <c r="O63" s="2224" t="s">
        <v>2353</v>
      </c>
      <c r="P63" s="2225" t="s">
        <v>2370</v>
      </c>
      <c r="Q63" s="2226" t="e">
        <f ca="1">Q57+Q58</f>
        <v>#DIV/0!</v>
      </c>
      <c r="R63" s="2229" t="s">
        <v>2354</v>
      </c>
    </row>
    <row r="64" spans="1:18" s="1914" customFormat="1" ht="16.5" thickBot="1">
      <c r="A64" s="1551" t="s">
        <v>1859</v>
      </c>
      <c r="B64" s="756" t="s">
        <v>657</v>
      </c>
      <c r="C64" s="53">
        <f ca="1">ROUND(C55*F64,1)</f>
        <v>0</v>
      </c>
      <c r="D64" s="2449" t="s">
        <v>658</v>
      </c>
      <c r="E64" s="756" t="s">
        <v>1722</v>
      </c>
      <c r="F64" s="789">
        <f t="shared" ca="1" si="0"/>
        <v>0</v>
      </c>
      <c r="I64" s="2790" t="s">
        <v>2333</v>
      </c>
      <c r="J64" s="2791">
        <v>50</v>
      </c>
      <c r="K64" s="2791">
        <v>35</v>
      </c>
      <c r="L64" s="2791">
        <v>60</v>
      </c>
      <c r="M64" s="817">
        <v>0</v>
      </c>
      <c r="O64" s="2230" t="s">
        <v>2377</v>
      </c>
      <c r="P64" s="1501"/>
      <c r="Q64" s="1509"/>
      <c r="R64" s="1501"/>
    </row>
    <row r="65" spans="1:18" s="1914" customFormat="1" ht="15.75" thickBot="1">
      <c r="A65" s="1551" t="s">
        <v>1860</v>
      </c>
      <c r="B65" s="756" t="s">
        <v>644</v>
      </c>
      <c r="C65" s="53">
        <f ca="1">ROUND(C47*F65,1)</f>
        <v>0</v>
      </c>
      <c r="D65" s="2449" t="s">
        <v>661</v>
      </c>
      <c r="E65" s="756" t="s">
        <v>1722</v>
      </c>
      <c r="F65" s="766">
        <f t="shared" ca="1" si="0"/>
        <v>0</v>
      </c>
      <c r="I65" s="2790" t="s">
        <v>2334</v>
      </c>
      <c r="J65" s="2791">
        <v>40</v>
      </c>
      <c r="K65" s="2791">
        <v>30</v>
      </c>
      <c r="L65" s="2791">
        <v>50</v>
      </c>
      <c r="M65" s="2793">
        <v>0.02</v>
      </c>
      <c r="O65" s="2221" t="s">
        <v>2337</v>
      </c>
      <c r="P65" s="2222" t="s">
        <v>2338</v>
      </c>
      <c r="Q65" s="2223" t="s">
        <v>2339</v>
      </c>
      <c r="R65" s="2222" t="s">
        <v>2340</v>
      </c>
    </row>
    <row r="66" spans="1:18" s="1914" customFormat="1" ht="24.75" thickBot="1">
      <c r="A66" s="769" t="s">
        <v>1751</v>
      </c>
      <c r="B66" s="2692" t="s">
        <v>2774</v>
      </c>
      <c r="C66" s="771">
        <f ca="1">C47-C57</f>
        <v>0</v>
      </c>
      <c r="D66" s="2448" t="s">
        <v>678</v>
      </c>
      <c r="E66" s="2447"/>
      <c r="F66" s="791"/>
      <c r="K66" s="1940"/>
      <c r="O66" s="2224" t="s">
        <v>2341</v>
      </c>
      <c r="P66" s="2225" t="s">
        <v>2371</v>
      </c>
      <c r="Q66" s="2226" t="e">
        <f ca="1">C40+J29</f>
        <v>#DIV/0!</v>
      </c>
      <c r="R66" s="2225" t="s">
        <v>2342</v>
      </c>
    </row>
    <row r="67" spans="1:18" s="1914" customFormat="1" ht="20.25" thickBot="1">
      <c r="A67" s="753" t="s">
        <v>1755</v>
      </c>
      <c r="B67" s="2083" t="s">
        <v>2266</v>
      </c>
      <c r="C67" s="755" t="e">
        <f ca="1">ROUND(C66*(1-((1+F69)/(1+F67))^F68)/(F67-F69),0)</f>
        <v>#DIV/0!</v>
      </c>
      <c r="D67" s="785" t="s">
        <v>682</v>
      </c>
      <c r="E67" s="756" t="s">
        <v>683</v>
      </c>
      <c r="F67" s="766">
        <f ca="1">F40</f>
        <v>0</v>
      </c>
      <c r="K67" s="1940"/>
      <c r="O67" s="2224" t="s">
        <v>2343</v>
      </c>
      <c r="P67" s="2225" t="s">
        <v>2374</v>
      </c>
      <c r="Q67" s="2226" t="e">
        <f ca="1">L60</f>
        <v>#DIV/0!</v>
      </c>
      <c r="R67" s="2229" t="s">
        <v>2376</v>
      </c>
    </row>
    <row r="68" spans="1:18" ht="21.75" thickBot="1">
      <c r="A68" s="758"/>
      <c r="B68" s="759"/>
      <c r="C68" s="760"/>
      <c r="D68" s="792" t="s">
        <v>1783</v>
      </c>
      <c r="E68" s="756" t="s">
        <v>1759</v>
      </c>
      <c r="F68" s="793">
        <f ca="1">F41</f>
        <v>0</v>
      </c>
      <c r="O68" s="2227" t="s">
        <v>2345</v>
      </c>
      <c r="P68" s="2225" t="s">
        <v>2375</v>
      </c>
      <c r="Q68" s="2231">
        <f ca="1">L51</f>
        <v>0</v>
      </c>
      <c r="R68" s="2232" t="s">
        <v>2378</v>
      </c>
    </row>
    <row r="69" spans="1:18" ht="20.25" thickBot="1">
      <c r="A69" s="762"/>
      <c r="B69" s="763"/>
      <c r="C69" s="764"/>
      <c r="D69" s="787"/>
      <c r="E69" s="756" t="s">
        <v>688</v>
      </c>
      <c r="F69" s="2197"/>
      <c r="O69" s="2227" t="s">
        <v>2346</v>
      </c>
      <c r="P69" s="2233" t="s">
        <v>2360</v>
      </c>
      <c r="Q69" s="2226">
        <f ca="1">ROUND(Q70-Q71*Q72,0)</f>
        <v>0</v>
      </c>
      <c r="R69" s="2229"/>
    </row>
    <row r="70" spans="1:18" ht="15.75" thickBot="1">
      <c r="A70" s="794" t="s">
        <v>1762</v>
      </c>
      <c r="B70" s="795" t="s">
        <v>1785</v>
      </c>
      <c r="C70" s="796" t="e">
        <f ca="1">ROUND(C67*10000/F70,0)</f>
        <v>#DIV/0!</v>
      </c>
      <c r="D70" s="797" t="s">
        <v>1786</v>
      </c>
      <c r="E70" s="798" t="s">
        <v>1787</v>
      </c>
      <c r="F70" s="799">
        <f ca="1">F43</f>
        <v>0</v>
      </c>
      <c r="O70" s="2227" t="s">
        <v>2361</v>
      </c>
      <c r="P70" s="2233" t="s">
        <v>2362</v>
      </c>
      <c r="Q70" s="2226">
        <f ca="1">C39</f>
        <v>0</v>
      </c>
      <c r="R70" s="2225" t="s">
        <v>2342</v>
      </c>
    </row>
    <row r="71" spans="1:18" ht="15.75" thickBot="1">
      <c r="O71" s="2227" t="s">
        <v>2363</v>
      </c>
      <c r="P71" s="2233" t="s">
        <v>2364</v>
      </c>
      <c r="Q71" s="2226">
        <f ca="1">C13</f>
        <v>0</v>
      </c>
      <c r="R71" s="2225" t="s">
        <v>2342</v>
      </c>
    </row>
    <row r="72" spans="1:18" ht="15.75" thickBot="1">
      <c r="O72" s="2227" t="s">
        <v>2365</v>
      </c>
      <c r="P72" s="2233" t="s">
        <v>2366</v>
      </c>
      <c r="Q72" s="2228">
        <f ca="1">J36</f>
        <v>0</v>
      </c>
      <c r="R72" s="2229"/>
    </row>
    <row r="73" spans="1:18" ht="15.75" thickBot="1">
      <c r="O73" s="2227" t="s">
        <v>2348</v>
      </c>
      <c r="P73" s="2225" t="s">
        <v>2355</v>
      </c>
      <c r="Q73" s="2228">
        <f>L52</f>
        <v>0</v>
      </c>
      <c r="R73" s="2229"/>
    </row>
    <row r="74" spans="1:18" ht="20.25" thickBot="1">
      <c r="O74" s="2227" t="s">
        <v>2350</v>
      </c>
      <c r="P74" s="2225" t="s">
        <v>2356</v>
      </c>
      <c r="Q74" s="2226" t="e">
        <f ca="1">L58</f>
        <v>#DIV/0!</v>
      </c>
      <c r="R74" s="2229" t="s">
        <v>2357</v>
      </c>
    </row>
    <row r="75" spans="1:18" ht="15.75" thickBot="1">
      <c r="O75" s="2227" t="s">
        <v>2379</v>
      </c>
      <c r="P75" s="2225" t="str">
        <f>K59</f>
        <v>建筑物剩余耐用年限下的土地年期修正系数Kn</v>
      </c>
      <c r="Q75" s="2226" t="e">
        <f ca="1">L59</f>
        <v>#DIV/0!</v>
      </c>
      <c r="R75" s="2229" t="s">
        <v>2359</v>
      </c>
    </row>
    <row r="76" spans="1:18" ht="15.75"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C19" sqref="C19"/>
    </sheetView>
  </sheetViews>
  <sheetFormatPr defaultRowHeight="13.15" customHeight="1"/>
  <cols>
    <col min="1" max="1" width="9.5" style="3282" customWidth="1"/>
    <col min="2" max="2" width="8.875" style="3282"/>
    <col min="3" max="5" width="12.875" style="3282" customWidth="1"/>
    <col min="6" max="6" width="47.5" style="3282" customWidth="1"/>
    <col min="7" max="7" width="13" style="3439" customWidth="1"/>
    <col min="8" max="8" width="8.875" style="3276"/>
    <col min="9" max="9" width="8.875" style="3277"/>
    <col min="10" max="10" width="5.75" style="3440" customWidth="1"/>
    <col min="11" max="11" width="11.75" style="3440" customWidth="1"/>
    <col min="12" max="13" width="10.75" style="3440" customWidth="1"/>
    <col min="14" max="14" width="10" style="3440" customWidth="1"/>
    <col min="15" max="16" width="10.5" style="3440" bestFit="1" customWidth="1"/>
    <col min="17" max="17" width="10" style="3440" customWidth="1"/>
    <col min="18" max="18" width="10.125" style="3440" customWidth="1"/>
    <col min="19" max="19" width="10" style="3440" customWidth="1"/>
    <col min="20" max="20" width="26.125" style="3440" customWidth="1"/>
    <col min="21" max="21" width="8.875" style="3440"/>
    <col min="22" max="22" width="8.875" style="3277"/>
    <col min="23" max="256" width="8.875" style="3282"/>
    <col min="257" max="257" width="9.5" style="3282" customWidth="1"/>
    <col min="258" max="258" width="8.875" style="3282"/>
    <col min="259" max="261" width="12.875" style="3282" customWidth="1"/>
    <col min="262" max="262" width="47.5" style="3282" customWidth="1"/>
    <col min="263" max="263" width="13" style="3282" customWidth="1"/>
    <col min="264" max="265" width="8.875" style="3282"/>
    <col min="266" max="266" width="5.75" style="3282" customWidth="1"/>
    <col min="267" max="267" width="11.75" style="3282" customWidth="1"/>
    <col min="268" max="269" width="10.75" style="3282" customWidth="1"/>
    <col min="270" max="270" width="10" style="3282" customWidth="1"/>
    <col min="271" max="272" width="10.5" style="3282" bestFit="1" customWidth="1"/>
    <col min="273" max="273" width="10" style="3282" customWidth="1"/>
    <col min="274" max="274" width="10.125" style="3282" customWidth="1"/>
    <col min="275" max="275" width="10" style="3282" customWidth="1"/>
    <col min="276" max="276" width="26.125" style="3282" customWidth="1"/>
    <col min="277" max="512" width="8.875" style="3282"/>
    <col min="513" max="513" width="9.5" style="3282" customWidth="1"/>
    <col min="514" max="514" width="8.875" style="3282"/>
    <col min="515" max="517" width="12.875" style="3282" customWidth="1"/>
    <col min="518" max="518" width="47.5" style="3282" customWidth="1"/>
    <col min="519" max="519" width="13" style="3282" customWidth="1"/>
    <col min="520" max="521" width="8.875" style="3282"/>
    <col min="522" max="522" width="5.75" style="3282" customWidth="1"/>
    <col min="523" max="523" width="11.75" style="3282" customWidth="1"/>
    <col min="524" max="525" width="10.75" style="3282" customWidth="1"/>
    <col min="526" max="526" width="10" style="3282" customWidth="1"/>
    <col min="527" max="528" width="10.5" style="3282" bestFit="1" customWidth="1"/>
    <col min="529" max="529" width="10" style="3282" customWidth="1"/>
    <col min="530" max="530" width="10.125" style="3282" customWidth="1"/>
    <col min="531" max="531" width="10" style="3282" customWidth="1"/>
    <col min="532" max="532" width="26.125" style="3282" customWidth="1"/>
    <col min="533" max="768" width="8.875" style="3282"/>
    <col min="769" max="769" width="9.5" style="3282" customWidth="1"/>
    <col min="770" max="770" width="8.875" style="3282"/>
    <col min="771" max="773" width="12.875" style="3282" customWidth="1"/>
    <col min="774" max="774" width="47.5" style="3282" customWidth="1"/>
    <col min="775" max="775" width="13" style="3282" customWidth="1"/>
    <col min="776" max="777" width="8.875" style="3282"/>
    <col min="778" max="778" width="5.75" style="3282" customWidth="1"/>
    <col min="779" max="779" width="11.75" style="3282" customWidth="1"/>
    <col min="780" max="781" width="10.75" style="3282" customWidth="1"/>
    <col min="782" max="782" width="10" style="3282" customWidth="1"/>
    <col min="783" max="784" width="10.5" style="3282" bestFit="1" customWidth="1"/>
    <col min="785" max="785" width="10" style="3282" customWidth="1"/>
    <col min="786" max="786" width="10.125" style="3282" customWidth="1"/>
    <col min="787" max="787" width="10" style="3282" customWidth="1"/>
    <col min="788" max="788" width="26.125" style="3282" customWidth="1"/>
    <col min="789" max="1024" width="8.875" style="3282"/>
    <col min="1025" max="1025" width="9.5" style="3282" customWidth="1"/>
    <col min="1026" max="1026" width="8.875" style="3282"/>
    <col min="1027" max="1029" width="12.875" style="3282" customWidth="1"/>
    <col min="1030" max="1030" width="47.5" style="3282" customWidth="1"/>
    <col min="1031" max="1031" width="13" style="3282" customWidth="1"/>
    <col min="1032" max="1033" width="8.875" style="3282"/>
    <col min="1034" max="1034" width="5.75" style="3282" customWidth="1"/>
    <col min="1035" max="1035" width="11.75" style="3282" customWidth="1"/>
    <col min="1036" max="1037" width="10.75" style="3282" customWidth="1"/>
    <col min="1038" max="1038" width="10" style="3282" customWidth="1"/>
    <col min="1039" max="1040" width="10.5" style="3282" bestFit="1" customWidth="1"/>
    <col min="1041" max="1041" width="10" style="3282" customWidth="1"/>
    <col min="1042" max="1042" width="10.125" style="3282" customWidth="1"/>
    <col min="1043" max="1043" width="10" style="3282" customWidth="1"/>
    <col min="1044" max="1044" width="26.125" style="3282" customWidth="1"/>
    <col min="1045" max="1280" width="8.875" style="3282"/>
    <col min="1281" max="1281" width="9.5" style="3282" customWidth="1"/>
    <col min="1282" max="1282" width="8.875" style="3282"/>
    <col min="1283" max="1285" width="12.875" style="3282" customWidth="1"/>
    <col min="1286" max="1286" width="47.5" style="3282" customWidth="1"/>
    <col min="1287" max="1287" width="13" style="3282" customWidth="1"/>
    <col min="1288" max="1289" width="8.875" style="3282"/>
    <col min="1290" max="1290" width="5.75" style="3282" customWidth="1"/>
    <col min="1291" max="1291" width="11.75" style="3282" customWidth="1"/>
    <col min="1292" max="1293" width="10.75" style="3282" customWidth="1"/>
    <col min="1294" max="1294" width="10" style="3282" customWidth="1"/>
    <col min="1295" max="1296" width="10.5" style="3282" bestFit="1" customWidth="1"/>
    <col min="1297" max="1297" width="10" style="3282" customWidth="1"/>
    <col min="1298" max="1298" width="10.125" style="3282" customWidth="1"/>
    <col min="1299" max="1299" width="10" style="3282" customWidth="1"/>
    <col min="1300" max="1300" width="26.125" style="3282" customWidth="1"/>
    <col min="1301" max="1536" width="8.875" style="3282"/>
    <col min="1537" max="1537" width="9.5" style="3282" customWidth="1"/>
    <col min="1538" max="1538" width="8.875" style="3282"/>
    <col min="1539" max="1541" width="12.875" style="3282" customWidth="1"/>
    <col min="1542" max="1542" width="47.5" style="3282" customWidth="1"/>
    <col min="1543" max="1543" width="13" style="3282" customWidth="1"/>
    <col min="1544" max="1545" width="8.875" style="3282"/>
    <col min="1546" max="1546" width="5.75" style="3282" customWidth="1"/>
    <col min="1547" max="1547" width="11.75" style="3282" customWidth="1"/>
    <col min="1548" max="1549" width="10.75" style="3282" customWidth="1"/>
    <col min="1550" max="1550" width="10" style="3282" customWidth="1"/>
    <col min="1551" max="1552" width="10.5" style="3282" bestFit="1" customWidth="1"/>
    <col min="1553" max="1553" width="10" style="3282" customWidth="1"/>
    <col min="1554" max="1554" width="10.125" style="3282" customWidth="1"/>
    <col min="1555" max="1555" width="10" style="3282" customWidth="1"/>
    <col min="1556" max="1556" width="26.125" style="3282" customWidth="1"/>
    <col min="1557" max="1792" width="8.875" style="3282"/>
    <col min="1793" max="1793" width="9.5" style="3282" customWidth="1"/>
    <col min="1794" max="1794" width="8.875" style="3282"/>
    <col min="1795" max="1797" width="12.875" style="3282" customWidth="1"/>
    <col min="1798" max="1798" width="47.5" style="3282" customWidth="1"/>
    <col min="1799" max="1799" width="13" style="3282" customWidth="1"/>
    <col min="1800" max="1801" width="8.875" style="3282"/>
    <col min="1802" max="1802" width="5.75" style="3282" customWidth="1"/>
    <col min="1803" max="1803" width="11.75" style="3282" customWidth="1"/>
    <col min="1804" max="1805" width="10.75" style="3282" customWidth="1"/>
    <col min="1806" max="1806" width="10" style="3282" customWidth="1"/>
    <col min="1807" max="1808" width="10.5" style="3282" bestFit="1" customWidth="1"/>
    <col min="1809" max="1809" width="10" style="3282" customWidth="1"/>
    <col min="1810" max="1810" width="10.125" style="3282" customWidth="1"/>
    <col min="1811" max="1811" width="10" style="3282" customWidth="1"/>
    <col min="1812" max="1812" width="26.125" style="3282" customWidth="1"/>
    <col min="1813" max="2048" width="8.875" style="3282"/>
    <col min="2049" max="2049" width="9.5" style="3282" customWidth="1"/>
    <col min="2050" max="2050" width="8.875" style="3282"/>
    <col min="2051" max="2053" width="12.875" style="3282" customWidth="1"/>
    <col min="2054" max="2054" width="47.5" style="3282" customWidth="1"/>
    <col min="2055" max="2055" width="13" style="3282" customWidth="1"/>
    <col min="2056" max="2057" width="8.875" style="3282"/>
    <col min="2058" max="2058" width="5.75" style="3282" customWidth="1"/>
    <col min="2059" max="2059" width="11.75" style="3282" customWidth="1"/>
    <col min="2060" max="2061" width="10.75" style="3282" customWidth="1"/>
    <col min="2062" max="2062" width="10" style="3282" customWidth="1"/>
    <col min="2063" max="2064" width="10.5" style="3282" bestFit="1" customWidth="1"/>
    <col min="2065" max="2065" width="10" style="3282" customWidth="1"/>
    <col min="2066" max="2066" width="10.125" style="3282" customWidth="1"/>
    <col min="2067" max="2067" width="10" style="3282" customWidth="1"/>
    <col min="2068" max="2068" width="26.125" style="3282" customWidth="1"/>
    <col min="2069" max="2304" width="8.875" style="3282"/>
    <col min="2305" max="2305" width="9.5" style="3282" customWidth="1"/>
    <col min="2306" max="2306" width="8.875" style="3282"/>
    <col min="2307" max="2309" width="12.875" style="3282" customWidth="1"/>
    <col min="2310" max="2310" width="47.5" style="3282" customWidth="1"/>
    <col min="2311" max="2311" width="13" style="3282" customWidth="1"/>
    <col min="2312" max="2313" width="8.875" style="3282"/>
    <col min="2314" max="2314" width="5.75" style="3282" customWidth="1"/>
    <col min="2315" max="2315" width="11.75" style="3282" customWidth="1"/>
    <col min="2316" max="2317" width="10.75" style="3282" customWidth="1"/>
    <col min="2318" max="2318" width="10" style="3282" customWidth="1"/>
    <col min="2319" max="2320" width="10.5" style="3282" bestFit="1" customWidth="1"/>
    <col min="2321" max="2321" width="10" style="3282" customWidth="1"/>
    <col min="2322" max="2322" width="10.125" style="3282" customWidth="1"/>
    <col min="2323" max="2323" width="10" style="3282" customWidth="1"/>
    <col min="2324" max="2324" width="26.125" style="3282" customWidth="1"/>
    <col min="2325" max="2560" width="8.875" style="3282"/>
    <col min="2561" max="2561" width="9.5" style="3282" customWidth="1"/>
    <col min="2562" max="2562" width="8.875" style="3282"/>
    <col min="2563" max="2565" width="12.875" style="3282" customWidth="1"/>
    <col min="2566" max="2566" width="47.5" style="3282" customWidth="1"/>
    <col min="2567" max="2567" width="13" style="3282" customWidth="1"/>
    <col min="2568" max="2569" width="8.875" style="3282"/>
    <col min="2570" max="2570" width="5.75" style="3282" customWidth="1"/>
    <col min="2571" max="2571" width="11.75" style="3282" customWidth="1"/>
    <col min="2572" max="2573" width="10.75" style="3282" customWidth="1"/>
    <col min="2574" max="2574" width="10" style="3282" customWidth="1"/>
    <col min="2575" max="2576" width="10.5" style="3282" bestFit="1" customWidth="1"/>
    <col min="2577" max="2577" width="10" style="3282" customWidth="1"/>
    <col min="2578" max="2578" width="10.125" style="3282" customWidth="1"/>
    <col min="2579" max="2579" width="10" style="3282" customWidth="1"/>
    <col min="2580" max="2580" width="26.125" style="3282" customWidth="1"/>
    <col min="2581" max="2816" width="8.875" style="3282"/>
    <col min="2817" max="2817" width="9.5" style="3282" customWidth="1"/>
    <col min="2818" max="2818" width="8.875" style="3282"/>
    <col min="2819" max="2821" width="12.875" style="3282" customWidth="1"/>
    <col min="2822" max="2822" width="47.5" style="3282" customWidth="1"/>
    <col min="2823" max="2823" width="13" style="3282" customWidth="1"/>
    <col min="2824" max="2825" width="8.875" style="3282"/>
    <col min="2826" max="2826" width="5.75" style="3282" customWidth="1"/>
    <col min="2827" max="2827" width="11.75" style="3282" customWidth="1"/>
    <col min="2828" max="2829" width="10.75" style="3282" customWidth="1"/>
    <col min="2830" max="2830" width="10" style="3282" customWidth="1"/>
    <col min="2831" max="2832" width="10.5" style="3282" bestFit="1" customWidth="1"/>
    <col min="2833" max="2833" width="10" style="3282" customWidth="1"/>
    <col min="2834" max="2834" width="10.125" style="3282" customWidth="1"/>
    <col min="2835" max="2835" width="10" style="3282" customWidth="1"/>
    <col min="2836" max="2836" width="26.125" style="3282" customWidth="1"/>
    <col min="2837" max="3072" width="8.875" style="3282"/>
    <col min="3073" max="3073" width="9.5" style="3282" customWidth="1"/>
    <col min="3074" max="3074" width="8.875" style="3282"/>
    <col min="3075" max="3077" width="12.875" style="3282" customWidth="1"/>
    <col min="3078" max="3078" width="47.5" style="3282" customWidth="1"/>
    <col min="3079" max="3079" width="13" style="3282" customWidth="1"/>
    <col min="3080" max="3081" width="8.875" style="3282"/>
    <col min="3082" max="3082" width="5.75" style="3282" customWidth="1"/>
    <col min="3083" max="3083" width="11.75" style="3282" customWidth="1"/>
    <col min="3084" max="3085" width="10.75" style="3282" customWidth="1"/>
    <col min="3086" max="3086" width="10" style="3282" customWidth="1"/>
    <col min="3087" max="3088" width="10.5" style="3282" bestFit="1" customWidth="1"/>
    <col min="3089" max="3089" width="10" style="3282" customWidth="1"/>
    <col min="3090" max="3090" width="10.125" style="3282" customWidth="1"/>
    <col min="3091" max="3091" width="10" style="3282" customWidth="1"/>
    <col min="3092" max="3092" width="26.125" style="3282" customWidth="1"/>
    <col min="3093" max="3328" width="8.875" style="3282"/>
    <col min="3329" max="3329" width="9.5" style="3282" customWidth="1"/>
    <col min="3330" max="3330" width="8.875" style="3282"/>
    <col min="3331" max="3333" width="12.875" style="3282" customWidth="1"/>
    <col min="3334" max="3334" width="47.5" style="3282" customWidth="1"/>
    <col min="3335" max="3335" width="13" style="3282" customWidth="1"/>
    <col min="3336" max="3337" width="8.875" style="3282"/>
    <col min="3338" max="3338" width="5.75" style="3282" customWidth="1"/>
    <col min="3339" max="3339" width="11.75" style="3282" customWidth="1"/>
    <col min="3340" max="3341" width="10.75" style="3282" customWidth="1"/>
    <col min="3342" max="3342" width="10" style="3282" customWidth="1"/>
    <col min="3343" max="3344" width="10.5" style="3282" bestFit="1" customWidth="1"/>
    <col min="3345" max="3345" width="10" style="3282" customWidth="1"/>
    <col min="3346" max="3346" width="10.125" style="3282" customWidth="1"/>
    <col min="3347" max="3347" width="10" style="3282" customWidth="1"/>
    <col min="3348" max="3348" width="26.125" style="3282" customWidth="1"/>
    <col min="3349" max="3584" width="8.875" style="3282"/>
    <col min="3585" max="3585" width="9.5" style="3282" customWidth="1"/>
    <col min="3586" max="3586" width="8.875" style="3282"/>
    <col min="3587" max="3589" width="12.875" style="3282" customWidth="1"/>
    <col min="3590" max="3590" width="47.5" style="3282" customWidth="1"/>
    <col min="3591" max="3591" width="13" style="3282" customWidth="1"/>
    <col min="3592" max="3593" width="8.875" style="3282"/>
    <col min="3594" max="3594" width="5.75" style="3282" customWidth="1"/>
    <col min="3595" max="3595" width="11.75" style="3282" customWidth="1"/>
    <col min="3596" max="3597" width="10.75" style="3282" customWidth="1"/>
    <col min="3598" max="3598" width="10" style="3282" customWidth="1"/>
    <col min="3599" max="3600" width="10.5" style="3282" bestFit="1" customWidth="1"/>
    <col min="3601" max="3601" width="10" style="3282" customWidth="1"/>
    <col min="3602" max="3602" width="10.125" style="3282" customWidth="1"/>
    <col min="3603" max="3603" width="10" style="3282" customWidth="1"/>
    <col min="3604" max="3604" width="26.125" style="3282" customWidth="1"/>
    <col min="3605" max="3840" width="8.875" style="3282"/>
    <col min="3841" max="3841" width="9.5" style="3282" customWidth="1"/>
    <col min="3842" max="3842" width="8.875" style="3282"/>
    <col min="3843" max="3845" width="12.875" style="3282" customWidth="1"/>
    <col min="3846" max="3846" width="47.5" style="3282" customWidth="1"/>
    <col min="3847" max="3847" width="13" style="3282" customWidth="1"/>
    <col min="3848" max="3849" width="8.875" style="3282"/>
    <col min="3850" max="3850" width="5.75" style="3282" customWidth="1"/>
    <col min="3851" max="3851" width="11.75" style="3282" customWidth="1"/>
    <col min="3852" max="3853" width="10.75" style="3282" customWidth="1"/>
    <col min="3854" max="3854" width="10" style="3282" customWidth="1"/>
    <col min="3855" max="3856" width="10.5" style="3282" bestFit="1" customWidth="1"/>
    <col min="3857" max="3857" width="10" style="3282" customWidth="1"/>
    <col min="3858" max="3858" width="10.125" style="3282" customWidth="1"/>
    <col min="3859" max="3859" width="10" style="3282" customWidth="1"/>
    <col min="3860" max="3860" width="26.125" style="3282" customWidth="1"/>
    <col min="3861" max="4096" width="8.875" style="3282"/>
    <col min="4097" max="4097" width="9.5" style="3282" customWidth="1"/>
    <col min="4098" max="4098" width="8.875" style="3282"/>
    <col min="4099" max="4101" width="12.875" style="3282" customWidth="1"/>
    <col min="4102" max="4102" width="47.5" style="3282" customWidth="1"/>
    <col min="4103" max="4103" width="13" style="3282" customWidth="1"/>
    <col min="4104" max="4105" width="8.875" style="3282"/>
    <col min="4106" max="4106" width="5.75" style="3282" customWidth="1"/>
    <col min="4107" max="4107" width="11.75" style="3282" customWidth="1"/>
    <col min="4108" max="4109" width="10.75" style="3282" customWidth="1"/>
    <col min="4110" max="4110" width="10" style="3282" customWidth="1"/>
    <col min="4111" max="4112" width="10.5" style="3282" bestFit="1" customWidth="1"/>
    <col min="4113" max="4113" width="10" style="3282" customWidth="1"/>
    <col min="4114" max="4114" width="10.125" style="3282" customWidth="1"/>
    <col min="4115" max="4115" width="10" style="3282" customWidth="1"/>
    <col min="4116" max="4116" width="26.125" style="3282" customWidth="1"/>
    <col min="4117" max="4352" width="8.875" style="3282"/>
    <col min="4353" max="4353" width="9.5" style="3282" customWidth="1"/>
    <col min="4354" max="4354" width="8.875" style="3282"/>
    <col min="4355" max="4357" width="12.875" style="3282" customWidth="1"/>
    <col min="4358" max="4358" width="47.5" style="3282" customWidth="1"/>
    <col min="4359" max="4359" width="13" style="3282" customWidth="1"/>
    <col min="4360" max="4361" width="8.875" style="3282"/>
    <col min="4362" max="4362" width="5.75" style="3282" customWidth="1"/>
    <col min="4363" max="4363" width="11.75" style="3282" customWidth="1"/>
    <col min="4364" max="4365" width="10.75" style="3282" customWidth="1"/>
    <col min="4366" max="4366" width="10" style="3282" customWidth="1"/>
    <col min="4367" max="4368" width="10.5" style="3282" bestFit="1" customWidth="1"/>
    <col min="4369" max="4369" width="10" style="3282" customWidth="1"/>
    <col min="4370" max="4370" width="10.125" style="3282" customWidth="1"/>
    <col min="4371" max="4371" width="10" style="3282" customWidth="1"/>
    <col min="4372" max="4372" width="26.125" style="3282" customWidth="1"/>
    <col min="4373" max="4608" width="8.875" style="3282"/>
    <col min="4609" max="4609" width="9.5" style="3282" customWidth="1"/>
    <col min="4610" max="4610" width="8.875" style="3282"/>
    <col min="4611" max="4613" width="12.875" style="3282" customWidth="1"/>
    <col min="4614" max="4614" width="47.5" style="3282" customWidth="1"/>
    <col min="4615" max="4615" width="13" style="3282" customWidth="1"/>
    <col min="4616" max="4617" width="8.875" style="3282"/>
    <col min="4618" max="4618" width="5.75" style="3282" customWidth="1"/>
    <col min="4619" max="4619" width="11.75" style="3282" customWidth="1"/>
    <col min="4620" max="4621" width="10.75" style="3282" customWidth="1"/>
    <col min="4622" max="4622" width="10" style="3282" customWidth="1"/>
    <col min="4623" max="4624" width="10.5" style="3282" bestFit="1" customWidth="1"/>
    <col min="4625" max="4625" width="10" style="3282" customWidth="1"/>
    <col min="4626" max="4626" width="10.125" style="3282" customWidth="1"/>
    <col min="4627" max="4627" width="10" style="3282" customWidth="1"/>
    <col min="4628" max="4628" width="26.125" style="3282" customWidth="1"/>
    <col min="4629" max="4864" width="8.875" style="3282"/>
    <col min="4865" max="4865" width="9.5" style="3282" customWidth="1"/>
    <col min="4866" max="4866" width="8.875" style="3282"/>
    <col min="4867" max="4869" width="12.875" style="3282" customWidth="1"/>
    <col min="4870" max="4870" width="47.5" style="3282" customWidth="1"/>
    <col min="4871" max="4871" width="13" style="3282" customWidth="1"/>
    <col min="4872" max="4873" width="8.875" style="3282"/>
    <col min="4874" max="4874" width="5.75" style="3282" customWidth="1"/>
    <col min="4875" max="4875" width="11.75" style="3282" customWidth="1"/>
    <col min="4876" max="4877" width="10.75" style="3282" customWidth="1"/>
    <col min="4878" max="4878" width="10" style="3282" customWidth="1"/>
    <col min="4879" max="4880" width="10.5" style="3282" bestFit="1" customWidth="1"/>
    <col min="4881" max="4881" width="10" style="3282" customWidth="1"/>
    <col min="4882" max="4882" width="10.125" style="3282" customWidth="1"/>
    <col min="4883" max="4883" width="10" style="3282" customWidth="1"/>
    <col min="4884" max="4884" width="26.125" style="3282" customWidth="1"/>
    <col min="4885" max="5120" width="8.875" style="3282"/>
    <col min="5121" max="5121" width="9.5" style="3282" customWidth="1"/>
    <col min="5122" max="5122" width="8.875" style="3282"/>
    <col min="5123" max="5125" width="12.875" style="3282" customWidth="1"/>
    <col min="5126" max="5126" width="47.5" style="3282" customWidth="1"/>
    <col min="5127" max="5127" width="13" style="3282" customWidth="1"/>
    <col min="5128" max="5129" width="8.875" style="3282"/>
    <col min="5130" max="5130" width="5.75" style="3282" customWidth="1"/>
    <col min="5131" max="5131" width="11.75" style="3282" customWidth="1"/>
    <col min="5132" max="5133" width="10.75" style="3282" customWidth="1"/>
    <col min="5134" max="5134" width="10" style="3282" customWidth="1"/>
    <col min="5135" max="5136" width="10.5" style="3282" bestFit="1" customWidth="1"/>
    <col min="5137" max="5137" width="10" style="3282" customWidth="1"/>
    <col min="5138" max="5138" width="10.125" style="3282" customWidth="1"/>
    <col min="5139" max="5139" width="10" style="3282" customWidth="1"/>
    <col min="5140" max="5140" width="26.125" style="3282" customWidth="1"/>
    <col min="5141" max="5376" width="8.875" style="3282"/>
    <col min="5377" max="5377" width="9.5" style="3282" customWidth="1"/>
    <col min="5378" max="5378" width="8.875" style="3282"/>
    <col min="5379" max="5381" width="12.875" style="3282" customWidth="1"/>
    <col min="5382" max="5382" width="47.5" style="3282" customWidth="1"/>
    <col min="5383" max="5383" width="13" style="3282" customWidth="1"/>
    <col min="5384" max="5385" width="8.875" style="3282"/>
    <col min="5386" max="5386" width="5.75" style="3282" customWidth="1"/>
    <col min="5387" max="5387" width="11.75" style="3282" customWidth="1"/>
    <col min="5388" max="5389" width="10.75" style="3282" customWidth="1"/>
    <col min="5390" max="5390" width="10" style="3282" customWidth="1"/>
    <col min="5391" max="5392" width="10.5" style="3282" bestFit="1" customWidth="1"/>
    <col min="5393" max="5393" width="10" style="3282" customWidth="1"/>
    <col min="5394" max="5394" width="10.125" style="3282" customWidth="1"/>
    <col min="5395" max="5395" width="10" style="3282" customWidth="1"/>
    <col min="5396" max="5396" width="26.125" style="3282" customWidth="1"/>
    <col min="5397" max="5632" width="8.875" style="3282"/>
    <col min="5633" max="5633" width="9.5" style="3282" customWidth="1"/>
    <col min="5634" max="5634" width="8.875" style="3282"/>
    <col min="5635" max="5637" width="12.875" style="3282" customWidth="1"/>
    <col min="5638" max="5638" width="47.5" style="3282" customWidth="1"/>
    <col min="5639" max="5639" width="13" style="3282" customWidth="1"/>
    <col min="5640" max="5641" width="8.875" style="3282"/>
    <col min="5642" max="5642" width="5.75" style="3282" customWidth="1"/>
    <col min="5643" max="5643" width="11.75" style="3282" customWidth="1"/>
    <col min="5644" max="5645" width="10.75" style="3282" customWidth="1"/>
    <col min="5646" max="5646" width="10" style="3282" customWidth="1"/>
    <col min="5647" max="5648" width="10.5" style="3282" bestFit="1" customWidth="1"/>
    <col min="5649" max="5649" width="10" style="3282" customWidth="1"/>
    <col min="5650" max="5650" width="10.125" style="3282" customWidth="1"/>
    <col min="5651" max="5651" width="10" style="3282" customWidth="1"/>
    <col min="5652" max="5652" width="26.125" style="3282" customWidth="1"/>
    <col min="5653" max="5888" width="8.875" style="3282"/>
    <col min="5889" max="5889" width="9.5" style="3282" customWidth="1"/>
    <col min="5890" max="5890" width="8.875" style="3282"/>
    <col min="5891" max="5893" width="12.875" style="3282" customWidth="1"/>
    <col min="5894" max="5894" width="47.5" style="3282" customWidth="1"/>
    <col min="5895" max="5895" width="13" style="3282" customWidth="1"/>
    <col min="5896" max="5897" width="8.875" style="3282"/>
    <col min="5898" max="5898" width="5.75" style="3282" customWidth="1"/>
    <col min="5899" max="5899" width="11.75" style="3282" customWidth="1"/>
    <col min="5900" max="5901" width="10.75" style="3282" customWidth="1"/>
    <col min="5902" max="5902" width="10" style="3282" customWidth="1"/>
    <col min="5903" max="5904" width="10.5" style="3282" bestFit="1" customWidth="1"/>
    <col min="5905" max="5905" width="10" style="3282" customWidth="1"/>
    <col min="5906" max="5906" width="10.125" style="3282" customWidth="1"/>
    <col min="5907" max="5907" width="10" style="3282" customWidth="1"/>
    <col min="5908" max="5908" width="26.125" style="3282" customWidth="1"/>
    <col min="5909" max="6144" width="8.875" style="3282"/>
    <col min="6145" max="6145" width="9.5" style="3282" customWidth="1"/>
    <col min="6146" max="6146" width="8.875" style="3282"/>
    <col min="6147" max="6149" width="12.875" style="3282" customWidth="1"/>
    <col min="6150" max="6150" width="47.5" style="3282" customWidth="1"/>
    <col min="6151" max="6151" width="13" style="3282" customWidth="1"/>
    <col min="6152" max="6153" width="8.875" style="3282"/>
    <col min="6154" max="6154" width="5.75" style="3282" customWidth="1"/>
    <col min="6155" max="6155" width="11.75" style="3282" customWidth="1"/>
    <col min="6156" max="6157" width="10.75" style="3282" customWidth="1"/>
    <col min="6158" max="6158" width="10" style="3282" customWidth="1"/>
    <col min="6159" max="6160" width="10.5" style="3282" bestFit="1" customWidth="1"/>
    <col min="6161" max="6161" width="10" style="3282" customWidth="1"/>
    <col min="6162" max="6162" width="10.125" style="3282" customWidth="1"/>
    <col min="6163" max="6163" width="10" style="3282" customWidth="1"/>
    <col min="6164" max="6164" width="26.125" style="3282" customWidth="1"/>
    <col min="6165" max="6400" width="8.875" style="3282"/>
    <col min="6401" max="6401" width="9.5" style="3282" customWidth="1"/>
    <col min="6402" max="6402" width="8.875" style="3282"/>
    <col min="6403" max="6405" width="12.875" style="3282" customWidth="1"/>
    <col min="6406" max="6406" width="47.5" style="3282" customWidth="1"/>
    <col min="6407" max="6407" width="13" style="3282" customWidth="1"/>
    <col min="6408" max="6409" width="8.875" style="3282"/>
    <col min="6410" max="6410" width="5.75" style="3282" customWidth="1"/>
    <col min="6411" max="6411" width="11.75" style="3282" customWidth="1"/>
    <col min="6412" max="6413" width="10.75" style="3282" customWidth="1"/>
    <col min="6414" max="6414" width="10" style="3282" customWidth="1"/>
    <col min="6415" max="6416" width="10.5" style="3282" bestFit="1" customWidth="1"/>
    <col min="6417" max="6417" width="10" style="3282" customWidth="1"/>
    <col min="6418" max="6418" width="10.125" style="3282" customWidth="1"/>
    <col min="6419" max="6419" width="10" style="3282" customWidth="1"/>
    <col min="6420" max="6420" width="26.125" style="3282" customWidth="1"/>
    <col min="6421" max="6656" width="8.875" style="3282"/>
    <col min="6657" max="6657" width="9.5" style="3282" customWidth="1"/>
    <col min="6658" max="6658" width="8.875" style="3282"/>
    <col min="6659" max="6661" width="12.875" style="3282" customWidth="1"/>
    <col min="6662" max="6662" width="47.5" style="3282" customWidth="1"/>
    <col min="6663" max="6663" width="13" style="3282" customWidth="1"/>
    <col min="6664" max="6665" width="8.875" style="3282"/>
    <col min="6666" max="6666" width="5.75" style="3282" customWidth="1"/>
    <col min="6667" max="6667" width="11.75" style="3282" customWidth="1"/>
    <col min="6668" max="6669" width="10.75" style="3282" customWidth="1"/>
    <col min="6670" max="6670" width="10" style="3282" customWidth="1"/>
    <col min="6671" max="6672" width="10.5" style="3282" bestFit="1" customWidth="1"/>
    <col min="6673" max="6673" width="10" style="3282" customWidth="1"/>
    <col min="6674" max="6674" width="10.125" style="3282" customWidth="1"/>
    <col min="6675" max="6675" width="10" style="3282" customWidth="1"/>
    <col min="6676" max="6676" width="26.125" style="3282" customWidth="1"/>
    <col min="6677" max="6912" width="8.875" style="3282"/>
    <col min="6913" max="6913" width="9.5" style="3282" customWidth="1"/>
    <col min="6914" max="6914" width="8.875" style="3282"/>
    <col min="6915" max="6917" width="12.875" style="3282" customWidth="1"/>
    <col min="6918" max="6918" width="47.5" style="3282" customWidth="1"/>
    <col min="6919" max="6919" width="13" style="3282" customWidth="1"/>
    <col min="6920" max="6921" width="8.875" style="3282"/>
    <col min="6922" max="6922" width="5.75" style="3282" customWidth="1"/>
    <col min="6923" max="6923" width="11.75" style="3282" customWidth="1"/>
    <col min="6924" max="6925" width="10.75" style="3282" customWidth="1"/>
    <col min="6926" max="6926" width="10" style="3282" customWidth="1"/>
    <col min="6927" max="6928" width="10.5" style="3282" bestFit="1" customWidth="1"/>
    <col min="6929" max="6929" width="10" style="3282" customWidth="1"/>
    <col min="6930" max="6930" width="10.125" style="3282" customWidth="1"/>
    <col min="6931" max="6931" width="10" style="3282" customWidth="1"/>
    <col min="6932" max="6932" width="26.125" style="3282" customWidth="1"/>
    <col min="6933" max="7168" width="8.875" style="3282"/>
    <col min="7169" max="7169" width="9.5" style="3282" customWidth="1"/>
    <col min="7170" max="7170" width="8.875" style="3282"/>
    <col min="7171" max="7173" width="12.875" style="3282" customWidth="1"/>
    <col min="7174" max="7174" width="47.5" style="3282" customWidth="1"/>
    <col min="7175" max="7175" width="13" style="3282" customWidth="1"/>
    <col min="7176" max="7177" width="8.875" style="3282"/>
    <col min="7178" max="7178" width="5.75" style="3282" customWidth="1"/>
    <col min="7179" max="7179" width="11.75" style="3282" customWidth="1"/>
    <col min="7180" max="7181" width="10.75" style="3282" customWidth="1"/>
    <col min="7182" max="7182" width="10" style="3282" customWidth="1"/>
    <col min="7183" max="7184" width="10.5" style="3282" bestFit="1" customWidth="1"/>
    <col min="7185" max="7185" width="10" style="3282" customWidth="1"/>
    <col min="7186" max="7186" width="10.125" style="3282" customWidth="1"/>
    <col min="7187" max="7187" width="10" style="3282" customWidth="1"/>
    <col min="7188" max="7188" width="26.125" style="3282" customWidth="1"/>
    <col min="7189" max="7424" width="8.875" style="3282"/>
    <col min="7425" max="7425" width="9.5" style="3282" customWidth="1"/>
    <col min="7426" max="7426" width="8.875" style="3282"/>
    <col min="7427" max="7429" width="12.875" style="3282" customWidth="1"/>
    <col min="7430" max="7430" width="47.5" style="3282" customWidth="1"/>
    <col min="7431" max="7431" width="13" style="3282" customWidth="1"/>
    <col min="7432" max="7433" width="8.875" style="3282"/>
    <col min="7434" max="7434" width="5.75" style="3282" customWidth="1"/>
    <col min="7435" max="7435" width="11.75" style="3282" customWidth="1"/>
    <col min="7436" max="7437" width="10.75" style="3282" customWidth="1"/>
    <col min="7438" max="7438" width="10" style="3282" customWidth="1"/>
    <col min="7439" max="7440" width="10.5" style="3282" bestFit="1" customWidth="1"/>
    <col min="7441" max="7441" width="10" style="3282" customWidth="1"/>
    <col min="7442" max="7442" width="10.125" style="3282" customWidth="1"/>
    <col min="7443" max="7443" width="10" style="3282" customWidth="1"/>
    <col min="7444" max="7444" width="26.125" style="3282" customWidth="1"/>
    <col min="7445" max="7680" width="8.875" style="3282"/>
    <col min="7681" max="7681" width="9.5" style="3282" customWidth="1"/>
    <col min="7682" max="7682" width="8.875" style="3282"/>
    <col min="7683" max="7685" width="12.875" style="3282" customWidth="1"/>
    <col min="7686" max="7686" width="47.5" style="3282" customWidth="1"/>
    <col min="7687" max="7687" width="13" style="3282" customWidth="1"/>
    <col min="7688" max="7689" width="8.875" style="3282"/>
    <col min="7690" max="7690" width="5.75" style="3282" customWidth="1"/>
    <col min="7691" max="7691" width="11.75" style="3282" customWidth="1"/>
    <col min="7692" max="7693" width="10.75" style="3282" customWidth="1"/>
    <col min="7694" max="7694" width="10" style="3282" customWidth="1"/>
    <col min="7695" max="7696" width="10.5" style="3282" bestFit="1" customWidth="1"/>
    <col min="7697" max="7697" width="10" style="3282" customWidth="1"/>
    <col min="7698" max="7698" width="10.125" style="3282" customWidth="1"/>
    <col min="7699" max="7699" width="10" style="3282" customWidth="1"/>
    <col min="7700" max="7700" width="26.125" style="3282" customWidth="1"/>
    <col min="7701" max="7936" width="8.875" style="3282"/>
    <col min="7937" max="7937" width="9.5" style="3282" customWidth="1"/>
    <col min="7938" max="7938" width="8.875" style="3282"/>
    <col min="7939" max="7941" width="12.875" style="3282" customWidth="1"/>
    <col min="7942" max="7942" width="47.5" style="3282" customWidth="1"/>
    <col min="7943" max="7943" width="13" style="3282" customWidth="1"/>
    <col min="7944" max="7945" width="8.875" style="3282"/>
    <col min="7946" max="7946" width="5.75" style="3282" customWidth="1"/>
    <col min="7947" max="7947" width="11.75" style="3282" customWidth="1"/>
    <col min="7948" max="7949" width="10.75" style="3282" customWidth="1"/>
    <col min="7950" max="7950" width="10" style="3282" customWidth="1"/>
    <col min="7951" max="7952" width="10.5" style="3282" bestFit="1" customWidth="1"/>
    <col min="7953" max="7953" width="10" style="3282" customWidth="1"/>
    <col min="7954" max="7954" width="10.125" style="3282" customWidth="1"/>
    <col min="7955" max="7955" width="10" style="3282" customWidth="1"/>
    <col min="7956" max="7956" width="26.125" style="3282" customWidth="1"/>
    <col min="7957" max="8192" width="8.875" style="3282"/>
    <col min="8193" max="8193" width="9.5" style="3282" customWidth="1"/>
    <col min="8194" max="8194" width="8.875" style="3282"/>
    <col min="8195" max="8197" width="12.875" style="3282" customWidth="1"/>
    <col min="8198" max="8198" width="47.5" style="3282" customWidth="1"/>
    <col min="8199" max="8199" width="13" style="3282" customWidth="1"/>
    <col min="8200" max="8201" width="8.875" style="3282"/>
    <col min="8202" max="8202" width="5.75" style="3282" customWidth="1"/>
    <col min="8203" max="8203" width="11.75" style="3282" customWidth="1"/>
    <col min="8204" max="8205" width="10.75" style="3282" customWidth="1"/>
    <col min="8206" max="8206" width="10" style="3282" customWidth="1"/>
    <col min="8207" max="8208" width="10.5" style="3282" bestFit="1" customWidth="1"/>
    <col min="8209" max="8209" width="10" style="3282" customWidth="1"/>
    <col min="8210" max="8210" width="10.125" style="3282" customWidth="1"/>
    <col min="8211" max="8211" width="10" style="3282" customWidth="1"/>
    <col min="8212" max="8212" width="26.125" style="3282" customWidth="1"/>
    <col min="8213" max="8448" width="8.875" style="3282"/>
    <col min="8449" max="8449" width="9.5" style="3282" customWidth="1"/>
    <col min="8450" max="8450" width="8.875" style="3282"/>
    <col min="8451" max="8453" width="12.875" style="3282" customWidth="1"/>
    <col min="8454" max="8454" width="47.5" style="3282" customWidth="1"/>
    <col min="8455" max="8455" width="13" style="3282" customWidth="1"/>
    <col min="8456" max="8457" width="8.875" style="3282"/>
    <col min="8458" max="8458" width="5.75" style="3282" customWidth="1"/>
    <col min="8459" max="8459" width="11.75" style="3282" customWidth="1"/>
    <col min="8460" max="8461" width="10.75" style="3282" customWidth="1"/>
    <col min="8462" max="8462" width="10" style="3282" customWidth="1"/>
    <col min="8463" max="8464" width="10.5" style="3282" bestFit="1" customWidth="1"/>
    <col min="8465" max="8465" width="10" style="3282" customWidth="1"/>
    <col min="8466" max="8466" width="10.125" style="3282" customWidth="1"/>
    <col min="8467" max="8467" width="10" style="3282" customWidth="1"/>
    <col min="8468" max="8468" width="26.125" style="3282" customWidth="1"/>
    <col min="8469" max="8704" width="8.875" style="3282"/>
    <col min="8705" max="8705" width="9.5" style="3282" customWidth="1"/>
    <col min="8706" max="8706" width="8.875" style="3282"/>
    <col min="8707" max="8709" width="12.875" style="3282" customWidth="1"/>
    <col min="8710" max="8710" width="47.5" style="3282" customWidth="1"/>
    <col min="8711" max="8711" width="13" style="3282" customWidth="1"/>
    <col min="8712" max="8713" width="8.875" style="3282"/>
    <col min="8714" max="8714" width="5.75" style="3282" customWidth="1"/>
    <col min="8715" max="8715" width="11.75" style="3282" customWidth="1"/>
    <col min="8716" max="8717" width="10.75" style="3282" customWidth="1"/>
    <col min="8718" max="8718" width="10" style="3282" customWidth="1"/>
    <col min="8719" max="8720" width="10.5" style="3282" bestFit="1" customWidth="1"/>
    <col min="8721" max="8721" width="10" style="3282" customWidth="1"/>
    <col min="8722" max="8722" width="10.125" style="3282" customWidth="1"/>
    <col min="8723" max="8723" width="10" style="3282" customWidth="1"/>
    <col min="8724" max="8724" width="26.125" style="3282" customWidth="1"/>
    <col min="8725" max="8960" width="8.875" style="3282"/>
    <col min="8961" max="8961" width="9.5" style="3282" customWidth="1"/>
    <col min="8962" max="8962" width="8.875" style="3282"/>
    <col min="8963" max="8965" width="12.875" style="3282" customWidth="1"/>
    <col min="8966" max="8966" width="47.5" style="3282" customWidth="1"/>
    <col min="8967" max="8967" width="13" style="3282" customWidth="1"/>
    <col min="8968" max="8969" width="8.875" style="3282"/>
    <col min="8970" max="8970" width="5.75" style="3282" customWidth="1"/>
    <col min="8971" max="8971" width="11.75" style="3282" customWidth="1"/>
    <col min="8972" max="8973" width="10.75" style="3282" customWidth="1"/>
    <col min="8974" max="8974" width="10" style="3282" customWidth="1"/>
    <col min="8975" max="8976" width="10.5" style="3282" bestFit="1" customWidth="1"/>
    <col min="8977" max="8977" width="10" style="3282" customWidth="1"/>
    <col min="8978" max="8978" width="10.125" style="3282" customWidth="1"/>
    <col min="8979" max="8979" width="10" style="3282" customWidth="1"/>
    <col min="8980" max="8980" width="26.125" style="3282" customWidth="1"/>
    <col min="8981" max="9216" width="8.875" style="3282"/>
    <col min="9217" max="9217" width="9.5" style="3282" customWidth="1"/>
    <col min="9218" max="9218" width="8.875" style="3282"/>
    <col min="9219" max="9221" width="12.875" style="3282" customWidth="1"/>
    <col min="9222" max="9222" width="47.5" style="3282" customWidth="1"/>
    <col min="9223" max="9223" width="13" style="3282" customWidth="1"/>
    <col min="9224" max="9225" width="8.875" style="3282"/>
    <col min="9226" max="9226" width="5.75" style="3282" customWidth="1"/>
    <col min="9227" max="9227" width="11.75" style="3282" customWidth="1"/>
    <col min="9228" max="9229" width="10.75" style="3282" customWidth="1"/>
    <col min="9230" max="9230" width="10" style="3282" customWidth="1"/>
    <col min="9231" max="9232" width="10.5" style="3282" bestFit="1" customWidth="1"/>
    <col min="9233" max="9233" width="10" style="3282" customWidth="1"/>
    <col min="9234" max="9234" width="10.125" style="3282" customWidth="1"/>
    <col min="9235" max="9235" width="10" style="3282" customWidth="1"/>
    <col min="9236" max="9236" width="26.125" style="3282" customWidth="1"/>
    <col min="9237" max="9472" width="8.875" style="3282"/>
    <col min="9473" max="9473" width="9.5" style="3282" customWidth="1"/>
    <col min="9474" max="9474" width="8.875" style="3282"/>
    <col min="9475" max="9477" width="12.875" style="3282" customWidth="1"/>
    <col min="9478" max="9478" width="47.5" style="3282" customWidth="1"/>
    <col min="9479" max="9479" width="13" style="3282" customWidth="1"/>
    <col min="9480" max="9481" width="8.875" style="3282"/>
    <col min="9482" max="9482" width="5.75" style="3282" customWidth="1"/>
    <col min="9483" max="9483" width="11.75" style="3282" customWidth="1"/>
    <col min="9484" max="9485" width="10.75" style="3282" customWidth="1"/>
    <col min="9486" max="9486" width="10" style="3282" customWidth="1"/>
    <col min="9487" max="9488" width="10.5" style="3282" bestFit="1" customWidth="1"/>
    <col min="9489" max="9489" width="10" style="3282" customWidth="1"/>
    <col min="9490" max="9490" width="10.125" style="3282" customWidth="1"/>
    <col min="9491" max="9491" width="10" style="3282" customWidth="1"/>
    <col min="9492" max="9492" width="26.125" style="3282" customWidth="1"/>
    <col min="9493" max="9728" width="8.875" style="3282"/>
    <col min="9729" max="9729" width="9.5" style="3282" customWidth="1"/>
    <col min="9730" max="9730" width="8.875" style="3282"/>
    <col min="9731" max="9733" width="12.875" style="3282" customWidth="1"/>
    <col min="9734" max="9734" width="47.5" style="3282" customWidth="1"/>
    <col min="9735" max="9735" width="13" style="3282" customWidth="1"/>
    <col min="9736" max="9737" width="8.875" style="3282"/>
    <col min="9738" max="9738" width="5.75" style="3282" customWidth="1"/>
    <col min="9739" max="9739" width="11.75" style="3282" customWidth="1"/>
    <col min="9740" max="9741" width="10.75" style="3282" customWidth="1"/>
    <col min="9742" max="9742" width="10" style="3282" customWidth="1"/>
    <col min="9743" max="9744" width="10.5" style="3282" bestFit="1" customWidth="1"/>
    <col min="9745" max="9745" width="10" style="3282" customWidth="1"/>
    <col min="9746" max="9746" width="10.125" style="3282" customWidth="1"/>
    <col min="9747" max="9747" width="10" style="3282" customWidth="1"/>
    <col min="9748" max="9748" width="26.125" style="3282" customWidth="1"/>
    <col min="9749" max="9984" width="8.875" style="3282"/>
    <col min="9985" max="9985" width="9.5" style="3282" customWidth="1"/>
    <col min="9986" max="9986" width="8.875" style="3282"/>
    <col min="9987" max="9989" width="12.875" style="3282" customWidth="1"/>
    <col min="9990" max="9990" width="47.5" style="3282" customWidth="1"/>
    <col min="9991" max="9991" width="13" style="3282" customWidth="1"/>
    <col min="9992" max="9993" width="8.875" style="3282"/>
    <col min="9994" max="9994" width="5.75" style="3282" customWidth="1"/>
    <col min="9995" max="9995" width="11.75" style="3282" customWidth="1"/>
    <col min="9996" max="9997" width="10.75" style="3282" customWidth="1"/>
    <col min="9998" max="9998" width="10" style="3282" customWidth="1"/>
    <col min="9999" max="10000" width="10.5" style="3282" bestFit="1" customWidth="1"/>
    <col min="10001" max="10001" width="10" style="3282" customWidth="1"/>
    <col min="10002" max="10002" width="10.125" style="3282" customWidth="1"/>
    <col min="10003" max="10003" width="10" style="3282" customWidth="1"/>
    <col min="10004" max="10004" width="26.125" style="3282" customWidth="1"/>
    <col min="10005" max="10240" width="8.875" style="3282"/>
    <col min="10241" max="10241" width="9.5" style="3282" customWidth="1"/>
    <col min="10242" max="10242" width="8.875" style="3282"/>
    <col min="10243" max="10245" width="12.875" style="3282" customWidth="1"/>
    <col min="10246" max="10246" width="47.5" style="3282" customWidth="1"/>
    <col min="10247" max="10247" width="13" style="3282" customWidth="1"/>
    <col min="10248" max="10249" width="8.875" style="3282"/>
    <col min="10250" max="10250" width="5.75" style="3282" customWidth="1"/>
    <col min="10251" max="10251" width="11.75" style="3282" customWidth="1"/>
    <col min="10252" max="10253" width="10.75" style="3282" customWidth="1"/>
    <col min="10254" max="10254" width="10" style="3282" customWidth="1"/>
    <col min="10255" max="10256" width="10.5" style="3282" bestFit="1" customWidth="1"/>
    <col min="10257" max="10257" width="10" style="3282" customWidth="1"/>
    <col min="10258" max="10258" width="10.125" style="3282" customWidth="1"/>
    <col min="10259" max="10259" width="10" style="3282" customWidth="1"/>
    <col min="10260" max="10260" width="26.125" style="3282" customWidth="1"/>
    <col min="10261" max="10496" width="8.875" style="3282"/>
    <col min="10497" max="10497" width="9.5" style="3282" customWidth="1"/>
    <col min="10498" max="10498" width="8.875" style="3282"/>
    <col min="10499" max="10501" width="12.875" style="3282" customWidth="1"/>
    <col min="10502" max="10502" width="47.5" style="3282" customWidth="1"/>
    <col min="10503" max="10503" width="13" style="3282" customWidth="1"/>
    <col min="10504" max="10505" width="8.875" style="3282"/>
    <col min="10506" max="10506" width="5.75" style="3282" customWidth="1"/>
    <col min="10507" max="10507" width="11.75" style="3282" customWidth="1"/>
    <col min="10508" max="10509" width="10.75" style="3282" customWidth="1"/>
    <col min="10510" max="10510" width="10" style="3282" customWidth="1"/>
    <col min="10511" max="10512" width="10.5" style="3282" bestFit="1" customWidth="1"/>
    <col min="10513" max="10513" width="10" style="3282" customWidth="1"/>
    <col min="10514" max="10514" width="10.125" style="3282" customWidth="1"/>
    <col min="10515" max="10515" width="10" style="3282" customWidth="1"/>
    <col min="10516" max="10516" width="26.125" style="3282" customWidth="1"/>
    <col min="10517" max="10752" width="8.875" style="3282"/>
    <col min="10753" max="10753" width="9.5" style="3282" customWidth="1"/>
    <col min="10754" max="10754" width="8.875" style="3282"/>
    <col min="10755" max="10757" width="12.875" style="3282" customWidth="1"/>
    <col min="10758" max="10758" width="47.5" style="3282" customWidth="1"/>
    <col min="10759" max="10759" width="13" style="3282" customWidth="1"/>
    <col min="10760" max="10761" width="8.875" style="3282"/>
    <col min="10762" max="10762" width="5.75" style="3282" customWidth="1"/>
    <col min="10763" max="10763" width="11.75" style="3282" customWidth="1"/>
    <col min="10764" max="10765" width="10.75" style="3282" customWidth="1"/>
    <col min="10766" max="10766" width="10" style="3282" customWidth="1"/>
    <col min="10767" max="10768" width="10.5" style="3282" bestFit="1" customWidth="1"/>
    <col min="10769" max="10769" width="10" style="3282" customWidth="1"/>
    <col min="10770" max="10770" width="10.125" style="3282" customWidth="1"/>
    <col min="10771" max="10771" width="10" style="3282" customWidth="1"/>
    <col min="10772" max="10772" width="26.125" style="3282" customWidth="1"/>
    <col min="10773" max="11008" width="8.875" style="3282"/>
    <col min="11009" max="11009" width="9.5" style="3282" customWidth="1"/>
    <col min="11010" max="11010" width="8.875" style="3282"/>
    <col min="11011" max="11013" width="12.875" style="3282" customWidth="1"/>
    <col min="11014" max="11014" width="47.5" style="3282" customWidth="1"/>
    <col min="11015" max="11015" width="13" style="3282" customWidth="1"/>
    <col min="11016" max="11017" width="8.875" style="3282"/>
    <col min="11018" max="11018" width="5.75" style="3282" customWidth="1"/>
    <col min="11019" max="11019" width="11.75" style="3282" customWidth="1"/>
    <col min="11020" max="11021" width="10.75" style="3282" customWidth="1"/>
    <col min="11022" max="11022" width="10" style="3282" customWidth="1"/>
    <col min="11023" max="11024" width="10.5" style="3282" bestFit="1" customWidth="1"/>
    <col min="11025" max="11025" width="10" style="3282" customWidth="1"/>
    <col min="11026" max="11026" width="10.125" style="3282" customWidth="1"/>
    <col min="11027" max="11027" width="10" style="3282" customWidth="1"/>
    <col min="11028" max="11028" width="26.125" style="3282" customWidth="1"/>
    <col min="11029" max="11264" width="8.875" style="3282"/>
    <col min="11265" max="11265" width="9.5" style="3282" customWidth="1"/>
    <col min="11266" max="11266" width="8.875" style="3282"/>
    <col min="11267" max="11269" width="12.875" style="3282" customWidth="1"/>
    <col min="11270" max="11270" width="47.5" style="3282" customWidth="1"/>
    <col min="11271" max="11271" width="13" style="3282" customWidth="1"/>
    <col min="11272" max="11273" width="8.875" style="3282"/>
    <col min="11274" max="11274" width="5.75" style="3282" customWidth="1"/>
    <col min="11275" max="11275" width="11.75" style="3282" customWidth="1"/>
    <col min="11276" max="11277" width="10.75" style="3282" customWidth="1"/>
    <col min="11278" max="11278" width="10" style="3282" customWidth="1"/>
    <col min="11279" max="11280" width="10.5" style="3282" bestFit="1" customWidth="1"/>
    <col min="11281" max="11281" width="10" style="3282" customWidth="1"/>
    <col min="11282" max="11282" width="10.125" style="3282" customWidth="1"/>
    <col min="11283" max="11283" width="10" style="3282" customWidth="1"/>
    <col min="11284" max="11284" width="26.125" style="3282" customWidth="1"/>
    <col min="11285" max="11520" width="8.875" style="3282"/>
    <col min="11521" max="11521" width="9.5" style="3282" customWidth="1"/>
    <col min="11522" max="11522" width="8.875" style="3282"/>
    <col min="11523" max="11525" width="12.875" style="3282" customWidth="1"/>
    <col min="11526" max="11526" width="47.5" style="3282" customWidth="1"/>
    <col min="11527" max="11527" width="13" style="3282" customWidth="1"/>
    <col min="11528" max="11529" width="8.875" style="3282"/>
    <col min="11530" max="11530" width="5.75" style="3282" customWidth="1"/>
    <col min="11531" max="11531" width="11.75" style="3282" customWidth="1"/>
    <col min="11532" max="11533" width="10.75" style="3282" customWidth="1"/>
    <col min="11534" max="11534" width="10" style="3282" customWidth="1"/>
    <col min="11535" max="11536" width="10.5" style="3282" bestFit="1" customWidth="1"/>
    <col min="11537" max="11537" width="10" style="3282" customWidth="1"/>
    <col min="11538" max="11538" width="10.125" style="3282" customWidth="1"/>
    <col min="11539" max="11539" width="10" style="3282" customWidth="1"/>
    <col min="11540" max="11540" width="26.125" style="3282" customWidth="1"/>
    <col min="11541" max="11776" width="8.875" style="3282"/>
    <col min="11777" max="11777" width="9.5" style="3282" customWidth="1"/>
    <col min="11778" max="11778" width="8.875" style="3282"/>
    <col min="11779" max="11781" width="12.875" style="3282" customWidth="1"/>
    <col min="11782" max="11782" width="47.5" style="3282" customWidth="1"/>
    <col min="11783" max="11783" width="13" style="3282" customWidth="1"/>
    <col min="11784" max="11785" width="8.875" style="3282"/>
    <col min="11786" max="11786" width="5.75" style="3282" customWidth="1"/>
    <col min="11787" max="11787" width="11.75" style="3282" customWidth="1"/>
    <col min="11788" max="11789" width="10.75" style="3282" customWidth="1"/>
    <col min="11790" max="11790" width="10" style="3282" customWidth="1"/>
    <col min="11791" max="11792" width="10.5" style="3282" bestFit="1" customWidth="1"/>
    <col min="11793" max="11793" width="10" style="3282" customWidth="1"/>
    <col min="11794" max="11794" width="10.125" style="3282" customWidth="1"/>
    <col min="11795" max="11795" width="10" style="3282" customWidth="1"/>
    <col min="11796" max="11796" width="26.125" style="3282" customWidth="1"/>
    <col min="11797" max="12032" width="8.875" style="3282"/>
    <col min="12033" max="12033" width="9.5" style="3282" customWidth="1"/>
    <col min="12034" max="12034" width="8.875" style="3282"/>
    <col min="12035" max="12037" width="12.875" style="3282" customWidth="1"/>
    <col min="12038" max="12038" width="47.5" style="3282" customWidth="1"/>
    <col min="12039" max="12039" width="13" style="3282" customWidth="1"/>
    <col min="12040" max="12041" width="8.875" style="3282"/>
    <col min="12042" max="12042" width="5.75" style="3282" customWidth="1"/>
    <col min="12043" max="12043" width="11.75" style="3282" customWidth="1"/>
    <col min="12044" max="12045" width="10.75" style="3282" customWidth="1"/>
    <col min="12046" max="12046" width="10" style="3282" customWidth="1"/>
    <col min="12047" max="12048" width="10.5" style="3282" bestFit="1" customWidth="1"/>
    <col min="12049" max="12049" width="10" style="3282" customWidth="1"/>
    <col min="12050" max="12050" width="10.125" style="3282" customWidth="1"/>
    <col min="12051" max="12051" width="10" style="3282" customWidth="1"/>
    <col min="12052" max="12052" width="26.125" style="3282" customWidth="1"/>
    <col min="12053" max="12288" width="8.875" style="3282"/>
    <col min="12289" max="12289" width="9.5" style="3282" customWidth="1"/>
    <col min="12290" max="12290" width="8.875" style="3282"/>
    <col min="12291" max="12293" width="12.875" style="3282" customWidth="1"/>
    <col min="12294" max="12294" width="47.5" style="3282" customWidth="1"/>
    <col min="12295" max="12295" width="13" style="3282" customWidth="1"/>
    <col min="12296" max="12297" width="8.875" style="3282"/>
    <col min="12298" max="12298" width="5.75" style="3282" customWidth="1"/>
    <col min="12299" max="12299" width="11.75" style="3282" customWidth="1"/>
    <col min="12300" max="12301" width="10.75" style="3282" customWidth="1"/>
    <col min="12302" max="12302" width="10" style="3282" customWidth="1"/>
    <col min="12303" max="12304" width="10.5" style="3282" bestFit="1" customWidth="1"/>
    <col min="12305" max="12305" width="10" style="3282" customWidth="1"/>
    <col min="12306" max="12306" width="10.125" style="3282" customWidth="1"/>
    <col min="12307" max="12307" width="10" style="3282" customWidth="1"/>
    <col min="12308" max="12308" width="26.125" style="3282" customWidth="1"/>
    <col min="12309" max="12544" width="8.875" style="3282"/>
    <col min="12545" max="12545" width="9.5" style="3282" customWidth="1"/>
    <col min="12546" max="12546" width="8.875" style="3282"/>
    <col min="12547" max="12549" width="12.875" style="3282" customWidth="1"/>
    <col min="12550" max="12550" width="47.5" style="3282" customWidth="1"/>
    <col min="12551" max="12551" width="13" style="3282" customWidth="1"/>
    <col min="12552" max="12553" width="8.875" style="3282"/>
    <col min="12554" max="12554" width="5.75" style="3282" customWidth="1"/>
    <col min="12555" max="12555" width="11.75" style="3282" customWidth="1"/>
    <col min="12556" max="12557" width="10.75" style="3282" customWidth="1"/>
    <col min="12558" max="12558" width="10" style="3282" customWidth="1"/>
    <col min="12559" max="12560" width="10.5" style="3282" bestFit="1" customWidth="1"/>
    <col min="12561" max="12561" width="10" style="3282" customWidth="1"/>
    <col min="12562" max="12562" width="10.125" style="3282" customWidth="1"/>
    <col min="12563" max="12563" width="10" style="3282" customWidth="1"/>
    <col min="12564" max="12564" width="26.125" style="3282" customWidth="1"/>
    <col min="12565" max="12800" width="8.875" style="3282"/>
    <col min="12801" max="12801" width="9.5" style="3282" customWidth="1"/>
    <col min="12802" max="12802" width="8.875" style="3282"/>
    <col min="12803" max="12805" width="12.875" style="3282" customWidth="1"/>
    <col min="12806" max="12806" width="47.5" style="3282" customWidth="1"/>
    <col min="12807" max="12807" width="13" style="3282" customWidth="1"/>
    <col min="12808" max="12809" width="8.875" style="3282"/>
    <col min="12810" max="12810" width="5.75" style="3282" customWidth="1"/>
    <col min="12811" max="12811" width="11.75" style="3282" customWidth="1"/>
    <col min="12812" max="12813" width="10.75" style="3282" customWidth="1"/>
    <col min="12814" max="12814" width="10" style="3282" customWidth="1"/>
    <col min="12815" max="12816" width="10.5" style="3282" bestFit="1" customWidth="1"/>
    <col min="12817" max="12817" width="10" style="3282" customWidth="1"/>
    <col min="12818" max="12818" width="10.125" style="3282" customWidth="1"/>
    <col min="12819" max="12819" width="10" style="3282" customWidth="1"/>
    <col min="12820" max="12820" width="26.125" style="3282" customWidth="1"/>
    <col min="12821" max="13056" width="8.875" style="3282"/>
    <col min="13057" max="13057" width="9.5" style="3282" customWidth="1"/>
    <col min="13058" max="13058" width="8.875" style="3282"/>
    <col min="13059" max="13061" width="12.875" style="3282" customWidth="1"/>
    <col min="13062" max="13062" width="47.5" style="3282" customWidth="1"/>
    <col min="13063" max="13063" width="13" style="3282" customWidth="1"/>
    <col min="13064" max="13065" width="8.875" style="3282"/>
    <col min="13066" max="13066" width="5.75" style="3282" customWidth="1"/>
    <col min="13067" max="13067" width="11.75" style="3282" customWidth="1"/>
    <col min="13068" max="13069" width="10.75" style="3282" customWidth="1"/>
    <col min="13070" max="13070" width="10" style="3282" customWidth="1"/>
    <col min="13071" max="13072" width="10.5" style="3282" bestFit="1" customWidth="1"/>
    <col min="13073" max="13073" width="10" style="3282" customWidth="1"/>
    <col min="13074" max="13074" width="10.125" style="3282" customWidth="1"/>
    <col min="13075" max="13075" width="10" style="3282" customWidth="1"/>
    <col min="13076" max="13076" width="26.125" style="3282" customWidth="1"/>
    <col min="13077" max="13312" width="8.875" style="3282"/>
    <col min="13313" max="13313" width="9.5" style="3282" customWidth="1"/>
    <col min="13314" max="13314" width="8.875" style="3282"/>
    <col min="13315" max="13317" width="12.875" style="3282" customWidth="1"/>
    <col min="13318" max="13318" width="47.5" style="3282" customWidth="1"/>
    <col min="13319" max="13319" width="13" style="3282" customWidth="1"/>
    <col min="13320" max="13321" width="8.875" style="3282"/>
    <col min="13322" max="13322" width="5.75" style="3282" customWidth="1"/>
    <col min="13323" max="13323" width="11.75" style="3282" customWidth="1"/>
    <col min="13324" max="13325" width="10.75" style="3282" customWidth="1"/>
    <col min="13326" max="13326" width="10" style="3282" customWidth="1"/>
    <col min="13327" max="13328" width="10.5" style="3282" bestFit="1" customWidth="1"/>
    <col min="13329" max="13329" width="10" style="3282" customWidth="1"/>
    <col min="13330" max="13330" width="10.125" style="3282" customWidth="1"/>
    <col min="13331" max="13331" width="10" style="3282" customWidth="1"/>
    <col min="13332" max="13332" width="26.125" style="3282" customWidth="1"/>
    <col min="13333" max="13568" width="8.875" style="3282"/>
    <col min="13569" max="13569" width="9.5" style="3282" customWidth="1"/>
    <col min="13570" max="13570" width="8.875" style="3282"/>
    <col min="13571" max="13573" width="12.875" style="3282" customWidth="1"/>
    <col min="13574" max="13574" width="47.5" style="3282" customWidth="1"/>
    <col min="13575" max="13575" width="13" style="3282" customWidth="1"/>
    <col min="13576" max="13577" width="8.875" style="3282"/>
    <col min="13578" max="13578" width="5.75" style="3282" customWidth="1"/>
    <col min="13579" max="13579" width="11.75" style="3282" customWidth="1"/>
    <col min="13580" max="13581" width="10.75" style="3282" customWidth="1"/>
    <col min="13582" max="13582" width="10" style="3282" customWidth="1"/>
    <col min="13583" max="13584" width="10.5" style="3282" bestFit="1" customWidth="1"/>
    <col min="13585" max="13585" width="10" style="3282" customWidth="1"/>
    <col min="13586" max="13586" width="10.125" style="3282" customWidth="1"/>
    <col min="13587" max="13587" width="10" style="3282" customWidth="1"/>
    <col min="13588" max="13588" width="26.125" style="3282" customWidth="1"/>
    <col min="13589" max="13824" width="8.875" style="3282"/>
    <col min="13825" max="13825" width="9.5" style="3282" customWidth="1"/>
    <col min="13826" max="13826" width="8.875" style="3282"/>
    <col min="13827" max="13829" width="12.875" style="3282" customWidth="1"/>
    <col min="13830" max="13830" width="47.5" style="3282" customWidth="1"/>
    <col min="13831" max="13831" width="13" style="3282" customWidth="1"/>
    <col min="13832" max="13833" width="8.875" style="3282"/>
    <col min="13834" max="13834" width="5.75" style="3282" customWidth="1"/>
    <col min="13835" max="13835" width="11.75" style="3282" customWidth="1"/>
    <col min="13836" max="13837" width="10.75" style="3282" customWidth="1"/>
    <col min="13838" max="13838" width="10" style="3282" customWidth="1"/>
    <col min="13839" max="13840" width="10.5" style="3282" bestFit="1" customWidth="1"/>
    <col min="13841" max="13841" width="10" style="3282" customWidth="1"/>
    <col min="13842" max="13842" width="10.125" style="3282" customWidth="1"/>
    <col min="13843" max="13843" width="10" style="3282" customWidth="1"/>
    <col min="13844" max="13844" width="26.125" style="3282" customWidth="1"/>
    <col min="13845" max="14080" width="8.875" style="3282"/>
    <col min="14081" max="14081" width="9.5" style="3282" customWidth="1"/>
    <col min="14082" max="14082" width="8.875" style="3282"/>
    <col min="14083" max="14085" width="12.875" style="3282" customWidth="1"/>
    <col min="14086" max="14086" width="47.5" style="3282" customWidth="1"/>
    <col min="14087" max="14087" width="13" style="3282" customWidth="1"/>
    <col min="14088" max="14089" width="8.875" style="3282"/>
    <col min="14090" max="14090" width="5.75" style="3282" customWidth="1"/>
    <col min="14091" max="14091" width="11.75" style="3282" customWidth="1"/>
    <col min="14092" max="14093" width="10.75" style="3282" customWidth="1"/>
    <col min="14094" max="14094" width="10" style="3282" customWidth="1"/>
    <col min="14095" max="14096" width="10.5" style="3282" bestFit="1" customWidth="1"/>
    <col min="14097" max="14097" width="10" style="3282" customWidth="1"/>
    <col min="14098" max="14098" width="10.125" style="3282" customWidth="1"/>
    <col min="14099" max="14099" width="10" style="3282" customWidth="1"/>
    <col min="14100" max="14100" width="26.125" style="3282" customWidth="1"/>
    <col min="14101" max="14336" width="8.875" style="3282"/>
    <col min="14337" max="14337" width="9.5" style="3282" customWidth="1"/>
    <col min="14338" max="14338" width="8.875" style="3282"/>
    <col min="14339" max="14341" width="12.875" style="3282" customWidth="1"/>
    <col min="14342" max="14342" width="47.5" style="3282" customWidth="1"/>
    <col min="14343" max="14343" width="13" style="3282" customWidth="1"/>
    <col min="14344" max="14345" width="8.875" style="3282"/>
    <col min="14346" max="14346" width="5.75" style="3282" customWidth="1"/>
    <col min="14347" max="14347" width="11.75" style="3282" customWidth="1"/>
    <col min="14348" max="14349" width="10.75" style="3282" customWidth="1"/>
    <col min="14350" max="14350" width="10" style="3282" customWidth="1"/>
    <col min="14351" max="14352" width="10.5" style="3282" bestFit="1" customWidth="1"/>
    <col min="14353" max="14353" width="10" style="3282" customWidth="1"/>
    <col min="14354" max="14354" width="10.125" style="3282" customWidth="1"/>
    <col min="14355" max="14355" width="10" style="3282" customWidth="1"/>
    <col min="14356" max="14356" width="26.125" style="3282" customWidth="1"/>
    <col min="14357" max="14592" width="8.875" style="3282"/>
    <col min="14593" max="14593" width="9.5" style="3282" customWidth="1"/>
    <col min="14594" max="14594" width="8.875" style="3282"/>
    <col min="14595" max="14597" width="12.875" style="3282" customWidth="1"/>
    <col min="14598" max="14598" width="47.5" style="3282" customWidth="1"/>
    <col min="14599" max="14599" width="13" style="3282" customWidth="1"/>
    <col min="14600" max="14601" width="8.875" style="3282"/>
    <col min="14602" max="14602" width="5.75" style="3282" customWidth="1"/>
    <col min="14603" max="14603" width="11.75" style="3282" customWidth="1"/>
    <col min="14604" max="14605" width="10.75" style="3282" customWidth="1"/>
    <col min="14606" max="14606" width="10" style="3282" customWidth="1"/>
    <col min="14607" max="14608" width="10.5" style="3282" bestFit="1" customWidth="1"/>
    <col min="14609" max="14609" width="10" style="3282" customWidth="1"/>
    <col min="14610" max="14610" width="10.125" style="3282" customWidth="1"/>
    <col min="14611" max="14611" width="10" style="3282" customWidth="1"/>
    <col min="14612" max="14612" width="26.125" style="3282" customWidth="1"/>
    <col min="14613" max="14848" width="8.875" style="3282"/>
    <col min="14849" max="14849" width="9.5" style="3282" customWidth="1"/>
    <col min="14850" max="14850" width="8.875" style="3282"/>
    <col min="14851" max="14853" width="12.875" style="3282" customWidth="1"/>
    <col min="14854" max="14854" width="47.5" style="3282" customWidth="1"/>
    <col min="14855" max="14855" width="13" style="3282" customWidth="1"/>
    <col min="14856" max="14857" width="8.875" style="3282"/>
    <col min="14858" max="14858" width="5.75" style="3282" customWidth="1"/>
    <col min="14859" max="14859" width="11.75" style="3282" customWidth="1"/>
    <col min="14860" max="14861" width="10.75" style="3282" customWidth="1"/>
    <col min="14862" max="14862" width="10" style="3282" customWidth="1"/>
    <col min="14863" max="14864" width="10.5" style="3282" bestFit="1" customWidth="1"/>
    <col min="14865" max="14865" width="10" style="3282" customWidth="1"/>
    <col min="14866" max="14866" width="10.125" style="3282" customWidth="1"/>
    <col min="14867" max="14867" width="10" style="3282" customWidth="1"/>
    <col min="14868" max="14868" width="26.125" style="3282" customWidth="1"/>
    <col min="14869" max="15104" width="8.875" style="3282"/>
    <col min="15105" max="15105" width="9.5" style="3282" customWidth="1"/>
    <col min="15106" max="15106" width="8.875" style="3282"/>
    <col min="15107" max="15109" width="12.875" style="3282" customWidth="1"/>
    <col min="15110" max="15110" width="47.5" style="3282" customWidth="1"/>
    <col min="15111" max="15111" width="13" style="3282" customWidth="1"/>
    <col min="15112" max="15113" width="8.875" style="3282"/>
    <col min="15114" max="15114" width="5.75" style="3282" customWidth="1"/>
    <col min="15115" max="15115" width="11.75" style="3282" customWidth="1"/>
    <col min="15116" max="15117" width="10.75" style="3282" customWidth="1"/>
    <col min="15118" max="15118" width="10" style="3282" customWidth="1"/>
    <col min="15119" max="15120" width="10.5" style="3282" bestFit="1" customWidth="1"/>
    <col min="15121" max="15121" width="10" style="3282" customWidth="1"/>
    <col min="15122" max="15122" width="10.125" style="3282" customWidth="1"/>
    <col min="15123" max="15123" width="10" style="3282" customWidth="1"/>
    <col min="15124" max="15124" width="26.125" style="3282" customWidth="1"/>
    <col min="15125" max="15360" width="8.875" style="3282"/>
    <col min="15361" max="15361" width="9.5" style="3282" customWidth="1"/>
    <col min="15362" max="15362" width="8.875" style="3282"/>
    <col min="15363" max="15365" width="12.875" style="3282" customWidth="1"/>
    <col min="15366" max="15366" width="47.5" style="3282" customWidth="1"/>
    <col min="15367" max="15367" width="13" style="3282" customWidth="1"/>
    <col min="15368" max="15369" width="8.875" style="3282"/>
    <col min="15370" max="15370" width="5.75" style="3282" customWidth="1"/>
    <col min="15371" max="15371" width="11.75" style="3282" customWidth="1"/>
    <col min="15372" max="15373" width="10.75" style="3282" customWidth="1"/>
    <col min="15374" max="15374" width="10" style="3282" customWidth="1"/>
    <col min="15375" max="15376" width="10.5" style="3282" bestFit="1" customWidth="1"/>
    <col min="15377" max="15377" width="10" style="3282" customWidth="1"/>
    <col min="15378" max="15378" width="10.125" style="3282" customWidth="1"/>
    <col min="15379" max="15379" width="10" style="3282" customWidth="1"/>
    <col min="15380" max="15380" width="26.125" style="3282" customWidth="1"/>
    <col min="15381" max="15616" width="8.875" style="3282"/>
    <col min="15617" max="15617" width="9.5" style="3282" customWidth="1"/>
    <col min="15618" max="15618" width="8.875" style="3282"/>
    <col min="15619" max="15621" width="12.875" style="3282" customWidth="1"/>
    <col min="15622" max="15622" width="47.5" style="3282" customWidth="1"/>
    <col min="15623" max="15623" width="13" style="3282" customWidth="1"/>
    <col min="15624" max="15625" width="8.875" style="3282"/>
    <col min="15626" max="15626" width="5.75" style="3282" customWidth="1"/>
    <col min="15627" max="15627" width="11.75" style="3282" customWidth="1"/>
    <col min="15628" max="15629" width="10.75" style="3282" customWidth="1"/>
    <col min="15630" max="15630" width="10" style="3282" customWidth="1"/>
    <col min="15631" max="15632" width="10.5" style="3282" bestFit="1" customWidth="1"/>
    <col min="15633" max="15633" width="10" style="3282" customWidth="1"/>
    <col min="15634" max="15634" width="10.125" style="3282" customWidth="1"/>
    <col min="15635" max="15635" width="10" style="3282" customWidth="1"/>
    <col min="15636" max="15636" width="26.125" style="3282" customWidth="1"/>
    <col min="15637" max="15872" width="8.875" style="3282"/>
    <col min="15873" max="15873" width="9.5" style="3282" customWidth="1"/>
    <col min="15874" max="15874" width="8.875" style="3282"/>
    <col min="15875" max="15877" width="12.875" style="3282" customWidth="1"/>
    <col min="15878" max="15878" width="47.5" style="3282" customWidth="1"/>
    <col min="15879" max="15879" width="13" style="3282" customWidth="1"/>
    <col min="15880" max="15881" width="8.875" style="3282"/>
    <col min="15882" max="15882" width="5.75" style="3282" customWidth="1"/>
    <col min="15883" max="15883" width="11.75" style="3282" customWidth="1"/>
    <col min="15884" max="15885" width="10.75" style="3282" customWidth="1"/>
    <col min="15886" max="15886" width="10" style="3282" customWidth="1"/>
    <col min="15887" max="15888" width="10.5" style="3282" bestFit="1" customWidth="1"/>
    <col min="15889" max="15889" width="10" style="3282" customWidth="1"/>
    <col min="15890" max="15890" width="10.125" style="3282" customWidth="1"/>
    <col min="15891" max="15891" width="10" style="3282" customWidth="1"/>
    <col min="15892" max="15892" width="26.125" style="3282" customWidth="1"/>
    <col min="15893" max="16128" width="8.875" style="3282"/>
    <col min="16129" max="16129" width="9.5" style="3282" customWidth="1"/>
    <col min="16130" max="16130" width="8.875" style="3282"/>
    <col min="16131" max="16133" width="12.875" style="3282" customWidth="1"/>
    <col min="16134" max="16134" width="47.5" style="3282" customWidth="1"/>
    <col min="16135" max="16135" width="13" style="3282" customWidth="1"/>
    <col min="16136" max="16137" width="8.875" style="3282"/>
    <col min="16138" max="16138" width="5.75" style="3282" customWidth="1"/>
    <col min="16139" max="16139" width="11.75" style="3282" customWidth="1"/>
    <col min="16140" max="16141" width="10.75" style="3282" customWidth="1"/>
    <col min="16142" max="16142" width="10" style="3282" customWidth="1"/>
    <col min="16143" max="16144" width="10.5" style="3282" bestFit="1" customWidth="1"/>
    <col min="16145" max="16145" width="10" style="3282" customWidth="1"/>
    <col min="16146" max="16146" width="10.125" style="3282" customWidth="1"/>
    <col min="16147" max="16147" width="10" style="3282" customWidth="1"/>
    <col min="16148" max="16148" width="26.125" style="3282" customWidth="1"/>
    <col min="16149" max="16384" width="8.875" style="3282"/>
  </cols>
  <sheetData>
    <row r="1" spans="1:22" ht="21" customHeight="1">
      <c r="A1" s="3270" t="s">
        <v>3002</v>
      </c>
      <c r="B1" s="3271"/>
      <c r="C1" s="3272"/>
      <c r="D1" s="3272"/>
      <c r="E1" s="3273"/>
      <c r="F1" s="3274"/>
      <c r="G1" s="3275"/>
      <c r="J1" s="3278" t="s">
        <v>3003</v>
      </c>
      <c r="K1" s="3279"/>
      <c r="L1" s="3279"/>
      <c r="M1" s="3279"/>
      <c r="N1" s="3279"/>
      <c r="O1" s="3279"/>
      <c r="P1" s="3279"/>
      <c r="Q1" s="3279"/>
      <c r="R1" s="3280"/>
      <c r="S1" s="3281"/>
      <c r="T1" s="3281"/>
      <c r="U1" s="3281"/>
    </row>
    <row r="2" spans="1:22" s="3291" customFormat="1" ht="13.15" customHeight="1">
      <c r="A2" s="3283" t="s">
        <v>3004</v>
      </c>
      <c r="B2" s="3284" t="e">
        <f>C40</f>
        <v>#DIV/0!</v>
      </c>
      <c r="C2" s="3272" t="s">
        <v>3005</v>
      </c>
      <c r="D2" s="3272"/>
      <c r="E2" s="3273"/>
      <c r="F2" s="3274"/>
      <c r="G2" s="3285"/>
      <c r="H2" s="3286"/>
      <c r="I2" s="3287"/>
      <c r="J2" s="4433" t="s">
        <v>3006</v>
      </c>
      <c r="K2" s="4434"/>
      <c r="L2" s="3288" t="s">
        <v>3007</v>
      </c>
      <c r="M2" s="3288" t="s">
        <v>3008</v>
      </c>
      <c r="N2" s="3288" t="s">
        <v>3009</v>
      </c>
      <c r="O2" s="3288" t="s">
        <v>3010</v>
      </c>
      <c r="P2" s="3288" t="s">
        <v>3011</v>
      </c>
      <c r="Q2" s="3289" t="s">
        <v>3012</v>
      </c>
      <c r="R2" s="3290" t="s">
        <v>3013</v>
      </c>
      <c r="S2" s="3281"/>
      <c r="T2" s="3281"/>
      <c r="U2" s="3281"/>
      <c r="V2" s="3287"/>
    </row>
    <row r="3" spans="1:22" s="3291" customFormat="1" ht="13.15" customHeight="1">
      <c r="A3" s="3292" t="s">
        <v>3014</v>
      </c>
      <c r="B3" s="3293" t="e">
        <f>ROUND(B2*10000/B4,0)</f>
        <v>#DIV/0!</v>
      </c>
      <c r="C3" s="3272" t="s">
        <v>3015</v>
      </c>
      <c r="D3" s="3272"/>
      <c r="E3" s="3273"/>
      <c r="F3" s="3274"/>
      <c r="G3" s="3285"/>
      <c r="H3" s="3286"/>
      <c r="I3" s="3287"/>
      <c r="J3" s="4435" t="s">
        <v>3016</v>
      </c>
      <c r="K3" s="4436"/>
      <c r="L3" s="3294"/>
      <c r="M3" s="3294"/>
      <c r="N3" s="3294"/>
      <c r="O3" s="3294"/>
      <c r="P3" s="3294"/>
      <c r="Q3" s="3295"/>
      <c r="R3" s="3296">
        <f>SUM(L3:Q3)</f>
        <v>0</v>
      </c>
      <c r="S3" s="3281"/>
      <c r="T3" s="3281"/>
      <c r="U3" s="3281"/>
      <c r="V3" s="3287"/>
    </row>
    <row r="4" spans="1:22" s="3291" customFormat="1" ht="13.15" customHeight="1">
      <c r="A4" s="3297" t="s">
        <v>3017</v>
      </c>
      <c r="B4" s="3298"/>
      <c r="C4" s="3272"/>
      <c r="D4" s="3272"/>
      <c r="E4" s="3273"/>
      <c r="F4" s="3274"/>
      <c r="G4" s="3285"/>
      <c r="H4" s="3286"/>
      <c r="I4" s="3287"/>
      <c r="J4" s="4435" t="s">
        <v>3018</v>
      </c>
      <c r="K4" s="4436"/>
      <c r="L4" s="3299"/>
      <c r="M4" s="3299"/>
      <c r="N4" s="3299"/>
      <c r="O4" s="3299"/>
      <c r="P4" s="3299"/>
      <c r="Q4" s="3300"/>
      <c r="R4" s="3301">
        <f>SUM(L4:Q4)</f>
        <v>0</v>
      </c>
      <c r="S4" s="3281"/>
      <c r="T4" s="3281"/>
      <c r="U4" s="3281"/>
      <c r="V4" s="3287"/>
    </row>
    <row r="5" spans="1:22" s="3291" customFormat="1" ht="13.15" customHeight="1" thickBot="1">
      <c r="A5" s="3302" t="s">
        <v>3019</v>
      </c>
      <c r="B5" s="3303"/>
      <c r="C5" s="3272"/>
      <c r="D5" s="3304"/>
      <c r="E5" s="3274"/>
      <c r="F5" s="3274"/>
      <c r="G5" s="3285"/>
      <c r="H5" s="3286"/>
      <c r="I5" s="3287"/>
      <c r="J5" s="3305" t="s">
        <v>3020</v>
      </c>
      <c r="K5" s="3306"/>
      <c r="L5" s="3306"/>
      <c r="M5" s="3307"/>
      <c r="N5" s="3307"/>
      <c r="O5" s="3307"/>
      <c r="P5" s="3307"/>
      <c r="Q5" s="3307"/>
      <c r="R5" s="3290">
        <f>SUM(R14,R19,R24,R25,R27,R28)</f>
        <v>0</v>
      </c>
      <c r="S5" s="3281"/>
      <c r="T5" s="3281" t="s">
        <v>3021</v>
      </c>
      <c r="U5" s="3281" t="e">
        <f>ROUND(R5*10000/365/R3,1)</f>
        <v>#DIV/0!</v>
      </c>
      <c r="V5" s="3287"/>
    </row>
    <row r="6" spans="1:22" s="3291" customFormat="1" ht="13.15" customHeight="1" thickBot="1">
      <c r="A6" s="4437" t="s">
        <v>3022</v>
      </c>
      <c r="B6" s="4438"/>
      <c r="C6" s="4439"/>
      <c r="D6" s="3308"/>
      <c r="E6" s="3309"/>
      <c r="F6" s="3310"/>
      <c r="G6" s="3311"/>
      <c r="H6" s="3286"/>
      <c r="I6" s="3287"/>
      <c r="J6" s="4440">
        <v>1</v>
      </c>
      <c r="K6" s="4441" t="s">
        <v>3023</v>
      </c>
      <c r="L6" s="3312" t="s">
        <v>3024</v>
      </c>
      <c r="M6" s="3313" t="s">
        <v>3025</v>
      </c>
      <c r="N6" s="3313" t="s">
        <v>3026</v>
      </c>
      <c r="O6" s="3313" t="s">
        <v>3027</v>
      </c>
      <c r="P6" s="3313" t="s">
        <v>3028</v>
      </c>
      <c r="Q6" s="3313" t="s">
        <v>3029</v>
      </c>
      <c r="R6" s="3296" t="s">
        <v>3030</v>
      </c>
      <c r="S6" s="3281"/>
      <c r="T6" s="3281" t="s">
        <v>3031</v>
      </c>
      <c r="U6" s="3281"/>
      <c r="V6" s="3287"/>
    </row>
    <row r="7" spans="1:22" s="3291" customFormat="1" ht="13.15" customHeight="1">
      <c r="A7" s="3314" t="s">
        <v>3032</v>
      </c>
      <c r="B7" s="3315"/>
      <c r="C7" s="3316"/>
      <c r="D7" s="3317">
        <f>SUM(D9,D10,D11,D17,0)</f>
        <v>0</v>
      </c>
      <c r="E7" s="3318" t="e">
        <f>E9+E10+E11+E17</f>
        <v>#DIV/0!</v>
      </c>
      <c r="F7" s="3319"/>
      <c r="G7" s="3320"/>
      <c r="H7" s="3286"/>
      <c r="I7" s="3287"/>
      <c r="J7" s="4440"/>
      <c r="K7" s="4442"/>
      <c r="L7" s="3321" t="s">
        <v>3033</v>
      </c>
      <c r="M7" s="3322"/>
      <c r="N7" s="3298"/>
      <c r="O7" s="3323"/>
      <c r="P7" s="3323"/>
      <c r="Q7" s="3324">
        <v>365</v>
      </c>
      <c r="R7" s="3325">
        <f>ROUND(M7*N7*O7*P7*Q7/10000,0)</f>
        <v>0</v>
      </c>
      <c r="S7" s="3281"/>
      <c r="T7" s="3281" t="s">
        <v>3034</v>
      </c>
      <c r="U7" s="3281"/>
      <c r="V7" s="3287"/>
    </row>
    <row r="8" spans="1:22" s="3291" customFormat="1" ht="13.15" customHeight="1">
      <c r="A8" s="3326" t="s">
        <v>3035</v>
      </c>
      <c r="B8" s="4444" t="s">
        <v>3036</v>
      </c>
      <c r="C8" s="4445"/>
      <c r="D8" s="3327" t="s">
        <v>3037</v>
      </c>
      <c r="E8" s="3328" t="s">
        <v>3038</v>
      </c>
      <c r="F8" s="3329" t="s">
        <v>3039</v>
      </c>
      <c r="G8" s="3330"/>
      <c r="H8" s="3286"/>
      <c r="I8" s="3287"/>
      <c r="J8" s="4440"/>
      <c r="K8" s="4442"/>
      <c r="L8" s="3321" t="s">
        <v>3040</v>
      </c>
      <c r="M8" s="3322"/>
      <c r="N8" s="3298"/>
      <c r="O8" s="3323"/>
      <c r="P8" s="3323"/>
      <c r="Q8" s="3324">
        <v>365</v>
      </c>
      <c r="R8" s="3325">
        <f t="shared" ref="R8:R13" si="0">ROUND(M8*N8*O8*P8*Q8/10000,0)</f>
        <v>0</v>
      </c>
      <c r="S8" s="3281"/>
      <c r="T8" s="3281" t="s">
        <v>3041</v>
      </c>
      <c r="U8" s="3281"/>
      <c r="V8" s="3287"/>
    </row>
    <row r="9" spans="1:22" s="3291" customFormat="1" ht="13.15" customHeight="1">
      <c r="A9" s="3326">
        <v>1</v>
      </c>
      <c r="B9" s="4444" t="s">
        <v>3042</v>
      </c>
      <c r="C9" s="4445"/>
      <c r="D9" s="3327">
        <f>ROUND(D6*E9,0)</f>
        <v>0</v>
      </c>
      <c r="E9" s="3331"/>
      <c r="F9" s="3332" t="s">
        <v>3043</v>
      </c>
      <c r="G9" s="3311"/>
      <c r="H9" s="3286"/>
      <c r="I9" s="3287"/>
      <c r="J9" s="4440"/>
      <c r="K9" s="4442"/>
      <c r="L9" s="3321" t="s">
        <v>3044</v>
      </c>
      <c r="M9" s="3322"/>
      <c r="N9" s="3298"/>
      <c r="O9" s="3323"/>
      <c r="P9" s="3323"/>
      <c r="Q9" s="3324">
        <v>365</v>
      </c>
      <c r="R9" s="3325">
        <f t="shared" si="0"/>
        <v>0</v>
      </c>
      <c r="S9" s="3281"/>
      <c r="T9" s="3281"/>
      <c r="U9" s="3281"/>
      <c r="V9" s="3287"/>
    </row>
    <row r="10" spans="1:22" s="3291" customFormat="1" ht="13.15" customHeight="1">
      <c r="A10" s="3326">
        <v>2</v>
      </c>
      <c r="B10" s="4444" t="s">
        <v>3045</v>
      </c>
      <c r="C10" s="4445"/>
      <c r="D10" s="3327">
        <f>ROUND(D6*E10,0)</f>
        <v>0</v>
      </c>
      <c r="E10" s="3331"/>
      <c r="F10" s="3332" t="s">
        <v>3046</v>
      </c>
      <c r="G10" s="3311"/>
      <c r="H10" s="3286"/>
      <c r="I10" s="3287"/>
      <c r="J10" s="4440"/>
      <c r="K10" s="4442"/>
      <c r="L10" s="3321" t="s">
        <v>3047</v>
      </c>
      <c r="M10" s="3322"/>
      <c r="N10" s="3298"/>
      <c r="O10" s="3323"/>
      <c r="P10" s="3323"/>
      <c r="Q10" s="3324">
        <v>365</v>
      </c>
      <c r="R10" s="3325">
        <f t="shared" si="0"/>
        <v>0</v>
      </c>
      <c r="S10" s="3281"/>
      <c r="T10" s="3281"/>
      <c r="U10" s="3281"/>
      <c r="V10" s="3287"/>
    </row>
    <row r="11" spans="1:22" s="3291" customFormat="1" ht="13.15" customHeight="1">
      <c r="A11" s="3326">
        <v>3</v>
      </c>
      <c r="B11" s="4444" t="s">
        <v>3048</v>
      </c>
      <c r="C11" s="4445"/>
      <c r="D11" s="3327">
        <f>D12+D14+D15+D16</f>
        <v>0</v>
      </c>
      <c r="E11" s="3333" t="e">
        <f>D11/D6</f>
        <v>#DIV/0!</v>
      </c>
      <c r="F11" s="3329"/>
      <c r="G11" s="3330"/>
      <c r="H11" s="3286"/>
      <c r="I11" s="3287"/>
      <c r="J11" s="4440"/>
      <c r="K11" s="4442"/>
      <c r="L11" s="3321" t="s">
        <v>3049</v>
      </c>
      <c r="M11" s="3322"/>
      <c r="N11" s="3298"/>
      <c r="O11" s="3323"/>
      <c r="P11" s="3323"/>
      <c r="Q11" s="3324">
        <v>365</v>
      </c>
      <c r="R11" s="3325">
        <f t="shared" si="0"/>
        <v>0</v>
      </c>
      <c r="S11" s="3281"/>
      <c r="T11" s="3281"/>
      <c r="U11" s="3281"/>
      <c r="V11" s="3287"/>
    </row>
    <row r="12" spans="1:22" s="3291" customFormat="1" ht="13.15" customHeight="1">
      <c r="A12" s="3334" t="s">
        <v>3050</v>
      </c>
      <c r="B12" s="4446" t="s">
        <v>3051</v>
      </c>
      <c r="C12" s="4447"/>
      <c r="D12" s="3335">
        <f>ROUND(D13*1.2%*(1-30%),0)</f>
        <v>0</v>
      </c>
      <c r="E12" s="3336">
        <v>1.2E-2</v>
      </c>
      <c r="F12" s="3329" t="s">
        <v>3052</v>
      </c>
      <c r="G12" s="3330"/>
      <c r="H12" s="3286"/>
      <c r="I12" s="3287"/>
      <c r="J12" s="4440"/>
      <c r="K12" s="4442"/>
      <c r="L12" s="3321" t="s">
        <v>3053</v>
      </c>
      <c r="M12" s="3322"/>
      <c r="N12" s="3298"/>
      <c r="O12" s="3323"/>
      <c r="P12" s="3323"/>
      <c r="Q12" s="3324">
        <v>365</v>
      </c>
      <c r="R12" s="3325">
        <f t="shared" si="0"/>
        <v>0</v>
      </c>
      <c r="S12" s="3281"/>
      <c r="T12" s="3281"/>
      <c r="U12" s="3281"/>
      <c r="V12" s="3287"/>
    </row>
    <row r="13" spans="1:22" s="3291" customFormat="1" ht="13.15" customHeight="1">
      <c r="A13" s="3334"/>
      <c r="B13" s="3337"/>
      <c r="C13" s="3338" t="s">
        <v>3054</v>
      </c>
      <c r="D13" s="3339"/>
      <c r="E13" s="3340"/>
      <c r="F13" s="3329"/>
      <c r="G13" s="3330"/>
      <c r="H13" s="3286"/>
      <c r="I13" s="3287"/>
      <c r="J13" s="4440"/>
      <c r="K13" s="4442"/>
      <c r="L13" s="3321" t="s">
        <v>3055</v>
      </c>
      <c r="M13" s="3322"/>
      <c r="N13" s="3298"/>
      <c r="O13" s="3323"/>
      <c r="P13" s="3323"/>
      <c r="Q13" s="3324">
        <v>365</v>
      </c>
      <c r="R13" s="3325">
        <f t="shared" si="0"/>
        <v>0</v>
      </c>
      <c r="S13" s="3281"/>
      <c r="T13" s="3281"/>
      <c r="U13" s="3281"/>
      <c r="V13" s="3287"/>
    </row>
    <row r="14" spans="1:22" s="3291" customFormat="1" ht="13.15" customHeight="1">
      <c r="A14" s="3334" t="s">
        <v>3056</v>
      </c>
      <c r="B14" s="4446" t="s">
        <v>3057</v>
      </c>
      <c r="C14" s="4447"/>
      <c r="D14" s="3335">
        <f>ROUND(E14*B5/10000,0)</f>
        <v>0</v>
      </c>
      <c r="E14" s="3324"/>
      <c r="F14" s="3329" t="s">
        <v>3058</v>
      </c>
      <c r="G14" s="3330"/>
      <c r="H14" s="3286"/>
      <c r="I14" s="3287"/>
      <c r="J14" s="4440"/>
      <c r="K14" s="4443"/>
      <c r="L14" s="3341" t="s">
        <v>3059</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3060</v>
      </c>
      <c r="B15" s="4446" t="s">
        <v>3061</v>
      </c>
      <c r="C15" s="4447"/>
      <c r="D15" s="3335">
        <f>ROUND(D6*E15,0)</f>
        <v>0</v>
      </c>
      <c r="E15" s="3336">
        <v>5.5E-2</v>
      </c>
      <c r="F15" s="3329" t="s">
        <v>3062</v>
      </c>
      <c r="G15" s="3311"/>
      <c r="H15" s="3286"/>
      <c r="I15" s="3287"/>
      <c r="J15" s="4440">
        <v>2</v>
      </c>
      <c r="K15" s="4441" t="s">
        <v>3063</v>
      </c>
      <c r="L15" s="3321" t="s">
        <v>3064</v>
      </c>
      <c r="M15" s="3322" t="s">
        <v>3065</v>
      </c>
      <c r="N15" s="3322" t="s">
        <v>3066</v>
      </c>
      <c r="O15" s="3323" t="s">
        <v>3067</v>
      </c>
      <c r="P15" s="3323" t="s">
        <v>3029</v>
      </c>
      <c r="Q15" s="3298" t="s">
        <v>3068</v>
      </c>
      <c r="R15" s="3345" t="s">
        <v>3030</v>
      </c>
      <c r="S15" s="3281"/>
      <c r="T15" s="3281"/>
      <c r="U15" s="3281"/>
      <c r="V15" s="3287"/>
    </row>
    <row r="16" spans="1:22" s="3291" customFormat="1" ht="13.15" customHeight="1">
      <c r="A16" s="3334" t="s">
        <v>3069</v>
      </c>
      <c r="B16" s="4446" t="s">
        <v>3070</v>
      </c>
      <c r="C16" s="4447"/>
      <c r="D16" s="3346">
        <f>D6*E16</f>
        <v>0</v>
      </c>
      <c r="E16" s="3347"/>
      <c r="F16" s="3332" t="s">
        <v>3071</v>
      </c>
      <c r="G16" s="3311"/>
      <c r="H16" s="3286"/>
      <c r="I16" s="3287"/>
      <c r="J16" s="4440"/>
      <c r="K16" s="4442"/>
      <c r="L16" s="3321" t="s">
        <v>3072</v>
      </c>
      <c r="M16" s="3322"/>
      <c r="N16" s="3322"/>
      <c r="O16" s="3323"/>
      <c r="P16" s="3324">
        <v>365</v>
      </c>
      <c r="Q16" s="3298"/>
      <c r="R16" s="3345">
        <f>ROUND(M16*N16*O16*P16/10000,0)</f>
        <v>0</v>
      </c>
      <c r="S16" s="3281"/>
      <c r="T16" s="3281"/>
      <c r="U16" s="3281"/>
      <c r="V16" s="3287"/>
    </row>
    <row r="17" spans="1:22" s="3291" customFormat="1" ht="13.15" customHeight="1" thickBot="1">
      <c r="A17" s="3348">
        <v>4</v>
      </c>
      <c r="B17" s="4448" t="s">
        <v>3073</v>
      </c>
      <c r="C17" s="4449"/>
      <c r="D17" s="3349">
        <f>ROUND(D6*E17,0)</f>
        <v>0</v>
      </c>
      <c r="E17" s="3350"/>
      <c r="F17" s="3351" t="s">
        <v>3074</v>
      </c>
      <c r="G17" s="3311"/>
      <c r="H17" s="3286"/>
      <c r="I17" s="3287"/>
      <c r="J17" s="4440"/>
      <c r="K17" s="4442"/>
      <c r="L17" s="3321" t="s">
        <v>3075</v>
      </c>
      <c r="M17" s="3322"/>
      <c r="N17" s="3322"/>
      <c r="O17" s="3323"/>
      <c r="P17" s="3324">
        <v>365</v>
      </c>
      <c r="Q17" s="3298"/>
      <c r="R17" s="3345">
        <f>ROUND(M17*N17*O17*P17/10000,0)</f>
        <v>0</v>
      </c>
      <c r="S17" s="3281"/>
      <c r="T17" s="3281"/>
      <c r="U17" s="3281"/>
      <c r="V17" s="3287"/>
    </row>
    <row r="18" spans="1:22" s="3291" customFormat="1" ht="13.15" customHeight="1" thickBot="1">
      <c r="A18" s="3314" t="s">
        <v>3076</v>
      </c>
      <c r="B18" s="3315"/>
      <c r="C18" s="3315"/>
      <c r="D18" s="3352">
        <f>ROUND(D6*E18,0)</f>
        <v>0</v>
      </c>
      <c r="E18" s="3353"/>
      <c r="F18" s="3354" t="s">
        <v>3077</v>
      </c>
      <c r="G18" s="3311"/>
      <c r="H18" s="3286"/>
      <c r="I18" s="3287"/>
      <c r="J18" s="4440"/>
      <c r="K18" s="4442"/>
      <c r="L18" s="3321" t="s">
        <v>3078</v>
      </c>
      <c r="M18" s="3322"/>
      <c r="N18" s="3322"/>
      <c r="O18" s="3323"/>
      <c r="P18" s="3324">
        <v>365</v>
      </c>
      <c r="Q18" s="3298"/>
      <c r="R18" s="3345">
        <f>ROUND(M18*N18*O18*P18/10000,0)</f>
        <v>0</v>
      </c>
      <c r="S18" s="3281"/>
      <c r="T18" s="3281"/>
      <c r="U18" s="3281"/>
      <c r="V18" s="3287"/>
    </row>
    <row r="19" spans="1:22" s="3291" customFormat="1" ht="13.15" customHeight="1" thickBot="1">
      <c r="A19" s="3355" t="s">
        <v>3079</v>
      </c>
      <c r="B19" s="3309"/>
      <c r="C19" s="3309"/>
      <c r="D19" s="3309"/>
      <c r="E19" s="3309"/>
      <c r="F19" s="3310"/>
      <c r="G19" s="3330"/>
      <c r="H19" s="3286"/>
      <c r="I19" s="3287"/>
      <c r="J19" s="4440"/>
      <c r="K19" s="4443"/>
      <c r="L19" s="3341" t="s">
        <v>3059</v>
      </c>
      <c r="M19" s="3342"/>
      <c r="N19" s="3342">
        <f>SUM(N16:N18)</f>
        <v>0</v>
      </c>
      <c r="O19" s="3343"/>
      <c r="P19" s="3356" t="s">
        <v>3080</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4440">
        <v>3</v>
      </c>
      <c r="K20" s="4441" t="s">
        <v>3081</v>
      </c>
      <c r="L20" s="3321" t="s">
        <v>3082</v>
      </c>
      <c r="M20" s="3322" t="s">
        <v>3083</v>
      </c>
      <c r="N20" s="3359" t="s">
        <v>3084</v>
      </c>
      <c r="O20" s="3323" t="s">
        <v>3085</v>
      </c>
      <c r="P20" s="3324" t="s">
        <v>3086</v>
      </c>
      <c r="Q20" s="3298" t="s">
        <v>3087</v>
      </c>
      <c r="R20" s="3345" t="s">
        <v>3088</v>
      </c>
      <c r="S20" s="3360"/>
      <c r="T20" s="3360"/>
      <c r="U20" s="3360"/>
      <c r="V20" s="3287"/>
    </row>
    <row r="21" spans="1:22" s="3291" customFormat="1" ht="13.15" customHeight="1">
      <c r="A21" s="3314"/>
      <c r="B21" s="3315"/>
      <c r="C21" s="3361" t="s">
        <v>3089</v>
      </c>
      <c r="D21" s="3362" t="s">
        <v>3090</v>
      </c>
      <c r="E21" s="3363" t="s">
        <v>3091</v>
      </c>
      <c r="F21" s="3358"/>
      <c r="G21" s="3330"/>
      <c r="H21" s="3286"/>
      <c r="I21" s="3287"/>
      <c r="J21" s="4440"/>
      <c r="K21" s="4442"/>
      <c r="L21" s="3321" t="s">
        <v>3092</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3093</v>
      </c>
      <c r="D22" s="3366" t="s">
        <v>3094</v>
      </c>
      <c r="E22" s="3367" t="s">
        <v>3095</v>
      </c>
      <c r="F22" s="3358"/>
      <c r="G22" s="3368"/>
      <c r="H22" s="3286"/>
      <c r="I22" s="3287"/>
      <c r="J22" s="4440"/>
      <c r="K22" s="4442"/>
      <c r="L22" s="3321" t="s">
        <v>3096</v>
      </c>
      <c r="M22" s="3322"/>
      <c r="N22" s="3322"/>
      <c r="O22" s="3323"/>
      <c r="P22" s="3324">
        <v>365</v>
      </c>
      <c r="Q22" s="3298"/>
      <c r="R22" s="3364">
        <f>ROUND(M22*N22*O22*P22/10000,0)</f>
        <v>0</v>
      </c>
      <c r="S22" s="3360"/>
      <c r="T22" s="3360"/>
      <c r="U22" s="3360"/>
      <c r="V22" s="3287"/>
    </row>
    <row r="23" spans="1:22" s="3291" customFormat="1" ht="13.15" customHeight="1">
      <c r="A23" s="3369">
        <v>1</v>
      </c>
      <c r="B23" s="3370" t="s">
        <v>3097</v>
      </c>
      <c r="C23" s="3371">
        <f>D6</f>
        <v>0</v>
      </c>
      <c r="D23" s="3372">
        <f>C23*(1+D24)</f>
        <v>0</v>
      </c>
      <c r="E23" s="3373">
        <f>D23*(1+E24)</f>
        <v>0</v>
      </c>
      <c r="F23" s="3374"/>
      <c r="G23" s="3375"/>
      <c r="H23" s="3286"/>
      <c r="I23" s="3287"/>
      <c r="J23" s="4440"/>
      <c r="K23" s="4442"/>
      <c r="L23" s="3321" t="s">
        <v>3098</v>
      </c>
      <c r="M23" s="3322"/>
      <c r="N23" s="3322"/>
      <c r="O23" s="3323"/>
      <c r="P23" s="3324">
        <v>365</v>
      </c>
      <c r="Q23" s="3298"/>
      <c r="R23" s="3364">
        <f>ROUND(M23*N23*O23*P23/10000,0)</f>
        <v>0</v>
      </c>
      <c r="S23" s="3281"/>
      <c r="T23" s="3281"/>
      <c r="U23" s="3281"/>
      <c r="V23" s="3287"/>
    </row>
    <row r="24" spans="1:22" s="3291" customFormat="1" ht="13.15" customHeight="1">
      <c r="A24" s="3376"/>
      <c r="B24" s="3377" t="s">
        <v>3099</v>
      </c>
      <c r="C24" s="3378"/>
      <c r="D24" s="3379"/>
      <c r="E24" s="3380"/>
      <c r="F24" s="3381"/>
      <c r="G24" s="3375"/>
      <c r="H24" s="3286"/>
      <c r="I24" s="3287"/>
      <c r="J24" s="4440"/>
      <c r="K24" s="4443"/>
      <c r="L24" s="3341" t="s">
        <v>3059</v>
      </c>
      <c r="M24" s="3342">
        <f>SUM(M21:M23)</f>
        <v>0</v>
      </c>
      <c r="N24" s="3342"/>
      <c r="O24" s="3343"/>
      <c r="P24" s="3356" t="s">
        <v>3080</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3100</v>
      </c>
      <c r="L25" s="3384"/>
      <c r="M25" s="3384"/>
      <c r="N25" s="3384"/>
      <c r="O25" s="3384"/>
      <c r="P25" s="3385"/>
      <c r="Q25" s="3386"/>
      <c r="R25" s="3357">
        <f>ROUND(R14*Q25,0)</f>
        <v>0</v>
      </c>
      <c r="S25" s="3281"/>
      <c r="T25" s="3281"/>
      <c r="U25" s="3281"/>
      <c r="V25" s="3387"/>
    </row>
    <row r="26" spans="1:22" s="3388" customFormat="1" ht="13.15" customHeight="1">
      <c r="A26" s="3369">
        <v>2</v>
      </c>
      <c r="B26" s="3370" t="s">
        <v>3101</v>
      </c>
      <c r="C26" s="3371">
        <f>D7</f>
        <v>0</v>
      </c>
      <c r="D26" s="3372">
        <f>D23*D27</f>
        <v>0</v>
      </c>
      <c r="E26" s="3373">
        <f>E23*E27</f>
        <v>0</v>
      </c>
      <c r="F26" s="3374"/>
      <c r="G26" s="3375"/>
      <c r="H26" s="3286"/>
      <c r="I26" s="3287"/>
      <c r="J26" s="4450">
        <v>5</v>
      </c>
      <c r="K26" s="3389" t="s">
        <v>3102</v>
      </c>
      <c r="L26" s="3390"/>
      <c r="M26" s="3391"/>
      <c r="N26" s="3392" t="s">
        <v>3103</v>
      </c>
      <c r="O26" s="3392" t="s">
        <v>3104</v>
      </c>
      <c r="P26" s="3393" t="s">
        <v>3105</v>
      </c>
      <c r="Q26" s="3393" t="s">
        <v>3106</v>
      </c>
      <c r="R26" s="3296" t="s">
        <v>3030</v>
      </c>
      <c r="S26" s="3394"/>
      <c r="T26" s="3394"/>
      <c r="U26" s="3394"/>
      <c r="V26" s="3387"/>
    </row>
    <row r="27" spans="1:22" s="3291" customFormat="1" ht="13.15" customHeight="1">
      <c r="A27" s="3376"/>
      <c r="B27" s="3377" t="s">
        <v>3107</v>
      </c>
      <c r="C27" s="3395" t="e">
        <f>E7</f>
        <v>#DIV/0!</v>
      </c>
      <c r="D27" s="3379"/>
      <c r="E27" s="3380"/>
      <c r="F27" s="3381"/>
      <c r="G27" s="3375"/>
      <c r="H27" s="3396"/>
      <c r="I27" s="3387"/>
      <c r="J27" s="4451"/>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3108</v>
      </c>
      <c r="F28" s="3381"/>
      <c r="G28" s="3368"/>
      <c r="H28" s="3396"/>
      <c r="I28" s="3387"/>
      <c r="J28" s="3402">
        <v>6</v>
      </c>
      <c r="K28" s="3403" t="s">
        <v>3109</v>
      </c>
      <c r="L28" s="3404" t="s">
        <v>3110</v>
      </c>
      <c r="M28" s="3405"/>
      <c r="N28" s="3404" t="s">
        <v>3111</v>
      </c>
      <c r="O28" s="3406"/>
      <c r="P28" s="3404" t="s">
        <v>3112</v>
      </c>
      <c r="Q28" s="3407">
        <v>1.4999999999999999E-2</v>
      </c>
      <c r="R28" s="3408"/>
      <c r="S28" s="3360"/>
      <c r="T28" s="3360"/>
      <c r="U28" s="3360"/>
      <c r="V28" s="3387"/>
    </row>
    <row r="29" spans="1:22" s="3388" customFormat="1" ht="13.15" customHeight="1">
      <c r="A29" s="3369">
        <v>3</v>
      </c>
      <c r="B29" s="3370" t="s">
        <v>3113</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3107</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3114</v>
      </c>
      <c r="K31" s="3279"/>
      <c r="L31" s="3279"/>
      <c r="M31" s="3279"/>
      <c r="N31" s="3279"/>
      <c r="O31" s="3279"/>
      <c r="P31" s="3279"/>
      <c r="Q31" s="3279"/>
      <c r="R31" s="3280"/>
      <c r="S31" s="3360"/>
      <c r="T31" s="3281"/>
      <c r="U31" s="3281"/>
      <c r="V31" s="3387"/>
    </row>
    <row r="32" spans="1:22" s="3388" customFormat="1" ht="13.15" customHeight="1">
      <c r="A32" s="3369">
        <v>4</v>
      </c>
      <c r="B32" s="3370" t="s">
        <v>3115</v>
      </c>
      <c r="C32" s="3371">
        <f>C23-C26-C29</f>
        <v>0</v>
      </c>
      <c r="D32" s="3372">
        <f>D23-D26-D29</f>
        <v>0</v>
      </c>
      <c r="E32" s="3373">
        <f>E23-E26-E29</f>
        <v>0</v>
      </c>
      <c r="F32" s="3374"/>
      <c r="G32" s="3368"/>
      <c r="H32" s="3286"/>
      <c r="I32" s="3287"/>
      <c r="J32" s="4433" t="s">
        <v>3006</v>
      </c>
      <c r="K32" s="4434"/>
      <c r="L32" s="3288" t="s">
        <v>3007</v>
      </c>
      <c r="M32" s="3288" t="s">
        <v>3008</v>
      </c>
      <c r="N32" s="3288" t="s">
        <v>3009</v>
      </c>
      <c r="O32" s="3288" t="s">
        <v>3010</v>
      </c>
      <c r="P32" s="3288" t="s">
        <v>3011</v>
      </c>
      <c r="Q32" s="3289" t="s">
        <v>3012</v>
      </c>
      <c r="R32" s="3411" t="s">
        <v>3013</v>
      </c>
      <c r="S32" s="3360"/>
      <c r="T32" s="3281"/>
      <c r="U32" s="3281"/>
      <c r="V32" s="3387"/>
    </row>
    <row r="33" spans="1:23" s="3291" customFormat="1" ht="13.15" customHeight="1">
      <c r="A33" s="3369"/>
      <c r="B33" s="3370"/>
      <c r="C33" s="3371"/>
      <c r="D33" s="3412"/>
      <c r="E33" s="3413"/>
      <c r="F33" s="3374"/>
      <c r="G33" s="3368"/>
      <c r="H33" s="3396"/>
      <c r="I33" s="3387"/>
      <c r="J33" s="4435" t="s">
        <v>3016</v>
      </c>
      <c r="K33" s="4436"/>
      <c r="L33" s="3294"/>
      <c r="M33" s="3294"/>
      <c r="N33" s="3294"/>
      <c r="O33" s="3294"/>
      <c r="P33" s="3294"/>
      <c r="Q33" s="3295"/>
      <c r="R33" s="3414">
        <f>SUM(L33:Q33)</f>
        <v>0</v>
      </c>
      <c r="S33" s="3360"/>
      <c r="T33" s="3281"/>
      <c r="U33" s="3281"/>
      <c r="V33" s="3287"/>
    </row>
    <row r="34" spans="1:23" s="3291" customFormat="1" ht="13.15" customHeight="1">
      <c r="A34" s="3369">
        <v>5</v>
      </c>
      <c r="B34" s="3370" t="s">
        <v>3116</v>
      </c>
      <c r="C34" s="3415"/>
      <c r="D34" s="3416"/>
      <c r="E34" s="3417"/>
      <c r="F34" s="3374"/>
      <c r="G34" s="3368"/>
      <c r="H34" s="3396"/>
      <c r="I34" s="3387"/>
      <c r="J34" s="4435" t="s">
        <v>3018</v>
      </c>
      <c r="K34" s="4436"/>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3117</v>
      </c>
      <c r="C35" s="3419"/>
      <c r="D35" s="3420"/>
      <c r="E35" s="3421"/>
      <c r="F35" s="3374"/>
      <c r="G35" s="3422"/>
      <c r="H35" s="3286"/>
      <c r="I35" s="3387"/>
      <c r="J35" s="3305" t="s">
        <v>3020</v>
      </c>
      <c r="K35" s="3306"/>
      <c r="L35" s="3306"/>
      <c r="M35" s="3307"/>
      <c r="N35" s="3307"/>
      <c r="O35" s="3307"/>
      <c r="P35" s="3307"/>
      <c r="Q35" s="3307"/>
      <c r="R35" s="3423">
        <f>R40+R41+R43</f>
        <v>0</v>
      </c>
      <c r="S35" s="3360"/>
      <c r="T35" s="3281" t="s">
        <v>3021</v>
      </c>
      <c r="U35" s="3281"/>
      <c r="V35" s="3287"/>
    </row>
    <row r="36" spans="1:23" s="3291" customFormat="1" ht="13.15" customHeight="1" thickBot="1">
      <c r="A36" s="3369">
        <v>7</v>
      </c>
      <c r="B36" s="3424" t="s">
        <v>3118</v>
      </c>
      <c r="C36" s="3425"/>
      <c r="D36" s="3426"/>
      <c r="E36" s="3427"/>
      <c r="F36" s="3428">
        <f>C36+D36+E36</f>
        <v>0</v>
      </c>
      <c r="G36" s="3368"/>
      <c r="H36" s="3286"/>
      <c r="I36" s="3287"/>
      <c r="J36" s="4440">
        <v>1</v>
      </c>
      <c r="K36" s="4441" t="s">
        <v>3119</v>
      </c>
      <c r="L36" s="3312"/>
      <c r="M36" s="3313"/>
      <c r="N36" s="3313"/>
      <c r="O36" s="3313"/>
      <c r="P36" s="3313"/>
      <c r="Q36" s="3313"/>
      <c r="R36" s="3296" t="s">
        <v>3030</v>
      </c>
      <c r="S36" s="3360"/>
      <c r="T36" s="3281" t="s">
        <v>3031</v>
      </c>
      <c r="U36" s="3281"/>
      <c r="V36" s="3287"/>
    </row>
    <row r="37" spans="1:23" s="3291" customFormat="1" ht="13.15" customHeight="1">
      <c r="A37" s="3369"/>
      <c r="B37" s="3370"/>
      <c r="C37" s="3370"/>
      <c r="D37" s="3370"/>
      <c r="E37" s="3370"/>
      <c r="F37" s="3374"/>
      <c r="G37" s="3368"/>
      <c r="H37" s="3286"/>
      <c r="I37" s="3287"/>
      <c r="J37" s="4440"/>
      <c r="K37" s="4442"/>
      <c r="L37" s="3321"/>
      <c r="M37" s="3322"/>
      <c r="N37" s="3298"/>
      <c r="O37" s="3323"/>
      <c r="P37" s="3323"/>
      <c r="Q37" s="3324"/>
      <c r="R37" s="3325"/>
      <c r="S37" s="3360"/>
      <c r="T37" s="3281" t="s">
        <v>3034</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4440"/>
      <c r="K38" s="4442"/>
      <c r="L38" s="3321"/>
      <c r="M38" s="3322"/>
      <c r="N38" s="3298"/>
      <c r="O38" s="3323"/>
      <c r="P38" s="3323"/>
      <c r="Q38" s="3324"/>
      <c r="R38" s="3325"/>
      <c r="S38" s="3360"/>
      <c r="T38" s="3281" t="s">
        <v>3041</v>
      </c>
      <c r="U38" s="3281"/>
      <c r="V38" s="3287"/>
    </row>
    <row r="39" spans="1:23" s="3291" customFormat="1" ht="13.15" customHeight="1">
      <c r="A39" s="3369">
        <v>9</v>
      </c>
      <c r="B39" s="3370" t="s">
        <v>3120</v>
      </c>
      <c r="C39" s="3335" t="e">
        <f>C38</f>
        <v>#DIV/0!</v>
      </c>
      <c r="D39" s="3370">
        <f>D38/(1+D34)^C36</f>
        <v>0</v>
      </c>
      <c r="E39" s="3370">
        <f>E38/(1+E34)^(C36+D36)</f>
        <v>0</v>
      </c>
      <c r="F39" s="3374"/>
      <c r="G39" s="3429"/>
      <c r="H39" s="3286"/>
      <c r="I39" s="3287"/>
      <c r="J39" s="4440"/>
      <c r="K39" s="4442"/>
      <c r="L39" s="3321"/>
      <c r="M39" s="3322"/>
      <c r="N39" s="3298"/>
      <c r="O39" s="3323"/>
      <c r="P39" s="3323"/>
      <c r="Q39" s="3324"/>
      <c r="R39" s="3325"/>
      <c r="S39" s="3360"/>
      <c r="T39" s="3281"/>
      <c r="U39" s="3281"/>
      <c r="V39" s="3287"/>
    </row>
    <row r="40" spans="1:23" s="3291" customFormat="1" ht="13.15" customHeight="1">
      <c r="A40" s="3430">
        <v>10</v>
      </c>
      <c r="B40" s="3370" t="s">
        <v>3121</v>
      </c>
      <c r="C40" s="3431" t="e">
        <f>C39+D39+E39</f>
        <v>#DIV/0!</v>
      </c>
      <c r="D40" s="3432"/>
      <c r="E40" s="3432"/>
      <c r="F40" s="3433"/>
      <c r="G40" s="3368"/>
      <c r="H40" s="3286"/>
      <c r="I40" s="3287"/>
      <c r="J40" s="4440"/>
      <c r="K40" s="4443"/>
      <c r="L40" s="3341" t="s">
        <v>3059</v>
      </c>
      <c r="M40" s="3342"/>
      <c r="N40" s="3342"/>
      <c r="O40" s="3343"/>
      <c r="P40" s="3343"/>
      <c r="Q40" s="3344"/>
      <c r="R40" s="3290">
        <f>SUM(R37:R39)</f>
        <v>0</v>
      </c>
      <c r="S40" s="3360"/>
      <c r="T40" s="3281"/>
      <c r="U40" s="3281"/>
      <c r="V40" s="3287"/>
    </row>
    <row r="41" spans="1:23" s="3291" customFormat="1" ht="13.15" customHeight="1" thickBot="1">
      <c r="A41" s="3434">
        <v>11</v>
      </c>
      <c r="B41" s="3435" t="s">
        <v>3122</v>
      </c>
      <c r="C41" s="3435" t="e">
        <f>ROUND(C40*10000/B4,0)</f>
        <v>#DIV/0!</v>
      </c>
      <c r="D41" s="3436"/>
      <c r="E41" s="3436"/>
      <c r="F41" s="3437"/>
      <c r="G41" s="3438"/>
      <c r="H41" s="3286"/>
      <c r="I41" s="3287"/>
      <c r="J41" s="3382">
        <v>2</v>
      </c>
      <c r="K41" s="3383" t="s">
        <v>3100</v>
      </c>
      <c r="L41" s="3384"/>
      <c r="M41" s="3384"/>
      <c r="N41" s="3384"/>
      <c r="O41" s="3384"/>
      <c r="P41" s="3385"/>
      <c r="Q41" s="3386"/>
      <c r="R41" s="3357">
        <f>ROUND(R40*Q41,0)</f>
        <v>0</v>
      </c>
      <c r="S41" s="3360"/>
      <c r="T41" s="3281"/>
      <c r="U41" s="3394"/>
      <c r="V41" s="3287"/>
    </row>
    <row r="42" spans="1:23" s="3291" customFormat="1" ht="13.15" customHeight="1">
      <c r="G42" s="3438"/>
      <c r="H42" s="3286"/>
      <c r="I42" s="3287"/>
      <c r="J42" s="4450">
        <v>3</v>
      </c>
      <c r="K42" s="3389" t="s">
        <v>3102</v>
      </c>
      <c r="L42" s="3390"/>
      <c r="M42" s="3391"/>
      <c r="N42" s="3392" t="s">
        <v>3103</v>
      </c>
      <c r="O42" s="3392" t="s">
        <v>3104</v>
      </c>
      <c r="P42" s="3393" t="s">
        <v>3105</v>
      </c>
      <c r="Q42" s="3393" t="s">
        <v>3106</v>
      </c>
      <c r="R42" s="3296" t="s">
        <v>3030</v>
      </c>
      <c r="S42" s="3394"/>
      <c r="T42" s="3394"/>
      <c r="U42" s="3281"/>
      <c r="V42" s="3287"/>
    </row>
    <row r="43" spans="1:23" ht="13.15" customHeight="1">
      <c r="A43" s="3291"/>
      <c r="B43" s="3291"/>
      <c r="C43" s="3291"/>
      <c r="D43" s="3291"/>
      <c r="E43" s="3291"/>
      <c r="F43" s="3291"/>
      <c r="I43" s="3276"/>
      <c r="J43" s="4451"/>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3109</v>
      </c>
      <c r="L44" s="3442" t="s">
        <v>3110</v>
      </c>
      <c r="M44" s="3405"/>
      <c r="N44" s="3442" t="s">
        <v>3111</v>
      </c>
      <c r="O44" s="3405"/>
      <c r="P44" s="3442" t="s">
        <v>3112</v>
      </c>
      <c r="Q44" s="3407">
        <v>1.4999999999999999E-2</v>
      </c>
      <c r="R44" s="340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468" t="s">
        <v>2425</v>
      </c>
      <c r="B1" s="4469"/>
      <c r="C1" s="4470"/>
      <c r="D1" s="4471">
        <f>SUM(I10,I15,I20,I21,I23)</f>
        <v>0</v>
      </c>
      <c r="E1" s="4471"/>
      <c r="F1" s="4471"/>
      <c r="G1" s="4471"/>
      <c r="H1" s="4471"/>
      <c r="I1" s="4472"/>
    </row>
    <row r="2" spans="1:9">
      <c r="A2" s="4458" t="s">
        <v>2426</v>
      </c>
      <c r="B2" s="4459" t="s">
        <v>2427</v>
      </c>
      <c r="C2" s="4459"/>
      <c r="D2" s="2329" t="s">
        <v>2428</v>
      </c>
      <c r="E2" s="2329" t="s">
        <v>2429</v>
      </c>
      <c r="F2" s="2329" t="s">
        <v>2430</v>
      </c>
      <c r="G2" s="2329" t="s">
        <v>2431</v>
      </c>
      <c r="H2" s="2329" t="s">
        <v>2432</v>
      </c>
      <c r="I2" s="2330" t="s">
        <v>2433</v>
      </c>
    </row>
    <row r="3" spans="1:9">
      <c r="A3" s="4458"/>
      <c r="B3" s="4459" t="s">
        <v>2434</v>
      </c>
      <c r="C3" s="4459"/>
      <c r="D3" s="2331"/>
      <c r="E3" s="2329"/>
      <c r="F3" s="2332"/>
      <c r="G3" s="2332"/>
      <c r="H3" s="2333"/>
      <c r="I3" s="2334">
        <f>ROUND(D3*E3*F3*G3*H3/10000,0)</f>
        <v>0</v>
      </c>
    </row>
    <row r="4" spans="1:9">
      <c r="A4" s="4458"/>
      <c r="B4" s="4459" t="s">
        <v>2435</v>
      </c>
      <c r="C4" s="4459"/>
      <c r="D4" s="2331"/>
      <c r="E4" s="2329"/>
      <c r="F4" s="2332"/>
      <c r="G4" s="2332"/>
      <c r="H4" s="2333"/>
      <c r="I4" s="2334">
        <f t="shared" ref="I4:I9" si="0">ROUND(D4*E4*F4*G4*H4/10000,0)</f>
        <v>0</v>
      </c>
    </row>
    <row r="5" spans="1:9">
      <c r="A5" s="4458"/>
      <c r="B5" s="4459" t="s">
        <v>2436</v>
      </c>
      <c r="C5" s="4459"/>
      <c r="D5" s="2331"/>
      <c r="E5" s="2329"/>
      <c r="F5" s="2332"/>
      <c r="G5" s="2332"/>
      <c r="H5" s="2333"/>
      <c r="I5" s="2334">
        <f t="shared" si="0"/>
        <v>0</v>
      </c>
    </row>
    <row r="6" spans="1:9">
      <c r="A6" s="4458"/>
      <c r="B6" s="4459" t="s">
        <v>2437</v>
      </c>
      <c r="C6" s="4459"/>
      <c r="D6" s="2331"/>
      <c r="E6" s="2329"/>
      <c r="F6" s="2332"/>
      <c r="G6" s="2332"/>
      <c r="H6" s="2333"/>
      <c r="I6" s="2334">
        <f t="shared" si="0"/>
        <v>0</v>
      </c>
    </row>
    <row r="7" spans="1:9">
      <c r="A7" s="4458"/>
      <c r="B7" s="4459" t="s">
        <v>2438</v>
      </c>
      <c r="C7" s="4459"/>
      <c r="D7" s="2331"/>
      <c r="E7" s="2329"/>
      <c r="F7" s="2332"/>
      <c r="G7" s="2332"/>
      <c r="H7" s="2333"/>
      <c r="I7" s="2334">
        <f t="shared" si="0"/>
        <v>0</v>
      </c>
    </row>
    <row r="8" spans="1:9">
      <c r="A8" s="4458"/>
      <c r="B8" s="4459" t="s">
        <v>2439</v>
      </c>
      <c r="C8" s="4459"/>
      <c r="D8" s="2331"/>
      <c r="E8" s="2329"/>
      <c r="F8" s="2332"/>
      <c r="G8" s="2332"/>
      <c r="H8" s="2333"/>
      <c r="I8" s="2334">
        <f t="shared" si="0"/>
        <v>0</v>
      </c>
    </row>
    <row r="9" spans="1:9">
      <c r="A9" s="4458"/>
      <c r="B9" s="4459" t="s">
        <v>2440</v>
      </c>
      <c r="C9" s="4459"/>
      <c r="D9" s="2331"/>
      <c r="E9" s="2329"/>
      <c r="F9" s="2332"/>
      <c r="G9" s="2332"/>
      <c r="H9" s="2333"/>
      <c r="I9" s="2334">
        <f t="shared" si="0"/>
        <v>0</v>
      </c>
    </row>
    <row r="10" spans="1:9">
      <c r="A10" s="4458"/>
      <c r="B10" s="4460" t="s">
        <v>2441</v>
      </c>
      <c r="C10" s="4460"/>
      <c r="D10" s="2335">
        <v>527</v>
      </c>
      <c r="E10" s="2335" t="e">
        <f>ROUND(D1*10000/D10/H9,0)</f>
        <v>#DIV/0!</v>
      </c>
      <c r="F10" s="2336"/>
      <c r="G10" s="2336"/>
      <c r="H10" s="2337"/>
      <c r="I10" s="2338">
        <f>SUM(I3:I9)</f>
        <v>0</v>
      </c>
    </row>
    <row r="11" spans="1:9" ht="14.25">
      <c r="A11" s="4458" t="s">
        <v>2442</v>
      </c>
      <c r="B11" s="4459" t="s">
        <v>2443</v>
      </c>
      <c r="C11" s="4459"/>
      <c r="D11" s="2331" t="s">
        <v>2444</v>
      </c>
      <c r="E11" s="2331" t="s">
        <v>2445</v>
      </c>
      <c r="F11" s="2332" t="s">
        <v>2446</v>
      </c>
      <c r="G11" s="2332" t="s">
        <v>2447</v>
      </c>
      <c r="H11" s="2339" t="s">
        <v>2448</v>
      </c>
      <c r="I11" s="2330" t="s">
        <v>2449</v>
      </c>
    </row>
    <row r="12" spans="1:9">
      <c r="A12" s="4458"/>
      <c r="B12" s="4459" t="s">
        <v>2450</v>
      </c>
      <c r="C12" s="4459"/>
      <c r="D12" s="2331"/>
      <c r="E12" s="2331"/>
      <c r="F12" s="2332"/>
      <c r="G12" s="2333"/>
      <c r="H12" s="2340"/>
      <c r="I12" s="2330">
        <f>ROUND(D12*E12*F12*G12/10000,0)</f>
        <v>0</v>
      </c>
    </row>
    <row r="13" spans="1:9">
      <c r="A13" s="4458"/>
      <c r="B13" s="4459" t="s">
        <v>2451</v>
      </c>
      <c r="C13" s="4459"/>
      <c r="D13" s="2331"/>
      <c r="E13" s="2331"/>
      <c r="F13" s="2332"/>
      <c r="G13" s="2333"/>
      <c r="H13" s="2340"/>
      <c r="I13" s="2330">
        <f>ROUND(D13*E13*F13*G13/10000,0)</f>
        <v>0</v>
      </c>
    </row>
    <row r="14" spans="1:9">
      <c r="A14" s="4458"/>
      <c r="B14" s="4459" t="s">
        <v>2452</v>
      </c>
      <c r="C14" s="4459"/>
      <c r="D14" s="2331"/>
      <c r="E14" s="2331"/>
      <c r="F14" s="2332"/>
      <c r="G14" s="2333"/>
      <c r="H14" s="2340"/>
      <c r="I14" s="2330">
        <f>ROUND(D14*E14*F14*G14/10000,0)</f>
        <v>0</v>
      </c>
    </row>
    <row r="15" spans="1:9">
      <c r="A15" s="4458"/>
      <c r="B15" s="4460" t="s">
        <v>2441</v>
      </c>
      <c r="C15" s="4460"/>
      <c r="D15" s="2335"/>
      <c r="E15" s="2335">
        <f>SUM(E12:E14)</f>
        <v>0</v>
      </c>
      <c r="F15" s="2336"/>
      <c r="G15" s="2333"/>
      <c r="H15" s="2340"/>
      <c r="I15" s="2341">
        <f>SUM(I12:I14)</f>
        <v>0</v>
      </c>
    </row>
    <row r="16" spans="1:9" ht="24">
      <c r="A16" s="4458" t="s">
        <v>2453</v>
      </c>
      <c r="B16" s="4459" t="s">
        <v>2454</v>
      </c>
      <c r="C16" s="4459"/>
      <c r="D16" s="2331" t="s">
        <v>2455</v>
      </c>
      <c r="E16" s="2342" t="s">
        <v>2456</v>
      </c>
      <c r="F16" s="2332" t="s">
        <v>2457</v>
      </c>
      <c r="G16" s="2333" t="s">
        <v>2447</v>
      </c>
      <c r="H16" s="2339" t="s">
        <v>2448</v>
      </c>
      <c r="I16" s="2330" t="s">
        <v>2449</v>
      </c>
    </row>
    <row r="17" spans="1:9" ht="14.25">
      <c r="A17" s="4458"/>
      <c r="B17" s="4459" t="s">
        <v>2458</v>
      </c>
      <c r="C17" s="4459"/>
      <c r="D17" s="2331"/>
      <c r="E17" s="2331"/>
      <c r="F17" s="2332"/>
      <c r="G17" s="2333"/>
      <c r="H17" s="2343"/>
      <c r="I17" s="2344">
        <f>ROUND(D17*E17*F17*G17/10000,0)</f>
        <v>0</v>
      </c>
    </row>
    <row r="18" spans="1:9" ht="14.25">
      <c r="A18" s="4458"/>
      <c r="B18" s="4459" t="s">
        <v>2459</v>
      </c>
      <c r="C18" s="4459"/>
      <c r="D18" s="2331"/>
      <c r="E18" s="2331"/>
      <c r="F18" s="2332"/>
      <c r="G18" s="2333"/>
      <c r="H18" s="2343"/>
      <c r="I18" s="2344">
        <f>ROUND(D18*E18*F18*G18/10000,0)</f>
        <v>0</v>
      </c>
    </row>
    <row r="19" spans="1:9" ht="14.25">
      <c r="A19" s="4458"/>
      <c r="B19" s="4459" t="s">
        <v>2460</v>
      </c>
      <c r="C19" s="4459"/>
      <c r="D19" s="2331"/>
      <c r="E19" s="2331"/>
      <c r="F19" s="2332"/>
      <c r="G19" s="2333"/>
      <c r="H19" s="2343"/>
      <c r="I19" s="2344">
        <f>ROUND(D19*E19*F19*G19/10000,0)</f>
        <v>0</v>
      </c>
    </row>
    <row r="20" spans="1:9">
      <c r="A20" s="4458"/>
      <c r="B20" s="4460" t="s">
        <v>2441</v>
      </c>
      <c r="C20" s="4460"/>
      <c r="D20" s="2335">
        <f>SUM(D17:D19)</f>
        <v>0</v>
      </c>
      <c r="E20" s="2335"/>
      <c r="F20" s="2336"/>
      <c r="G20" s="2333"/>
      <c r="H20" s="2340"/>
      <c r="I20" s="2341">
        <f>SUM(I17:I19)</f>
        <v>0</v>
      </c>
    </row>
    <row r="21" spans="1:9">
      <c r="A21" s="4458" t="s">
        <v>2461</v>
      </c>
      <c r="B21" s="4461"/>
      <c r="C21" s="4461"/>
      <c r="D21" s="4461"/>
      <c r="E21" s="4461"/>
      <c r="F21" s="4461"/>
      <c r="G21" s="4461"/>
      <c r="H21" s="2345">
        <v>0.1</v>
      </c>
      <c r="I21" s="2338">
        <f>ROUND(I10*H21,0)</f>
        <v>0</v>
      </c>
    </row>
    <row r="22" spans="1:9" ht="14.25">
      <c r="A22" s="4462" t="s">
        <v>2462</v>
      </c>
      <c r="B22" s="4463"/>
      <c r="C22" s="4464"/>
      <c r="D22" s="2346" t="s">
        <v>2463</v>
      </c>
      <c r="E22" s="2346" t="s">
        <v>2464</v>
      </c>
      <c r="F22" s="2347" t="s">
        <v>2465</v>
      </c>
      <c r="G22" s="2347" t="s">
        <v>2466</v>
      </c>
      <c r="H22" s="2339" t="s">
        <v>2467</v>
      </c>
      <c r="I22" s="2330" t="s">
        <v>2468</v>
      </c>
    </row>
    <row r="23" spans="1:9" ht="14.25" thickBot="1">
      <c r="A23" s="4465"/>
      <c r="B23" s="4466"/>
      <c r="C23" s="4467"/>
      <c r="D23" s="2348"/>
      <c r="E23" s="2348"/>
      <c r="F23" s="2348"/>
      <c r="G23" s="2349"/>
      <c r="H23" s="2350"/>
      <c r="I23" s="2351">
        <f>ROUND(E23*D23*F23*(1-G23)/10000,0)</f>
        <v>0</v>
      </c>
    </row>
    <row r="26" spans="1:9">
      <c r="A26" s="2352" t="s">
        <v>2469</v>
      </c>
      <c r="B26" s="2352"/>
      <c r="C26" s="2352"/>
      <c r="D26" s="2352"/>
      <c r="E26" s="4455">
        <f>C27-C30-C31-C32</f>
        <v>0</v>
      </c>
      <c r="F26" s="4455"/>
      <c r="G26" s="4455"/>
      <c r="H26" s="2722" t="s">
        <v>2792</v>
      </c>
    </row>
    <row r="27" spans="1:9">
      <c r="A27" s="2353">
        <v>1</v>
      </c>
      <c r="B27" s="2354" t="s">
        <v>2470</v>
      </c>
      <c r="C27" s="2354"/>
      <c r="D27" s="2354"/>
      <c r="E27" s="4456"/>
      <c r="F27" s="4456"/>
      <c r="G27" s="4456"/>
    </row>
    <row r="28" spans="1:9">
      <c r="A28" s="2355" t="s">
        <v>2471</v>
      </c>
      <c r="B28" s="2354" t="s">
        <v>2472</v>
      </c>
      <c r="C28" s="2354"/>
      <c r="D28" s="2354"/>
      <c r="E28" s="4456"/>
      <c r="F28" s="4456"/>
      <c r="G28" s="4456"/>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4457"/>
      <c r="F32" s="4457"/>
      <c r="G32" s="4457"/>
    </row>
    <row r="33" spans="1:7" hidden="1">
      <c r="A33" s="4452" t="s">
        <v>2480</v>
      </c>
      <c r="B33" s="4453"/>
      <c r="C33" s="4453"/>
      <c r="D33" s="4454"/>
      <c r="E33" s="4455"/>
      <c r="F33" s="4455"/>
      <c r="G33" s="4455"/>
    </row>
    <row r="34" spans="1:7" hidden="1">
      <c r="A34" s="2357">
        <v>1</v>
      </c>
      <c r="B34" s="2354" t="s">
        <v>2481</v>
      </c>
      <c r="C34" s="2354"/>
      <c r="D34" s="2354"/>
      <c r="E34" s="4456"/>
      <c r="F34" s="4456"/>
      <c r="G34" s="4456"/>
    </row>
    <row r="35" spans="1:7" hidden="1">
      <c r="A35" s="2357">
        <v>2</v>
      </c>
      <c r="B35" s="2354" t="s">
        <v>2482</v>
      </c>
      <c r="C35" s="2354"/>
      <c r="D35" s="2354"/>
      <c r="E35" s="4456"/>
      <c r="F35" s="4456"/>
      <c r="G35" s="4456"/>
    </row>
    <row r="36" spans="1:7" hidden="1">
      <c r="A36" s="2357">
        <v>3</v>
      </c>
      <c r="B36" s="2354" t="s">
        <v>2483</v>
      </c>
      <c r="C36" s="2354"/>
      <c r="D36" s="2354"/>
      <c r="E36" s="4456"/>
      <c r="F36" s="4456"/>
      <c r="G36" s="4456"/>
    </row>
    <row r="37" spans="1:7" hidden="1">
      <c r="A37" s="2357">
        <v>4</v>
      </c>
      <c r="B37" s="2354" t="s">
        <v>2484</v>
      </c>
      <c r="C37" s="2354"/>
      <c r="D37" s="2354"/>
      <c r="E37" s="4456"/>
      <c r="F37" s="4456"/>
      <c r="G37" s="4456"/>
    </row>
    <row r="38" spans="1:7" hidden="1">
      <c r="A38" s="4452" t="s">
        <v>2485</v>
      </c>
      <c r="B38" s="4453"/>
      <c r="C38" s="4453"/>
      <c r="D38" s="4454"/>
      <c r="E38" s="4455"/>
      <c r="F38" s="4455"/>
      <c r="G38" s="4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f ca="1">C23</f>
        <v>0</v>
      </c>
      <c r="C2" s="3233"/>
      <c r="D2" s="3233"/>
      <c r="E2" s="3233"/>
      <c r="F2" s="3233"/>
      <c r="G2" s="3233"/>
    </row>
    <row r="3" spans="1:25" s="1914" customFormat="1" ht="18" customHeight="1">
      <c r="A3" s="1305" t="s">
        <v>1660</v>
      </c>
      <c r="B3" s="419">
        <f ca="1">ROUND(B2*10000/'数据-汇总表'!E3,0)</f>
        <v>0</v>
      </c>
      <c r="C3" s="3233"/>
      <c r="D3" s="3233"/>
      <c r="E3" s="3233"/>
      <c r="F3" s="3233"/>
      <c r="G3" s="3233"/>
    </row>
    <row r="4" spans="1:25" s="1914" customFormat="1" ht="18" customHeight="1">
      <c r="A4" s="420" t="s">
        <v>462</v>
      </c>
      <c r="B4" s="421">
        <f ca="1">ROUND(B2*10000/'数据-汇总表'!D3,0)</f>
        <v>0</v>
      </c>
      <c r="C4" s="3186"/>
      <c r="D4" s="3233"/>
      <c r="E4" s="3233"/>
      <c r="F4" s="3233"/>
      <c r="G4" s="3233"/>
    </row>
    <row r="5" spans="1:25" s="1914" customFormat="1" ht="18" customHeight="1" thickBot="1">
      <c r="A5" s="423"/>
      <c r="B5" s="424">
        <f ca="1">ROUND(B2/('数据-汇总表'!D3/666.67),0)</f>
        <v>0</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0</v>
      </c>
      <c r="D7" s="722"/>
      <c r="E7" s="723"/>
      <c r="F7" s="723"/>
      <c r="G7" s="2303"/>
    </row>
    <row r="8" spans="1:25" s="2035" customFormat="1" ht="13.5" customHeight="1">
      <c r="A8" s="2294" t="s">
        <v>2395</v>
      </c>
      <c r="B8" s="2297" t="s">
        <v>2397</v>
      </c>
      <c r="C8" s="3236">
        <f t="shared" ref="C8:C9" si="0">ROUND(D8*E8/10000,0)</f>
        <v>0</v>
      </c>
      <c r="D8" s="3236">
        <v>0</v>
      </c>
      <c r="E8" s="3237">
        <v>0</v>
      </c>
      <c r="F8" s="723"/>
      <c r="G8" s="724"/>
    </row>
    <row r="9" spans="1:25" s="2035" customFormat="1" ht="13.5" customHeight="1">
      <c r="A9" s="2294" t="s">
        <v>2396</v>
      </c>
      <c r="B9" s="2297" t="s">
        <v>2398</v>
      </c>
      <c r="C9" s="3236">
        <f t="shared" si="0"/>
        <v>0</v>
      </c>
      <c r="D9" s="3236">
        <v>0</v>
      </c>
      <c r="E9" s="3237">
        <v>0</v>
      </c>
      <c r="F9" s="723"/>
      <c r="G9" s="724"/>
    </row>
    <row r="10" spans="1:25" s="2035" customFormat="1" ht="36">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0</v>
      </c>
      <c r="D12" s="3236">
        <f>'数据-汇总表'!E5</f>
        <v>0</v>
      </c>
      <c r="E12" s="3236">
        <f>'数据-取费表'!B27</f>
        <v>160</v>
      </c>
      <c r="F12" s="728"/>
      <c r="G12" s="731"/>
    </row>
    <row r="13" spans="1:25" s="2035" customFormat="1" ht="13.5" customHeight="1">
      <c r="A13" s="2300" t="s">
        <v>2402</v>
      </c>
      <c r="B13" s="729" t="s">
        <v>590</v>
      </c>
      <c r="C13" s="730">
        <f>ROUND(D13*E13/10000,0)</f>
        <v>179</v>
      </c>
      <c r="D13" s="3236">
        <f>'数据-汇总表'!E6</f>
        <v>8950.7250000000022</v>
      </c>
      <c r="E13" s="3236">
        <f>'数据-取费表'!B28</f>
        <v>200</v>
      </c>
      <c r="F13" s="728"/>
      <c r="G13" s="731"/>
    </row>
    <row r="14" spans="1:25" s="2035" customFormat="1" ht="13.5" customHeight="1">
      <c r="A14" s="2294" t="s">
        <v>2396</v>
      </c>
      <c r="B14" s="2299" t="s">
        <v>2399</v>
      </c>
      <c r="C14" s="3238">
        <f t="shared" ref="C14:C15" si="1">ROUND(D14*E14/10000,0)</f>
        <v>0</v>
      </c>
      <c r="D14" s="3236">
        <v>0</v>
      </c>
      <c r="E14" s="3237">
        <v>0</v>
      </c>
      <c r="F14" s="2298"/>
      <c r="G14" s="2301" t="s">
        <v>2404</v>
      </c>
    </row>
    <row r="15" spans="1:25" s="2035" customFormat="1" ht="13.5" customHeight="1">
      <c r="A15" s="2294" t="s">
        <v>2401</v>
      </c>
      <c r="B15" s="2299" t="s">
        <v>2400</v>
      </c>
      <c r="C15" s="3238">
        <f t="shared" si="1"/>
        <v>0</v>
      </c>
      <c r="D15" s="3236">
        <v>0</v>
      </c>
      <c r="E15" s="3237">
        <v>0</v>
      </c>
      <c r="F15" s="2298"/>
      <c r="G15" s="2301" t="s">
        <v>2405</v>
      </c>
    </row>
    <row r="16" spans="1:25" s="2036" customFormat="1" ht="48">
      <c r="A16" s="2294">
        <v>3</v>
      </c>
      <c r="B16" s="721" t="s">
        <v>593</v>
      </c>
      <c r="C16" s="3238">
        <f t="shared" ref="C16" si="2">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0</v>
      </c>
      <c r="D22" s="732"/>
      <c r="E22" s="722"/>
      <c r="F22" s="738">
        <f>'数据-取费表'!AP16</f>
        <v>0.878</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L20" sqref="L20"/>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4307" t="s">
        <v>500</v>
      </c>
      <c r="D4" s="4308"/>
      <c r="E4" s="4332" t="s">
        <v>501</v>
      </c>
      <c r="F4" s="4333"/>
      <c r="G4" s="4307" t="s">
        <v>502</v>
      </c>
      <c r="H4" s="4308"/>
      <c r="I4" s="4307" t="s">
        <v>503</v>
      </c>
      <c r="J4" s="4308"/>
      <c r="K4" s="824" t="s">
        <v>504</v>
      </c>
      <c r="L4" s="1986"/>
      <c r="M4" s="1987"/>
      <c r="N4" s="1987"/>
      <c r="O4" s="1987"/>
      <c r="P4" s="4309" t="s">
        <v>505</v>
      </c>
      <c r="Q4" s="4310"/>
      <c r="R4" s="4295" t="s">
        <v>501</v>
      </c>
      <c r="S4" s="4296"/>
      <c r="T4" s="4295" t="s">
        <v>502</v>
      </c>
      <c r="U4" s="4296"/>
      <c r="V4" s="4315" t="s">
        <v>503</v>
      </c>
      <c r="W4" s="4315"/>
      <c r="X4" s="1476"/>
      <c r="Y4" s="4295" t="s">
        <v>505</v>
      </c>
      <c r="Z4" s="4296"/>
      <c r="AA4" s="4290" t="s">
        <v>501</v>
      </c>
      <c r="AB4" s="4290" t="s">
        <v>502</v>
      </c>
      <c r="AC4" s="4290" t="s">
        <v>503</v>
      </c>
    </row>
    <row r="5" spans="1:29" ht="15">
      <c r="A5" s="491"/>
      <c r="B5" s="492"/>
      <c r="C5" s="4318" t="s">
        <v>2867</v>
      </c>
      <c r="D5" s="4319"/>
      <c r="E5" s="4334" t="s">
        <v>2868</v>
      </c>
      <c r="F5" s="4335"/>
      <c r="G5" s="4318" t="s">
        <v>2869</v>
      </c>
      <c r="H5" s="4319"/>
      <c r="I5" s="4318" t="s">
        <v>2870</v>
      </c>
      <c r="J5" s="4319"/>
      <c r="K5" s="825"/>
      <c r="L5" s="1986"/>
      <c r="M5" s="1987"/>
      <c r="N5" s="1987"/>
      <c r="O5" s="1987"/>
      <c r="P5" s="4311"/>
      <c r="Q5" s="4312"/>
      <c r="R5" s="4297"/>
      <c r="S5" s="4298"/>
      <c r="T5" s="4297"/>
      <c r="U5" s="4298"/>
      <c r="V5" s="4315"/>
      <c r="W5" s="4315"/>
      <c r="X5" s="1476"/>
      <c r="Y5" s="4297"/>
      <c r="Z5" s="4298"/>
      <c r="AA5" s="4291"/>
      <c r="AB5" s="4291"/>
      <c r="AC5" s="4291"/>
    </row>
    <row r="6" spans="1:29" ht="15.75" thickBot="1">
      <c r="A6" s="493"/>
      <c r="B6" s="494"/>
      <c r="C6" s="4316" t="s">
        <v>2871</v>
      </c>
      <c r="D6" s="4317"/>
      <c r="E6" s="4336" t="s">
        <v>2871</v>
      </c>
      <c r="F6" s="4337"/>
      <c r="G6" s="4316" t="s">
        <v>2871</v>
      </c>
      <c r="H6" s="4317"/>
      <c r="I6" s="4316" t="s">
        <v>2871</v>
      </c>
      <c r="J6" s="4317"/>
      <c r="K6" s="825" t="s">
        <v>506</v>
      </c>
      <c r="L6" s="1986"/>
      <c r="M6" s="1987"/>
      <c r="N6" s="1987"/>
      <c r="O6" s="1987"/>
      <c r="P6" s="4313"/>
      <c r="Q6" s="4314"/>
      <c r="R6" s="4297"/>
      <c r="S6" s="4298"/>
      <c r="T6" s="4299"/>
      <c r="U6" s="4300"/>
      <c r="V6" s="4315"/>
      <c r="W6" s="4315"/>
      <c r="X6" s="1476"/>
      <c r="Y6" s="4299"/>
      <c r="Z6" s="4300"/>
      <c r="AA6" s="4292"/>
      <c r="AB6" s="4292"/>
      <c r="AC6" s="4292"/>
    </row>
    <row r="7" spans="1:29" s="1185" customFormat="1" ht="15.75" thickBot="1">
      <c r="A7" s="2597"/>
      <c r="B7" s="2604" t="s">
        <v>507</v>
      </c>
      <c r="C7" s="495">
        <f>'数据-取费表'!B2</f>
        <v>44550</v>
      </c>
      <c r="D7" s="496">
        <v>100</v>
      </c>
      <c r="E7" s="497"/>
      <c r="F7" s="498">
        <f>SUMIF(58:58,YEAR(E7)&amp;"-"&amp;MONTH(E7),59:59)</f>
        <v>0</v>
      </c>
      <c r="G7" s="499"/>
      <c r="H7" s="496">
        <f>SUMIF(58:58,YEAR(G7)&amp;"-"&amp;MONTH(G7),59:59)</f>
        <v>0</v>
      </c>
      <c r="I7" s="499"/>
      <c r="J7" s="496">
        <f>SUMIF(58:58,YEAR(I7)&amp;"-"&amp;MONTH(I7),59:59)</f>
        <v>0</v>
      </c>
      <c r="K7" s="826"/>
      <c r="L7" s="1988"/>
      <c r="M7" s="1989"/>
      <c r="N7" s="1989"/>
      <c r="O7" s="1989"/>
      <c r="P7" s="4293" t="s">
        <v>508</v>
      </c>
      <c r="Q7" s="4302"/>
      <c r="R7" s="1477" t="s">
        <v>13</v>
      </c>
      <c r="S7" s="1478">
        <f t="shared" ref="S7:S15" si="0">F7</f>
        <v>0</v>
      </c>
      <c r="T7" s="1477" t="s">
        <v>13</v>
      </c>
      <c r="U7" s="1478">
        <f t="shared" ref="U7:U15" si="1">H7</f>
        <v>0</v>
      </c>
      <c r="V7" s="1477" t="s">
        <v>13</v>
      </c>
      <c r="W7" s="1478">
        <f t="shared" ref="W7:W15" si="2">J7</f>
        <v>0</v>
      </c>
      <c r="X7" s="1479"/>
      <c r="Y7" s="4293" t="s">
        <v>508</v>
      </c>
      <c r="Z7" s="4294"/>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4293" t="s">
        <v>511</v>
      </c>
      <c r="Q8" s="4294"/>
      <c r="R8" s="1477" t="s">
        <v>13</v>
      </c>
      <c r="S8" s="1478">
        <f t="shared" si="0"/>
        <v>0</v>
      </c>
      <c r="T8" s="1477" t="s">
        <v>13</v>
      </c>
      <c r="U8" s="1478">
        <f t="shared" si="1"/>
        <v>0</v>
      </c>
      <c r="V8" s="1477" t="s">
        <v>13</v>
      </c>
      <c r="W8" s="1478">
        <f t="shared" si="2"/>
        <v>0</v>
      </c>
      <c r="X8" s="1479"/>
      <c r="Y8" s="4293" t="s">
        <v>511</v>
      </c>
      <c r="Z8" s="4294"/>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4301" t="s">
        <v>513</v>
      </c>
      <c r="Q9" s="1116" t="str">
        <f t="shared" ref="Q9:Q15" si="6">B9</f>
        <v>用途</v>
      </c>
      <c r="R9" s="1477" t="s">
        <v>8</v>
      </c>
      <c r="S9" s="1478">
        <f t="shared" si="0"/>
        <v>100</v>
      </c>
      <c r="T9" s="1477" t="s">
        <v>8</v>
      </c>
      <c r="U9" s="1478">
        <f t="shared" si="1"/>
        <v>100</v>
      </c>
      <c r="V9" s="1477" t="s">
        <v>8</v>
      </c>
      <c r="W9" s="1478">
        <f t="shared" si="2"/>
        <v>100</v>
      </c>
      <c r="X9" s="1479"/>
      <c r="Y9" s="424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4301"/>
      <c r="Q10" s="1116" t="str">
        <f t="shared" si="6"/>
        <v>土地使用年限（年）</v>
      </c>
      <c r="R10" s="1477" t="s">
        <v>8</v>
      </c>
      <c r="S10" s="1478">
        <f t="shared" si="0"/>
        <v>100</v>
      </c>
      <c r="T10" s="1477" t="s">
        <v>8</v>
      </c>
      <c r="U10" s="1478">
        <f t="shared" si="1"/>
        <v>100</v>
      </c>
      <c r="V10" s="1477" t="s">
        <v>8</v>
      </c>
      <c r="W10" s="1478">
        <f t="shared" si="2"/>
        <v>100</v>
      </c>
      <c r="X10" s="1479"/>
      <c r="Y10" s="4248"/>
      <c r="Z10" s="1115" t="str">
        <f t="shared" si="7"/>
        <v>土地使用年限（年）</v>
      </c>
      <c r="AA10" s="1480">
        <f t="shared" si="3"/>
        <v>1</v>
      </c>
      <c r="AB10" s="1480">
        <f t="shared" si="4"/>
        <v>1</v>
      </c>
      <c r="AC10" s="1480">
        <f t="shared" si="5"/>
        <v>1</v>
      </c>
    </row>
    <row r="11" spans="1:29" ht="1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4301"/>
      <c r="Q11" s="1116" t="str">
        <f t="shared" si="6"/>
        <v>容积率</v>
      </c>
      <c r="R11" s="1477" t="s">
        <v>11</v>
      </c>
      <c r="S11" s="1478" t="e">
        <f t="shared" si="0"/>
        <v>#N/A</v>
      </c>
      <c r="T11" s="1477" t="s">
        <v>11</v>
      </c>
      <c r="U11" s="1478" t="e">
        <f t="shared" si="1"/>
        <v>#N/A</v>
      </c>
      <c r="V11" s="1477" t="s">
        <v>11</v>
      </c>
      <c r="W11" s="1478" t="e">
        <f t="shared" si="2"/>
        <v>#N/A</v>
      </c>
      <c r="X11" s="1479"/>
      <c r="Y11" s="424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4301"/>
      <c r="Q12" s="1116">
        <f t="shared" si="6"/>
        <v>111</v>
      </c>
      <c r="R12" s="1477" t="s">
        <v>11</v>
      </c>
      <c r="S12" s="1478">
        <f t="shared" si="0"/>
        <v>100</v>
      </c>
      <c r="T12" s="1477" t="s">
        <v>11</v>
      </c>
      <c r="U12" s="1478">
        <f t="shared" si="1"/>
        <v>100</v>
      </c>
      <c r="V12" s="1477" t="s">
        <v>11</v>
      </c>
      <c r="W12" s="1478">
        <f t="shared" si="2"/>
        <v>100</v>
      </c>
      <c r="X12" s="1479"/>
      <c r="Y12" s="4248"/>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4301"/>
      <c r="Q13" s="1116">
        <f t="shared" si="6"/>
        <v>111</v>
      </c>
      <c r="R13" s="1477" t="s">
        <v>11</v>
      </c>
      <c r="S13" s="1478">
        <f t="shared" si="0"/>
        <v>100</v>
      </c>
      <c r="T13" s="1477" t="s">
        <v>11</v>
      </c>
      <c r="U13" s="1478">
        <f t="shared" si="1"/>
        <v>100</v>
      </c>
      <c r="V13" s="1477" t="s">
        <v>11</v>
      </c>
      <c r="W13" s="1478">
        <f t="shared" si="2"/>
        <v>100</v>
      </c>
      <c r="X13" s="1479"/>
      <c r="Y13" s="4248"/>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4301"/>
      <c r="Q14" s="1116">
        <f t="shared" si="6"/>
        <v>111</v>
      </c>
      <c r="R14" s="1477" t="s">
        <v>11</v>
      </c>
      <c r="S14" s="1478">
        <f t="shared" si="0"/>
        <v>100</v>
      </c>
      <c r="T14" s="1477" t="s">
        <v>11</v>
      </c>
      <c r="U14" s="1478">
        <f t="shared" si="1"/>
        <v>100</v>
      </c>
      <c r="V14" s="1477" t="s">
        <v>11</v>
      </c>
      <c r="W14" s="1478">
        <f t="shared" si="2"/>
        <v>100</v>
      </c>
      <c r="X14" s="1479"/>
      <c r="Y14" s="4248"/>
      <c r="Z14" s="1115">
        <f t="shared" si="7"/>
        <v>111</v>
      </c>
      <c r="AA14" s="1480">
        <f t="shared" si="3"/>
        <v>1</v>
      </c>
      <c r="AB14" s="1480">
        <f t="shared" si="4"/>
        <v>1</v>
      </c>
      <c r="AC14" s="1480">
        <f t="shared" si="5"/>
        <v>1</v>
      </c>
    </row>
    <row r="15" spans="1:29" ht="99.7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4303" t="s">
        <v>518</v>
      </c>
      <c r="Q15" s="1481" t="str">
        <f t="shared" si="6"/>
        <v>居住社区成熟度</v>
      </c>
      <c r="R15" s="1482" t="s">
        <v>11</v>
      </c>
      <c r="S15" s="1483">
        <f t="shared" si="0"/>
        <v>100</v>
      </c>
      <c r="T15" s="1482" t="s">
        <v>11</v>
      </c>
      <c r="U15" s="1483">
        <f t="shared" si="1"/>
        <v>100</v>
      </c>
      <c r="V15" s="1482" t="s">
        <v>11</v>
      </c>
      <c r="W15" s="1483">
        <f t="shared" si="2"/>
        <v>100</v>
      </c>
      <c r="X15" s="1476"/>
      <c r="Y15" s="4303"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4304"/>
      <c r="Q16" s="1481"/>
      <c r="R16" s="1482"/>
      <c r="S16" s="1483"/>
      <c r="T16" s="1482"/>
      <c r="U16" s="1483"/>
      <c r="V16" s="1482"/>
      <c r="W16" s="1483"/>
      <c r="X16" s="1476"/>
      <c r="Y16" s="4304"/>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4304"/>
      <c r="Q17" s="1481" t="str">
        <f>B17</f>
        <v>交通便捷度</v>
      </c>
      <c r="R17" s="1482" t="s">
        <v>11</v>
      </c>
      <c r="S17" s="1483">
        <f>F17</f>
        <v>100</v>
      </c>
      <c r="T17" s="1482" t="s">
        <v>11</v>
      </c>
      <c r="U17" s="1483">
        <f>H17</f>
        <v>100</v>
      </c>
      <c r="V17" s="1482" t="s">
        <v>11</v>
      </c>
      <c r="W17" s="1483">
        <f>J17</f>
        <v>100</v>
      </c>
      <c r="X17" s="1476"/>
      <c r="Y17" s="4304"/>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4304"/>
      <c r="Q18" s="1481"/>
      <c r="R18" s="1482"/>
      <c r="S18" s="1483"/>
      <c r="T18" s="1482"/>
      <c r="U18" s="1483"/>
      <c r="V18" s="1482"/>
      <c r="W18" s="1483"/>
      <c r="X18" s="1476"/>
      <c r="Y18" s="4304"/>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4304"/>
      <c r="Q19" s="1481" t="str">
        <f>B19</f>
        <v>公共配套设施</v>
      </c>
      <c r="R19" s="1482" t="s">
        <v>11</v>
      </c>
      <c r="S19" s="1483">
        <f>F19</f>
        <v>100</v>
      </c>
      <c r="T19" s="1482" t="s">
        <v>11</v>
      </c>
      <c r="U19" s="1483">
        <f>H19</f>
        <v>100</v>
      </c>
      <c r="V19" s="1482" t="s">
        <v>11</v>
      </c>
      <c r="W19" s="1483">
        <f>J19</f>
        <v>100</v>
      </c>
      <c r="X19" s="1476"/>
      <c r="Y19" s="4304"/>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4304"/>
      <c r="Q20" s="1481"/>
      <c r="R20" s="1482"/>
      <c r="S20" s="1483"/>
      <c r="T20" s="1482"/>
      <c r="U20" s="1483"/>
      <c r="V20" s="1482"/>
      <c r="W20" s="1483"/>
      <c r="X20" s="1476"/>
      <c r="Y20" s="4304"/>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4304"/>
      <c r="Q21" s="2397" t="str">
        <f>B21</f>
        <v>基础设施水平</v>
      </c>
      <c r="R21" s="1482" t="s">
        <v>11</v>
      </c>
      <c r="S21" s="1483">
        <f>F21</f>
        <v>100</v>
      </c>
      <c r="T21" s="1482" t="s">
        <v>11</v>
      </c>
      <c r="U21" s="1483">
        <f>H21</f>
        <v>100</v>
      </c>
      <c r="V21" s="1482" t="s">
        <v>11</v>
      </c>
      <c r="W21" s="1483">
        <f>J21</f>
        <v>100</v>
      </c>
      <c r="X21" s="2399"/>
      <c r="Y21" s="4304"/>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4304"/>
      <c r="Q22" s="2397"/>
      <c r="R22" s="1482"/>
      <c r="S22" s="1483"/>
      <c r="T22" s="1482"/>
      <c r="U22" s="1483"/>
      <c r="V22" s="1482"/>
      <c r="W22" s="1483"/>
      <c r="X22" s="2399"/>
      <c r="Y22" s="4304"/>
      <c r="Z22" s="2398"/>
      <c r="AA22" s="1485">
        <v>1</v>
      </c>
      <c r="AB22" s="1485">
        <v>1</v>
      </c>
      <c r="AC22" s="148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4304"/>
      <c r="Q23" s="1481" t="str">
        <f>B23</f>
        <v>自然及人文环境</v>
      </c>
      <c r="R23" s="1482" t="s">
        <v>11</v>
      </c>
      <c r="S23" s="1483">
        <f>F23</f>
        <v>100</v>
      </c>
      <c r="T23" s="1482" t="s">
        <v>11</v>
      </c>
      <c r="U23" s="1483">
        <f>H23</f>
        <v>100</v>
      </c>
      <c r="V23" s="1482" t="s">
        <v>11</v>
      </c>
      <c r="W23" s="1483">
        <f>J23</f>
        <v>100</v>
      </c>
      <c r="X23" s="1476"/>
      <c r="Y23" s="4304"/>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4304"/>
      <c r="Q24" s="1481"/>
      <c r="R24" s="1482"/>
      <c r="S24" s="1483"/>
      <c r="T24" s="1482"/>
      <c r="U24" s="1483"/>
      <c r="V24" s="1482"/>
      <c r="W24" s="1483"/>
      <c r="X24" s="1476"/>
      <c r="Y24" s="4304"/>
      <c r="Z24" s="1484"/>
      <c r="AA24" s="1485">
        <v>1</v>
      </c>
      <c r="AB24" s="1485">
        <v>1</v>
      </c>
      <c r="AC24" s="1485">
        <v>1</v>
      </c>
    </row>
    <row r="25" spans="1:29" ht="1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4304"/>
      <c r="Q25" s="1481" t="str">
        <f t="shared" ref="Q25:Q46" si="11">B25</f>
        <v>楼层-1</v>
      </c>
      <c r="R25" s="1482" t="s">
        <v>11</v>
      </c>
      <c r="S25" s="1483">
        <f>F25</f>
        <v>100</v>
      </c>
      <c r="T25" s="1482" t="s">
        <v>11</v>
      </c>
      <c r="U25" s="1483">
        <f>H25</f>
        <v>100</v>
      </c>
      <c r="V25" s="1482" t="s">
        <v>11</v>
      </c>
      <c r="W25" s="1483">
        <f>J25</f>
        <v>100</v>
      </c>
      <c r="X25" s="1476"/>
      <c r="Y25" s="4304"/>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4304"/>
      <c r="Q26" s="1481" t="str">
        <f t="shared" si="11"/>
        <v>朝向</v>
      </c>
      <c r="R26" s="1482" t="s">
        <v>11</v>
      </c>
      <c r="S26" s="1483">
        <f>F26</f>
        <v>100</v>
      </c>
      <c r="T26" s="1482" t="s">
        <v>11</v>
      </c>
      <c r="U26" s="1483">
        <f>H26</f>
        <v>100</v>
      </c>
      <c r="V26" s="1482" t="s">
        <v>11</v>
      </c>
      <c r="W26" s="1483">
        <f>J26</f>
        <v>100</v>
      </c>
      <c r="X26" s="1476"/>
      <c r="Y26" s="4304"/>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4304"/>
      <c r="Q27" s="1116" t="str">
        <f t="shared" si="11"/>
        <v>道路级别</v>
      </c>
      <c r="R27" s="1477" t="s">
        <v>11</v>
      </c>
      <c r="S27" s="1478">
        <f>F27</f>
        <v>100</v>
      </c>
      <c r="T27" s="1477" t="s">
        <v>11</v>
      </c>
      <c r="U27" s="1478">
        <f>H27</f>
        <v>100</v>
      </c>
      <c r="V27" s="1477" t="s">
        <v>11</v>
      </c>
      <c r="W27" s="1478">
        <f>J27</f>
        <v>100</v>
      </c>
      <c r="X27" s="1479"/>
      <c r="Y27" s="4304"/>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4304"/>
      <c r="Q28" s="1481">
        <f t="shared" si="11"/>
        <v>111</v>
      </c>
      <c r="R28" s="1482" t="s">
        <v>11</v>
      </c>
      <c r="S28" s="1483">
        <f t="shared" ref="S28:S46" si="12">F28</f>
        <v>100</v>
      </c>
      <c r="T28" s="1482" t="s">
        <v>11</v>
      </c>
      <c r="U28" s="1483">
        <f t="shared" ref="U28:U46" si="13">H28</f>
        <v>100</v>
      </c>
      <c r="V28" s="1482" t="s">
        <v>11</v>
      </c>
      <c r="W28" s="1483">
        <f t="shared" ref="W28:W46" si="14">J28</f>
        <v>100</v>
      </c>
      <c r="X28" s="1476"/>
      <c r="Y28" s="4304"/>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4304"/>
      <c r="Q29" s="1481">
        <f t="shared" si="11"/>
        <v>111</v>
      </c>
      <c r="R29" s="1482" t="s">
        <v>11</v>
      </c>
      <c r="S29" s="1483">
        <f t="shared" si="12"/>
        <v>100</v>
      </c>
      <c r="T29" s="1482" t="s">
        <v>11</v>
      </c>
      <c r="U29" s="1483">
        <f t="shared" si="13"/>
        <v>100</v>
      </c>
      <c r="V29" s="1482" t="s">
        <v>11</v>
      </c>
      <c r="W29" s="1483">
        <f t="shared" si="14"/>
        <v>100</v>
      </c>
      <c r="X29" s="1476"/>
      <c r="Y29" s="4304"/>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4304"/>
      <c r="Q30" s="1481">
        <f t="shared" si="11"/>
        <v>111</v>
      </c>
      <c r="R30" s="1482" t="s">
        <v>11</v>
      </c>
      <c r="S30" s="1483">
        <f t="shared" si="12"/>
        <v>100</v>
      </c>
      <c r="T30" s="1482" t="s">
        <v>11</v>
      </c>
      <c r="U30" s="1483">
        <f t="shared" si="13"/>
        <v>100</v>
      </c>
      <c r="V30" s="1482" t="s">
        <v>11</v>
      </c>
      <c r="W30" s="1483">
        <f t="shared" si="14"/>
        <v>100</v>
      </c>
      <c r="X30" s="1476"/>
      <c r="Y30" s="4304"/>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4304"/>
      <c r="Q31" s="1481">
        <f t="shared" si="11"/>
        <v>111</v>
      </c>
      <c r="R31" s="1482" t="s">
        <v>11</v>
      </c>
      <c r="S31" s="1483">
        <f t="shared" si="12"/>
        <v>100</v>
      </c>
      <c r="T31" s="1482" t="s">
        <v>11</v>
      </c>
      <c r="U31" s="1483">
        <f t="shared" si="13"/>
        <v>100</v>
      </c>
      <c r="V31" s="1482" t="s">
        <v>11</v>
      </c>
      <c r="W31" s="1483">
        <f t="shared" si="14"/>
        <v>100</v>
      </c>
      <c r="X31" s="1476"/>
      <c r="Y31" s="4304"/>
      <c r="Z31" s="1484">
        <f t="shared" si="15"/>
        <v>111</v>
      </c>
      <c r="AA31" s="1485">
        <f t="shared" si="3"/>
        <v>1</v>
      </c>
      <c r="AB31" s="1485">
        <f t="shared" si="4"/>
        <v>1</v>
      </c>
      <c r="AC31" s="1485">
        <f t="shared" si="5"/>
        <v>1</v>
      </c>
    </row>
    <row r="32" spans="1:29" ht="1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4305" t="s">
        <v>528</v>
      </c>
      <c r="Q32" s="1481" t="str">
        <f t="shared" si="11"/>
        <v>建筑类型</v>
      </c>
      <c r="R32" s="1482" t="s">
        <v>11</v>
      </c>
      <c r="S32" s="1483">
        <f t="shared" si="12"/>
        <v>100</v>
      </c>
      <c r="T32" s="1482" t="s">
        <v>11</v>
      </c>
      <c r="U32" s="1483">
        <f t="shared" si="13"/>
        <v>100</v>
      </c>
      <c r="V32" s="1482" t="s">
        <v>11</v>
      </c>
      <c r="W32" s="1483">
        <f t="shared" si="14"/>
        <v>100</v>
      </c>
      <c r="X32" s="1476"/>
      <c r="Y32" s="4306"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4306"/>
      <c r="Q33" s="1510" t="str">
        <f t="shared" si="11"/>
        <v>项目建筑规模</v>
      </c>
      <c r="R33" s="1486" t="s">
        <v>11</v>
      </c>
      <c r="S33" s="1487" t="e">
        <f t="shared" si="12"/>
        <v>#N/A</v>
      </c>
      <c r="T33" s="1486" t="s">
        <v>11</v>
      </c>
      <c r="U33" s="1487" t="e">
        <f t="shared" si="13"/>
        <v>#N/A</v>
      </c>
      <c r="V33" s="1486" t="s">
        <v>11</v>
      </c>
      <c r="W33" s="1487" t="e">
        <f t="shared" si="14"/>
        <v>#N/A</v>
      </c>
      <c r="X33" s="1488"/>
      <c r="Y33" s="4306"/>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4306"/>
      <c r="Q34" s="1481" t="str">
        <f t="shared" si="11"/>
        <v>建筑结构</v>
      </c>
      <c r="R34" s="1482" t="s">
        <v>11</v>
      </c>
      <c r="S34" s="1483">
        <f t="shared" si="12"/>
        <v>100</v>
      </c>
      <c r="T34" s="1482" t="s">
        <v>11</v>
      </c>
      <c r="U34" s="1483">
        <f t="shared" si="13"/>
        <v>100</v>
      </c>
      <c r="V34" s="1482" t="s">
        <v>11</v>
      </c>
      <c r="W34" s="1483">
        <f t="shared" si="14"/>
        <v>100</v>
      </c>
      <c r="X34" s="1476"/>
      <c r="Y34" s="4306"/>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4306"/>
      <c r="Q35" s="1481" t="str">
        <f t="shared" si="11"/>
        <v>建筑品质</v>
      </c>
      <c r="R35" s="1482" t="s">
        <v>11</v>
      </c>
      <c r="S35" s="1483">
        <f t="shared" si="12"/>
        <v>100</v>
      </c>
      <c r="T35" s="1482" t="s">
        <v>11</v>
      </c>
      <c r="U35" s="1483">
        <f t="shared" si="13"/>
        <v>100</v>
      </c>
      <c r="V35" s="1482" t="s">
        <v>11</v>
      </c>
      <c r="W35" s="1483">
        <f t="shared" si="14"/>
        <v>100</v>
      </c>
      <c r="X35" s="1476"/>
      <c r="Y35" s="4306"/>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4306"/>
      <c r="Q36" s="1481" t="str">
        <f t="shared" si="11"/>
        <v>公共部分装修</v>
      </c>
      <c r="R36" s="1482" t="s">
        <v>11</v>
      </c>
      <c r="S36" s="1483">
        <f t="shared" si="12"/>
        <v>100</v>
      </c>
      <c r="T36" s="1482" t="s">
        <v>11</v>
      </c>
      <c r="U36" s="1483">
        <f t="shared" si="13"/>
        <v>100</v>
      </c>
      <c r="V36" s="1482" t="s">
        <v>11</v>
      </c>
      <c r="W36" s="1483">
        <f t="shared" si="14"/>
        <v>100</v>
      </c>
      <c r="X36" s="1476"/>
      <c r="Y36" s="4306"/>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4306"/>
      <c r="Q37" s="1116" t="str">
        <f t="shared" si="11"/>
        <v>成新度</v>
      </c>
      <c r="R37" s="1477" t="s">
        <v>11</v>
      </c>
      <c r="S37" s="1478" t="e">
        <f t="shared" si="12"/>
        <v>#N/A</v>
      </c>
      <c r="T37" s="1477" t="s">
        <v>11</v>
      </c>
      <c r="U37" s="1478" t="e">
        <f t="shared" si="13"/>
        <v>#N/A</v>
      </c>
      <c r="V37" s="1477" t="s">
        <v>11</v>
      </c>
      <c r="W37" s="1478" t="e">
        <f t="shared" si="14"/>
        <v>#N/A</v>
      </c>
      <c r="X37" s="1479"/>
      <c r="Y37" s="4306"/>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4306" t="s">
        <v>528</v>
      </c>
      <c r="Q38" s="1481" t="str">
        <f t="shared" si="11"/>
        <v>物业管理</v>
      </c>
      <c r="R38" s="1482" t="s">
        <v>11</v>
      </c>
      <c r="S38" s="1483">
        <f t="shared" si="12"/>
        <v>100</v>
      </c>
      <c r="T38" s="1482" t="s">
        <v>11</v>
      </c>
      <c r="U38" s="1483">
        <f t="shared" si="13"/>
        <v>100</v>
      </c>
      <c r="V38" s="1482" t="s">
        <v>11</v>
      </c>
      <c r="W38" s="1483">
        <f t="shared" si="14"/>
        <v>100</v>
      </c>
      <c r="X38" s="1476"/>
      <c r="Y38" s="4306" t="s">
        <v>528</v>
      </c>
      <c r="Z38" s="1484" t="str">
        <f t="shared" si="15"/>
        <v>物业管理</v>
      </c>
      <c r="AA38" s="1485">
        <f t="shared" si="3"/>
        <v>1</v>
      </c>
      <c r="AB38" s="1485">
        <f t="shared" si="4"/>
        <v>1</v>
      </c>
      <c r="AC38" s="1485">
        <f t="shared" si="5"/>
        <v>1</v>
      </c>
    </row>
    <row r="39" spans="1:29" ht="1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4306"/>
      <c r="Q39" s="1481" t="str">
        <f t="shared" si="11"/>
        <v>市政基础设施</v>
      </c>
      <c r="R39" s="1482" t="s">
        <v>11</v>
      </c>
      <c r="S39" s="1483">
        <f t="shared" si="12"/>
        <v>100</v>
      </c>
      <c r="T39" s="1482" t="s">
        <v>11</v>
      </c>
      <c r="U39" s="1483">
        <f t="shared" si="13"/>
        <v>100</v>
      </c>
      <c r="V39" s="1482" t="s">
        <v>11</v>
      </c>
      <c r="W39" s="1483">
        <f t="shared" si="14"/>
        <v>100</v>
      </c>
      <c r="X39" s="1476"/>
      <c r="Y39" s="4306"/>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4306"/>
      <c r="Q40" s="1481" t="str">
        <f t="shared" si="11"/>
        <v>房型</v>
      </c>
      <c r="R40" s="1482" t="s">
        <v>11</v>
      </c>
      <c r="S40" s="1483">
        <f t="shared" si="12"/>
        <v>100</v>
      </c>
      <c r="T40" s="1482" t="s">
        <v>11</v>
      </c>
      <c r="U40" s="1483">
        <f t="shared" si="13"/>
        <v>100</v>
      </c>
      <c r="V40" s="1482" t="s">
        <v>11</v>
      </c>
      <c r="W40" s="1483">
        <f t="shared" si="14"/>
        <v>100</v>
      </c>
      <c r="X40" s="1476"/>
      <c r="Y40" s="4306"/>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4306"/>
      <c r="Q41" s="1510" t="str">
        <f t="shared" si="11"/>
        <v>单套/主力户型建筑面积</v>
      </c>
      <c r="R41" s="1486" t="s">
        <v>11</v>
      </c>
      <c r="S41" s="1487">
        <f t="shared" si="12"/>
        <v>100</v>
      </c>
      <c r="T41" s="1486" t="s">
        <v>11</v>
      </c>
      <c r="U41" s="1487">
        <f t="shared" si="13"/>
        <v>100</v>
      </c>
      <c r="V41" s="1486" t="s">
        <v>11</v>
      </c>
      <c r="W41" s="1487">
        <f t="shared" si="14"/>
        <v>100</v>
      </c>
      <c r="X41" s="1488"/>
      <c r="Y41" s="4306"/>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4306"/>
      <c r="Q42" s="1481" t="str">
        <f t="shared" si="11"/>
        <v>内部装修</v>
      </c>
      <c r="R42" s="1482" t="s">
        <v>11</v>
      </c>
      <c r="S42" s="1483">
        <f t="shared" si="12"/>
        <v>100</v>
      </c>
      <c r="T42" s="1482" t="s">
        <v>11</v>
      </c>
      <c r="U42" s="1483">
        <f t="shared" si="13"/>
        <v>100</v>
      </c>
      <c r="V42" s="1482" t="s">
        <v>11</v>
      </c>
      <c r="W42" s="1483">
        <f t="shared" si="14"/>
        <v>100</v>
      </c>
      <c r="X42" s="1476"/>
      <c r="Y42" s="4306"/>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4306"/>
      <c r="Q43" s="1481" t="str">
        <f t="shared" si="11"/>
        <v>内部装修维护情况</v>
      </c>
      <c r="R43" s="1482" t="s">
        <v>11</v>
      </c>
      <c r="S43" s="1483">
        <f t="shared" si="12"/>
        <v>100</v>
      </c>
      <c r="T43" s="1482" t="s">
        <v>11</v>
      </c>
      <c r="U43" s="1483">
        <f t="shared" si="13"/>
        <v>100</v>
      </c>
      <c r="V43" s="1482" t="s">
        <v>11</v>
      </c>
      <c r="W43" s="1483">
        <f t="shared" si="14"/>
        <v>100</v>
      </c>
      <c r="X43" s="1476"/>
      <c r="Y43" s="4306"/>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4306"/>
      <c r="Q44" s="1116">
        <f t="shared" si="11"/>
        <v>111</v>
      </c>
      <c r="R44" s="1477" t="s">
        <v>11</v>
      </c>
      <c r="S44" s="1478">
        <f t="shared" si="12"/>
        <v>100</v>
      </c>
      <c r="T44" s="1477" t="s">
        <v>11</v>
      </c>
      <c r="U44" s="1478">
        <f t="shared" si="13"/>
        <v>100</v>
      </c>
      <c r="V44" s="1477" t="s">
        <v>11</v>
      </c>
      <c r="W44" s="1478">
        <f t="shared" si="14"/>
        <v>100</v>
      </c>
      <c r="X44" s="1479"/>
      <c r="Y44" s="4306"/>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4306"/>
      <c r="Q45" s="1481">
        <f t="shared" si="11"/>
        <v>111</v>
      </c>
      <c r="R45" s="1482" t="s">
        <v>11</v>
      </c>
      <c r="S45" s="1483">
        <f t="shared" si="12"/>
        <v>100</v>
      </c>
      <c r="T45" s="1482" t="s">
        <v>11</v>
      </c>
      <c r="U45" s="1483">
        <f t="shared" si="13"/>
        <v>100</v>
      </c>
      <c r="V45" s="1482" t="s">
        <v>11</v>
      </c>
      <c r="W45" s="1483">
        <f t="shared" si="14"/>
        <v>100</v>
      </c>
      <c r="X45" s="1476"/>
      <c r="Y45" s="4306"/>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4475"/>
      <c r="Q46" s="1481">
        <f t="shared" si="11"/>
        <v>111</v>
      </c>
      <c r="R46" s="1482" t="s">
        <v>10</v>
      </c>
      <c r="S46" s="1483">
        <f t="shared" si="12"/>
        <v>100</v>
      </c>
      <c r="T46" s="1482" t="s">
        <v>10</v>
      </c>
      <c r="U46" s="1483">
        <f t="shared" si="13"/>
        <v>100</v>
      </c>
      <c r="V46" s="1482" t="s">
        <v>10</v>
      </c>
      <c r="W46" s="1483">
        <f t="shared" si="14"/>
        <v>100</v>
      </c>
      <c r="X46" s="1476"/>
      <c r="Y46" s="4475"/>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4301" t="str">
        <f>A47</f>
        <v>成交单价（元/平方米）</v>
      </c>
      <c r="Q47" s="4301"/>
      <c r="R47" s="4474">
        <f>E47</f>
        <v>0</v>
      </c>
      <c r="S47" s="4474"/>
      <c r="T47" s="4474">
        <f>G47</f>
        <v>0</v>
      </c>
      <c r="U47" s="4474"/>
      <c r="V47" s="4474">
        <f>I47</f>
        <v>0</v>
      </c>
      <c r="W47" s="4474"/>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4301" t="str">
        <f>A48</f>
        <v>比较价格（元/平方米）</v>
      </c>
      <c r="Q48" s="4301"/>
      <c r="R48" s="4474" t="e">
        <f>IF(F1="售价",ROUND(PRODUCT(R47,AA7:AA46),0),ROUND(PRODUCT(R47,AA7:AA46),1))</f>
        <v>#DIV/0!</v>
      </c>
      <c r="S48" s="4474"/>
      <c r="T48" s="4474" t="e">
        <f>IF(F1="售价",ROUND(PRODUCT(T47,AB7:AB46),0),ROUND(PRODUCT(T47,AB7:AB46),1))</f>
        <v>#DIV/0!</v>
      </c>
      <c r="U48" s="4474"/>
      <c r="V48" s="4474" t="e">
        <f>IF(F1="售价",ROUND(PRODUCT(V47,AC7:AC46),0),ROUND(PRODUCT(V47,AC7:AC46),1))</f>
        <v>#DIV/0!</v>
      </c>
      <c r="W48" s="4474"/>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2"/>
      <c r="L49" s="1997"/>
      <c r="M49" s="1998"/>
      <c r="N49" s="1998"/>
      <c r="O49" s="1998"/>
      <c r="P49" s="4322" t="str">
        <f>A49</f>
        <v>估价对象XX用房的比较价格（楼面单价，元/平方米）</v>
      </c>
      <c r="Q49" s="4323"/>
      <c r="R49" s="4473" t="e">
        <f>IF(F1="售价",ROUND(IF(D48="简单平均",AVERAGE(R48:V48),R48*F48+T48*H48+V48*J48),0),ROUND(IF(D48="简单平均",AVERAGE(R48:V48),R48*F48+T48*H48+V48*J48),1))</f>
        <v>#DIV/0!</v>
      </c>
      <c r="S49" s="4473"/>
      <c r="T49" s="4473"/>
      <c r="U49" s="4473"/>
      <c r="V49" s="4473"/>
      <c r="W49" s="4473"/>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2021-12</v>
      </c>
      <c r="D58" s="2489">
        <f>EDATE(C58,-1)</f>
        <v>44501</v>
      </c>
      <c r="E58" s="2489">
        <f t="shared" ref="E58:O58" si="16">EDATE(D58,-1)</f>
        <v>44470</v>
      </c>
      <c r="F58" s="2489">
        <f t="shared" si="16"/>
        <v>44440</v>
      </c>
      <c r="G58" s="2489">
        <f t="shared" si="16"/>
        <v>44409</v>
      </c>
      <c r="H58" s="2489">
        <f t="shared" si="16"/>
        <v>44378</v>
      </c>
      <c r="I58" s="2489">
        <f t="shared" si="16"/>
        <v>44348</v>
      </c>
      <c r="J58" s="2489">
        <f t="shared" si="16"/>
        <v>44317</v>
      </c>
      <c r="K58" s="2489">
        <f t="shared" si="16"/>
        <v>44287</v>
      </c>
      <c r="L58" s="2489">
        <f t="shared" si="16"/>
        <v>44256</v>
      </c>
      <c r="M58" s="2489">
        <f t="shared" si="16"/>
        <v>44228</v>
      </c>
      <c r="N58" s="2489">
        <f t="shared" si="16"/>
        <v>44197</v>
      </c>
      <c r="O58" s="2489">
        <f t="shared" si="16"/>
        <v>44166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L20" sqref="L2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4307" t="s">
        <v>500</v>
      </c>
      <c r="D4" s="4308"/>
      <c r="E4" s="4332" t="s">
        <v>501</v>
      </c>
      <c r="F4" s="4333"/>
      <c r="G4" s="4307" t="s">
        <v>502</v>
      </c>
      <c r="H4" s="4308"/>
      <c r="I4" s="4307" t="s">
        <v>503</v>
      </c>
      <c r="J4" s="4308"/>
      <c r="K4" s="490" t="s">
        <v>504</v>
      </c>
      <c r="L4" s="1986"/>
      <c r="M4" s="1987"/>
      <c r="N4" s="1987"/>
      <c r="O4" s="1987"/>
      <c r="P4" s="4309" t="s">
        <v>505</v>
      </c>
      <c r="Q4" s="4310"/>
      <c r="R4" s="4295" t="s">
        <v>501</v>
      </c>
      <c r="S4" s="4296"/>
      <c r="T4" s="4295" t="s">
        <v>502</v>
      </c>
      <c r="U4" s="4296"/>
      <c r="V4" s="4315" t="s">
        <v>503</v>
      </c>
      <c r="W4" s="4315"/>
      <c r="X4" s="1476"/>
      <c r="Y4" s="4295" t="s">
        <v>505</v>
      </c>
      <c r="Z4" s="4296"/>
      <c r="AA4" s="4290" t="s">
        <v>501</v>
      </c>
      <c r="AB4" s="4315" t="s">
        <v>502</v>
      </c>
      <c r="AC4" s="4290" t="s">
        <v>503</v>
      </c>
    </row>
    <row r="5" spans="1:29" ht="15">
      <c r="A5" s="491"/>
      <c r="B5" s="492"/>
      <c r="C5" s="4318" t="s">
        <v>2867</v>
      </c>
      <c r="D5" s="4319"/>
      <c r="E5" s="4334" t="s">
        <v>2868</v>
      </c>
      <c r="F5" s="4335"/>
      <c r="G5" s="4318" t="s">
        <v>2869</v>
      </c>
      <c r="H5" s="4319"/>
      <c r="I5" s="4318" t="s">
        <v>2870</v>
      </c>
      <c r="J5" s="4319"/>
      <c r="K5" s="490"/>
      <c r="L5" s="1986"/>
      <c r="M5" s="1987"/>
      <c r="N5" s="1987"/>
      <c r="O5" s="1987"/>
      <c r="P5" s="4311"/>
      <c r="Q5" s="4312"/>
      <c r="R5" s="4297"/>
      <c r="S5" s="4298"/>
      <c r="T5" s="4297"/>
      <c r="U5" s="4298"/>
      <c r="V5" s="4315"/>
      <c r="W5" s="4315"/>
      <c r="X5" s="1476"/>
      <c r="Y5" s="4297"/>
      <c r="Z5" s="4298"/>
      <c r="AA5" s="4291"/>
      <c r="AB5" s="4315"/>
      <c r="AC5" s="4291"/>
    </row>
    <row r="6" spans="1:29" ht="15.75" thickBot="1">
      <c r="A6" s="493"/>
      <c r="B6" s="494"/>
      <c r="C6" s="4316" t="s">
        <v>2871</v>
      </c>
      <c r="D6" s="4317"/>
      <c r="E6" s="4336" t="s">
        <v>2871</v>
      </c>
      <c r="F6" s="4337"/>
      <c r="G6" s="4316" t="s">
        <v>2871</v>
      </c>
      <c r="H6" s="4317"/>
      <c r="I6" s="4316" t="s">
        <v>2871</v>
      </c>
      <c r="J6" s="4317"/>
      <c r="K6" s="490" t="s">
        <v>506</v>
      </c>
      <c r="L6" s="1986"/>
      <c r="M6" s="1987"/>
      <c r="N6" s="1987"/>
      <c r="O6" s="1987"/>
      <c r="P6" s="4313"/>
      <c r="Q6" s="4314"/>
      <c r="R6" s="4297"/>
      <c r="S6" s="4298"/>
      <c r="T6" s="4299"/>
      <c r="U6" s="4300"/>
      <c r="V6" s="4315"/>
      <c r="W6" s="4315"/>
      <c r="X6" s="1476"/>
      <c r="Y6" s="4299"/>
      <c r="Z6" s="4300"/>
      <c r="AA6" s="4292"/>
      <c r="AB6" s="4315"/>
      <c r="AC6" s="4292"/>
    </row>
    <row r="7" spans="1:29" s="1185" customFormat="1" ht="15.75" thickBot="1">
      <c r="A7" s="2597"/>
      <c r="B7" s="2604" t="s">
        <v>507</v>
      </c>
      <c r="C7" s="495">
        <f>'数据-取费表'!B2</f>
        <v>44550</v>
      </c>
      <c r="D7" s="496">
        <v>100</v>
      </c>
      <c r="E7" s="497"/>
      <c r="F7" s="498">
        <f>SUMIF(58:58,YEAR(E7)&amp;"-"&amp;MONTH(E7),59:59)</f>
        <v>0</v>
      </c>
      <c r="G7" s="497"/>
      <c r="H7" s="496">
        <f>SUMIF(58:58,YEAR(G7)&amp;"-"&amp;MONTH(G7),59:59)</f>
        <v>0</v>
      </c>
      <c r="I7" s="497"/>
      <c r="J7" s="496">
        <f>SUMIF(58:58,YEAR(I7)&amp;"-"&amp;MONTH(I7),59:59)</f>
        <v>0</v>
      </c>
      <c r="K7" s="500"/>
      <c r="L7" s="1988"/>
      <c r="M7" s="1989"/>
      <c r="N7" s="1989"/>
      <c r="O7" s="1989"/>
      <c r="P7" s="4293" t="s">
        <v>508</v>
      </c>
      <c r="Q7" s="4302"/>
      <c r="R7" s="1477" t="s">
        <v>8</v>
      </c>
      <c r="S7" s="1478">
        <f t="shared" ref="S7:S15" si="0">F7</f>
        <v>0</v>
      </c>
      <c r="T7" s="1477" t="s">
        <v>8</v>
      </c>
      <c r="U7" s="1478">
        <f t="shared" ref="U7:U15" si="1">H7</f>
        <v>0</v>
      </c>
      <c r="V7" s="1477" t="s">
        <v>8</v>
      </c>
      <c r="W7" s="1478">
        <f t="shared" ref="W7:W15" si="2">J7</f>
        <v>0</v>
      </c>
      <c r="X7" s="1479"/>
      <c r="Y7" s="4293" t="s">
        <v>508</v>
      </c>
      <c r="Z7" s="4294"/>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4293" t="s">
        <v>511</v>
      </c>
      <c r="Q8" s="4294"/>
      <c r="R8" s="1477" t="s">
        <v>8</v>
      </c>
      <c r="S8" s="1478">
        <f t="shared" si="0"/>
        <v>0</v>
      </c>
      <c r="T8" s="1477" t="s">
        <v>8</v>
      </c>
      <c r="U8" s="1478">
        <f t="shared" si="1"/>
        <v>0</v>
      </c>
      <c r="V8" s="1477" t="s">
        <v>8</v>
      </c>
      <c r="W8" s="1478">
        <f t="shared" si="2"/>
        <v>0</v>
      </c>
      <c r="X8" s="1479"/>
      <c r="Y8" s="4293" t="s">
        <v>511</v>
      </c>
      <c r="Z8" s="4294"/>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4301" t="s">
        <v>513</v>
      </c>
      <c r="Q9" s="1116" t="str">
        <f t="shared" ref="Q9:Q15" si="6">B9</f>
        <v>用途</v>
      </c>
      <c r="R9" s="1477" t="s">
        <v>8</v>
      </c>
      <c r="S9" s="1478">
        <f t="shared" si="0"/>
        <v>100</v>
      </c>
      <c r="T9" s="1477" t="s">
        <v>8</v>
      </c>
      <c r="U9" s="1478">
        <f t="shared" si="1"/>
        <v>100</v>
      </c>
      <c r="V9" s="1477" t="s">
        <v>8</v>
      </c>
      <c r="W9" s="1478">
        <f t="shared" si="2"/>
        <v>100</v>
      </c>
      <c r="X9" s="1479"/>
      <c r="Y9" s="424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4301"/>
      <c r="Q10" s="1116" t="str">
        <f t="shared" si="6"/>
        <v>土地使用年限（年）</v>
      </c>
      <c r="R10" s="1477" t="s">
        <v>8</v>
      </c>
      <c r="S10" s="1478">
        <f t="shared" si="0"/>
        <v>100</v>
      </c>
      <c r="T10" s="1477" t="s">
        <v>8</v>
      </c>
      <c r="U10" s="1478">
        <f t="shared" si="1"/>
        <v>100</v>
      </c>
      <c r="V10" s="1477" t="s">
        <v>8</v>
      </c>
      <c r="W10" s="1478">
        <f t="shared" si="2"/>
        <v>100</v>
      </c>
      <c r="X10" s="1479"/>
      <c r="Y10" s="4248"/>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4301"/>
      <c r="Q11" s="1116" t="str">
        <f t="shared" si="6"/>
        <v>容积率</v>
      </c>
      <c r="R11" s="1477" t="s">
        <v>8</v>
      </c>
      <c r="S11" s="1478" t="e">
        <f t="shared" si="0"/>
        <v>#N/A</v>
      </c>
      <c r="T11" s="1477" t="s">
        <v>8</v>
      </c>
      <c r="U11" s="1478" t="e">
        <f t="shared" si="1"/>
        <v>#N/A</v>
      </c>
      <c r="V11" s="1477" t="s">
        <v>8</v>
      </c>
      <c r="W11" s="1478" t="e">
        <f t="shared" si="2"/>
        <v>#N/A</v>
      </c>
      <c r="X11" s="1479"/>
      <c r="Y11" s="424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4301"/>
      <c r="Q12" s="1116">
        <f t="shared" si="6"/>
        <v>111</v>
      </c>
      <c r="R12" s="1477" t="s">
        <v>8</v>
      </c>
      <c r="S12" s="1478">
        <f t="shared" si="0"/>
        <v>100</v>
      </c>
      <c r="T12" s="1477" t="s">
        <v>8</v>
      </c>
      <c r="U12" s="1478">
        <f t="shared" si="1"/>
        <v>100</v>
      </c>
      <c r="V12" s="1477" t="s">
        <v>8</v>
      </c>
      <c r="W12" s="1478">
        <f t="shared" si="2"/>
        <v>100</v>
      </c>
      <c r="X12" s="1479"/>
      <c r="Y12" s="4248"/>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4301"/>
      <c r="Q13" s="1116">
        <f t="shared" si="6"/>
        <v>111</v>
      </c>
      <c r="R13" s="1477" t="s">
        <v>8</v>
      </c>
      <c r="S13" s="1478">
        <f t="shared" si="0"/>
        <v>100</v>
      </c>
      <c r="T13" s="1477" t="s">
        <v>8</v>
      </c>
      <c r="U13" s="1478">
        <f t="shared" si="1"/>
        <v>100</v>
      </c>
      <c r="V13" s="1477" t="s">
        <v>8</v>
      </c>
      <c r="W13" s="1478">
        <f t="shared" si="2"/>
        <v>100</v>
      </c>
      <c r="X13" s="1479"/>
      <c r="Y13" s="4248"/>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4301"/>
      <c r="Q14" s="1116">
        <f t="shared" si="6"/>
        <v>111</v>
      </c>
      <c r="R14" s="1477" t="s">
        <v>8</v>
      </c>
      <c r="S14" s="1478">
        <f t="shared" si="0"/>
        <v>100</v>
      </c>
      <c r="T14" s="1477" t="s">
        <v>8</v>
      </c>
      <c r="U14" s="1478">
        <f t="shared" si="1"/>
        <v>100</v>
      </c>
      <c r="V14" s="1477" t="s">
        <v>8</v>
      </c>
      <c r="W14" s="1478">
        <f t="shared" si="2"/>
        <v>100</v>
      </c>
      <c r="X14" s="1479"/>
      <c r="Y14" s="4248"/>
      <c r="Z14" s="1115">
        <f t="shared" si="7"/>
        <v>111</v>
      </c>
      <c r="AA14" s="1480">
        <f t="shared" si="3"/>
        <v>1</v>
      </c>
      <c r="AB14" s="1480">
        <f t="shared" si="4"/>
        <v>1</v>
      </c>
      <c r="AC14" s="1480">
        <f t="shared" si="5"/>
        <v>1</v>
      </c>
    </row>
    <row r="15" spans="1:29" ht="71.2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4303" t="s">
        <v>518</v>
      </c>
      <c r="Q15" s="1481" t="str">
        <f t="shared" si="6"/>
        <v>商业繁华度</v>
      </c>
      <c r="R15" s="1482" t="s">
        <v>8</v>
      </c>
      <c r="S15" s="1483">
        <f t="shared" si="0"/>
        <v>100</v>
      </c>
      <c r="T15" s="1482" t="s">
        <v>8</v>
      </c>
      <c r="U15" s="1483">
        <f t="shared" si="1"/>
        <v>100</v>
      </c>
      <c r="V15" s="1482" t="s">
        <v>8</v>
      </c>
      <c r="W15" s="1483">
        <f t="shared" si="2"/>
        <v>100</v>
      </c>
      <c r="X15" s="1476"/>
      <c r="Y15" s="4303"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4304"/>
      <c r="Q16" s="1481"/>
      <c r="R16" s="1482"/>
      <c r="S16" s="1483"/>
      <c r="T16" s="1482"/>
      <c r="U16" s="1483"/>
      <c r="V16" s="1482"/>
      <c r="W16" s="1483"/>
      <c r="X16" s="1476"/>
      <c r="Y16" s="4304"/>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4304"/>
      <c r="Q17" s="1481" t="str">
        <f>B17</f>
        <v>交通便捷度</v>
      </c>
      <c r="R17" s="1482" t="s">
        <v>8</v>
      </c>
      <c r="S17" s="1483">
        <f>F17</f>
        <v>100</v>
      </c>
      <c r="T17" s="1482" t="s">
        <v>8</v>
      </c>
      <c r="U17" s="1483">
        <f>H17</f>
        <v>100</v>
      </c>
      <c r="V17" s="1482" t="s">
        <v>8</v>
      </c>
      <c r="W17" s="1483">
        <f>J17</f>
        <v>100</v>
      </c>
      <c r="X17" s="1476"/>
      <c r="Y17" s="4304"/>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4304"/>
      <c r="Q18" s="1481"/>
      <c r="R18" s="1482"/>
      <c r="S18" s="1483"/>
      <c r="T18" s="1482"/>
      <c r="U18" s="1483"/>
      <c r="V18" s="1482"/>
      <c r="W18" s="1483"/>
      <c r="X18" s="1476"/>
      <c r="Y18" s="4304"/>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4304"/>
      <c r="Q19" s="1481" t="str">
        <f>B19</f>
        <v>公共配套设施</v>
      </c>
      <c r="R19" s="1482" t="s">
        <v>8</v>
      </c>
      <c r="S19" s="1483">
        <f>F19</f>
        <v>100</v>
      </c>
      <c r="T19" s="1482" t="s">
        <v>8</v>
      </c>
      <c r="U19" s="1483">
        <f>H19</f>
        <v>100</v>
      </c>
      <c r="V19" s="1482" t="s">
        <v>8</v>
      </c>
      <c r="W19" s="1483">
        <f>J19</f>
        <v>100</v>
      </c>
      <c r="X19" s="1476"/>
      <c r="Y19" s="4304"/>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4304"/>
      <c r="Q20" s="1481"/>
      <c r="R20" s="1482"/>
      <c r="S20" s="1483"/>
      <c r="T20" s="1482"/>
      <c r="U20" s="1483"/>
      <c r="V20" s="1482"/>
      <c r="W20" s="1483"/>
      <c r="X20" s="1476"/>
      <c r="Y20" s="4304"/>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4304"/>
      <c r="Q21" s="2397" t="str">
        <f>B21</f>
        <v>基础设施水平</v>
      </c>
      <c r="R21" s="1482" t="s">
        <v>8</v>
      </c>
      <c r="S21" s="1483">
        <f>F21</f>
        <v>100</v>
      </c>
      <c r="T21" s="1482" t="s">
        <v>8</v>
      </c>
      <c r="U21" s="1483">
        <f>H21</f>
        <v>100</v>
      </c>
      <c r="V21" s="1482" t="s">
        <v>8</v>
      </c>
      <c r="W21" s="1483">
        <f>J21</f>
        <v>100</v>
      </c>
      <c r="X21" s="2399"/>
      <c r="Y21" s="4304"/>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4304"/>
      <c r="Q22" s="2397"/>
      <c r="R22" s="1482"/>
      <c r="S22" s="1483"/>
      <c r="T22" s="1482"/>
      <c r="U22" s="1483"/>
      <c r="V22" s="1482"/>
      <c r="W22" s="1483"/>
      <c r="X22" s="2399"/>
      <c r="Y22" s="4304"/>
      <c r="Z22" s="2398"/>
      <c r="AA22" s="1485">
        <v>1</v>
      </c>
      <c r="AB22" s="1485">
        <v>1</v>
      </c>
      <c r="AC22" s="148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4304"/>
      <c r="Q23" s="1481" t="str">
        <f>B23</f>
        <v>自然及人文环境</v>
      </c>
      <c r="R23" s="1482" t="s">
        <v>8</v>
      </c>
      <c r="S23" s="1483">
        <f>F23</f>
        <v>100</v>
      </c>
      <c r="T23" s="1482" t="s">
        <v>8</v>
      </c>
      <c r="U23" s="1483">
        <f>H23</f>
        <v>100</v>
      </c>
      <c r="V23" s="1482" t="s">
        <v>8</v>
      </c>
      <c r="W23" s="1483">
        <f>J23</f>
        <v>100</v>
      </c>
      <c r="X23" s="1476"/>
      <c r="Y23" s="4304"/>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4304"/>
      <c r="Q24" s="1481"/>
      <c r="R24" s="1482"/>
      <c r="S24" s="1483"/>
      <c r="T24" s="1482"/>
      <c r="U24" s="1483"/>
      <c r="V24" s="1482"/>
      <c r="W24" s="1483"/>
      <c r="X24" s="1476"/>
      <c r="Y24" s="4304"/>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4304"/>
      <c r="Q25" s="1481" t="str">
        <f t="shared" ref="Q25:Q46" si="11">B25</f>
        <v>临街状况</v>
      </c>
      <c r="R25" s="1482" t="s">
        <v>8</v>
      </c>
      <c r="S25" s="1483">
        <f>F25</f>
        <v>100</v>
      </c>
      <c r="T25" s="1482" t="s">
        <v>8</v>
      </c>
      <c r="U25" s="1483">
        <f>H25</f>
        <v>100</v>
      </c>
      <c r="V25" s="1482" t="s">
        <v>8</v>
      </c>
      <c r="W25" s="1483">
        <f>J25</f>
        <v>100</v>
      </c>
      <c r="X25" s="1476"/>
      <c r="Y25" s="4304"/>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4304"/>
      <c r="Q26" s="1481" t="str">
        <f t="shared" si="11"/>
        <v>平面位置/可视性</v>
      </c>
      <c r="R26" s="1482" t="s">
        <v>8</v>
      </c>
      <c r="S26" s="1483">
        <f>F26</f>
        <v>100</v>
      </c>
      <c r="T26" s="1482" t="s">
        <v>8</v>
      </c>
      <c r="U26" s="1483">
        <f>H26</f>
        <v>100</v>
      </c>
      <c r="V26" s="1482" t="s">
        <v>8</v>
      </c>
      <c r="W26" s="1483">
        <f>J26</f>
        <v>100</v>
      </c>
      <c r="X26" s="1476"/>
      <c r="Y26" s="4304"/>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4304"/>
      <c r="Q27" s="1116" t="str">
        <f t="shared" si="11"/>
        <v>人流量</v>
      </c>
      <c r="R27" s="1477" t="s">
        <v>8</v>
      </c>
      <c r="S27" s="1478">
        <f>F27</f>
        <v>100</v>
      </c>
      <c r="T27" s="1477" t="s">
        <v>8</v>
      </c>
      <c r="U27" s="1478">
        <f>H27</f>
        <v>100</v>
      </c>
      <c r="V27" s="1477" t="s">
        <v>8</v>
      </c>
      <c r="W27" s="1478">
        <f>J27</f>
        <v>100</v>
      </c>
      <c r="X27" s="1479"/>
      <c r="Y27" s="4304"/>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4304"/>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4304"/>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4304"/>
      <c r="Q29" s="1481">
        <f t="shared" si="11"/>
        <v>111</v>
      </c>
      <c r="R29" s="1482" t="s">
        <v>8</v>
      </c>
      <c r="S29" s="1483">
        <f t="shared" si="12"/>
        <v>100</v>
      </c>
      <c r="T29" s="1482" t="s">
        <v>8</v>
      </c>
      <c r="U29" s="1483">
        <f t="shared" si="13"/>
        <v>100</v>
      </c>
      <c r="V29" s="1482" t="s">
        <v>8</v>
      </c>
      <c r="W29" s="1483">
        <f t="shared" si="14"/>
        <v>100</v>
      </c>
      <c r="X29" s="1476"/>
      <c r="Y29" s="4304"/>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4304"/>
      <c r="Q30" s="1481">
        <f t="shared" si="11"/>
        <v>111</v>
      </c>
      <c r="R30" s="1482" t="s">
        <v>8</v>
      </c>
      <c r="S30" s="1483">
        <f t="shared" si="12"/>
        <v>100</v>
      </c>
      <c r="T30" s="1482" t="s">
        <v>8</v>
      </c>
      <c r="U30" s="1483">
        <f t="shared" si="13"/>
        <v>100</v>
      </c>
      <c r="V30" s="1482" t="s">
        <v>8</v>
      </c>
      <c r="W30" s="1483">
        <f t="shared" si="14"/>
        <v>100</v>
      </c>
      <c r="X30" s="1476"/>
      <c r="Y30" s="4304"/>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4304"/>
      <c r="Q31" s="1481">
        <f t="shared" si="11"/>
        <v>111</v>
      </c>
      <c r="R31" s="1482" t="s">
        <v>8</v>
      </c>
      <c r="S31" s="1483">
        <f t="shared" si="12"/>
        <v>100</v>
      </c>
      <c r="T31" s="1482" t="s">
        <v>8</v>
      </c>
      <c r="U31" s="1483">
        <f t="shared" si="13"/>
        <v>100</v>
      </c>
      <c r="V31" s="1482" t="s">
        <v>8</v>
      </c>
      <c r="W31" s="1483">
        <f t="shared" si="14"/>
        <v>100</v>
      </c>
      <c r="X31" s="1476"/>
      <c r="Y31" s="4304"/>
      <c r="Z31" s="1484">
        <f t="shared" si="15"/>
        <v>111</v>
      </c>
      <c r="AA31" s="1485">
        <f t="shared" si="3"/>
        <v>1</v>
      </c>
      <c r="AB31" s="1485">
        <f t="shared" si="4"/>
        <v>1</v>
      </c>
      <c r="AC31" s="1485">
        <f t="shared" si="5"/>
        <v>1</v>
      </c>
    </row>
    <row r="32" spans="1:29" ht="1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4305" t="s">
        <v>528</v>
      </c>
      <c r="Q32" s="1481" t="str">
        <f t="shared" si="11"/>
        <v>商业类型</v>
      </c>
      <c r="R32" s="1482" t="s">
        <v>8</v>
      </c>
      <c r="S32" s="1483">
        <f t="shared" si="12"/>
        <v>100</v>
      </c>
      <c r="T32" s="1482" t="s">
        <v>8</v>
      </c>
      <c r="U32" s="1483">
        <f t="shared" si="13"/>
        <v>100</v>
      </c>
      <c r="V32" s="1482" t="s">
        <v>8</v>
      </c>
      <c r="W32" s="1483">
        <f t="shared" si="14"/>
        <v>100</v>
      </c>
      <c r="X32" s="1476"/>
      <c r="Y32" s="4306"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4306"/>
      <c r="Q33" s="1510" t="str">
        <f t="shared" si="11"/>
        <v>项目建筑规模</v>
      </c>
      <c r="R33" s="1486" t="s">
        <v>8</v>
      </c>
      <c r="S33" s="1487" t="e">
        <f t="shared" si="12"/>
        <v>#N/A</v>
      </c>
      <c r="T33" s="1486" t="s">
        <v>8</v>
      </c>
      <c r="U33" s="1487" t="e">
        <f t="shared" si="13"/>
        <v>#N/A</v>
      </c>
      <c r="V33" s="1486" t="s">
        <v>8</v>
      </c>
      <c r="W33" s="1487" t="e">
        <f t="shared" si="14"/>
        <v>#N/A</v>
      </c>
      <c r="X33" s="1488"/>
      <c r="Y33" s="4306"/>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4306"/>
      <c r="Q34" s="1481" t="str">
        <f t="shared" si="11"/>
        <v>建筑结构</v>
      </c>
      <c r="R34" s="1482" t="s">
        <v>8</v>
      </c>
      <c r="S34" s="1483">
        <f t="shared" si="12"/>
        <v>100</v>
      </c>
      <c r="T34" s="1482" t="s">
        <v>8</v>
      </c>
      <c r="U34" s="1483">
        <f t="shared" si="13"/>
        <v>100</v>
      </c>
      <c r="V34" s="1482" t="s">
        <v>8</v>
      </c>
      <c r="W34" s="1483">
        <f t="shared" si="14"/>
        <v>100</v>
      </c>
      <c r="X34" s="1476"/>
      <c r="Y34" s="4306"/>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4306"/>
      <c r="Q35" s="1481" t="str">
        <f t="shared" si="11"/>
        <v>公共部分装修</v>
      </c>
      <c r="R35" s="1482" t="s">
        <v>8</v>
      </c>
      <c r="S35" s="1483">
        <f t="shared" si="12"/>
        <v>100</v>
      </c>
      <c r="T35" s="1482" t="s">
        <v>8</v>
      </c>
      <c r="U35" s="1483">
        <f t="shared" si="13"/>
        <v>100</v>
      </c>
      <c r="V35" s="1482" t="s">
        <v>8</v>
      </c>
      <c r="W35" s="1483">
        <f t="shared" si="14"/>
        <v>100</v>
      </c>
      <c r="X35" s="1476"/>
      <c r="Y35" s="4306"/>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4306"/>
      <c r="Q36" s="1481" t="str">
        <f t="shared" si="11"/>
        <v>成新度</v>
      </c>
      <c r="R36" s="1482" t="s">
        <v>8</v>
      </c>
      <c r="S36" s="1483" t="e">
        <f t="shared" si="12"/>
        <v>#N/A</v>
      </c>
      <c r="T36" s="1482" t="s">
        <v>8</v>
      </c>
      <c r="U36" s="1483" t="e">
        <f t="shared" si="13"/>
        <v>#N/A</v>
      </c>
      <c r="V36" s="1482" t="s">
        <v>8</v>
      </c>
      <c r="W36" s="1483" t="e">
        <f t="shared" si="14"/>
        <v>#N/A</v>
      </c>
      <c r="X36" s="1476"/>
      <c r="Y36" s="4306"/>
      <c r="Z36" s="1484" t="str">
        <f t="shared" si="15"/>
        <v>成新度</v>
      </c>
      <c r="AA36" s="1485" t="e">
        <f t="shared" si="3"/>
        <v>#N/A</v>
      </c>
      <c r="AB36" s="1485" t="e">
        <f t="shared" si="4"/>
        <v>#N/A</v>
      </c>
      <c r="AC36" s="1485" t="e">
        <f t="shared" si="5"/>
        <v>#N/A</v>
      </c>
    </row>
    <row r="37" spans="1:29" s="1185" customFormat="1" ht="1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4306"/>
      <c r="Q37" s="1116" t="str">
        <f t="shared" si="11"/>
        <v>市政基础设施</v>
      </c>
      <c r="R37" s="1477" t="s">
        <v>8</v>
      </c>
      <c r="S37" s="1478">
        <f t="shared" si="12"/>
        <v>100</v>
      </c>
      <c r="T37" s="1477" t="s">
        <v>8</v>
      </c>
      <c r="U37" s="1478">
        <f t="shared" si="13"/>
        <v>100</v>
      </c>
      <c r="V37" s="1477" t="s">
        <v>8</v>
      </c>
      <c r="W37" s="1478">
        <f t="shared" si="14"/>
        <v>100</v>
      </c>
      <c r="X37" s="1479"/>
      <c r="Y37" s="4306"/>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4306" t="s">
        <v>744</v>
      </c>
      <c r="Q38" s="1481" t="str">
        <f t="shared" si="11"/>
        <v>业态</v>
      </c>
      <c r="R38" s="1482" t="s">
        <v>8</v>
      </c>
      <c r="S38" s="1483">
        <f t="shared" si="12"/>
        <v>100</v>
      </c>
      <c r="T38" s="1482" t="s">
        <v>8</v>
      </c>
      <c r="U38" s="1483">
        <f t="shared" si="13"/>
        <v>100</v>
      </c>
      <c r="V38" s="1482" t="s">
        <v>8</v>
      </c>
      <c r="W38" s="1483">
        <f t="shared" si="14"/>
        <v>100</v>
      </c>
      <c r="X38" s="1476"/>
      <c r="Y38" s="4306"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4306"/>
      <c r="Q39" s="1481" t="str">
        <f t="shared" si="11"/>
        <v>层高</v>
      </c>
      <c r="R39" s="1482" t="s">
        <v>8</v>
      </c>
      <c r="S39" s="1483">
        <f t="shared" si="12"/>
        <v>100</v>
      </c>
      <c r="T39" s="1482" t="s">
        <v>8</v>
      </c>
      <c r="U39" s="1483">
        <f t="shared" si="13"/>
        <v>100</v>
      </c>
      <c r="V39" s="1482" t="s">
        <v>8</v>
      </c>
      <c r="W39" s="1483">
        <f t="shared" si="14"/>
        <v>100</v>
      </c>
      <c r="X39" s="1476"/>
      <c r="Y39" s="4306"/>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4306"/>
      <c r="Q40" s="1481" t="str">
        <f t="shared" si="11"/>
        <v>单套建筑面积</v>
      </c>
      <c r="R40" s="1482" t="s">
        <v>8</v>
      </c>
      <c r="S40" s="1483">
        <f t="shared" si="12"/>
        <v>100</v>
      </c>
      <c r="T40" s="1482" t="s">
        <v>8</v>
      </c>
      <c r="U40" s="1483">
        <f t="shared" si="13"/>
        <v>100</v>
      </c>
      <c r="V40" s="1482" t="s">
        <v>8</v>
      </c>
      <c r="W40" s="1483">
        <f t="shared" si="14"/>
        <v>100</v>
      </c>
      <c r="X40" s="1476"/>
      <c r="Y40" s="4306"/>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4306"/>
      <c r="Q41" s="1510" t="str">
        <f t="shared" si="11"/>
        <v>进深比</v>
      </c>
      <c r="R41" s="1486" t="s">
        <v>8</v>
      </c>
      <c r="S41" s="1487">
        <f t="shared" si="12"/>
        <v>100</v>
      </c>
      <c r="T41" s="1486" t="s">
        <v>8</v>
      </c>
      <c r="U41" s="1487">
        <f t="shared" si="13"/>
        <v>100</v>
      </c>
      <c r="V41" s="1486" t="s">
        <v>8</v>
      </c>
      <c r="W41" s="1487">
        <f t="shared" si="14"/>
        <v>100</v>
      </c>
      <c r="X41" s="1488"/>
      <c r="Y41" s="4306"/>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4306"/>
      <c r="Q42" s="1481" t="str">
        <f t="shared" si="11"/>
        <v>内部装修</v>
      </c>
      <c r="R42" s="1482" t="s">
        <v>8</v>
      </c>
      <c r="S42" s="1483">
        <f t="shared" si="12"/>
        <v>100</v>
      </c>
      <c r="T42" s="1482" t="s">
        <v>8</v>
      </c>
      <c r="U42" s="1483">
        <f t="shared" si="13"/>
        <v>100</v>
      </c>
      <c r="V42" s="1482" t="s">
        <v>8</v>
      </c>
      <c r="W42" s="1483">
        <f t="shared" si="14"/>
        <v>100</v>
      </c>
      <c r="X42" s="1476"/>
      <c r="Y42" s="4306"/>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4306"/>
      <c r="Q43" s="1481" t="str">
        <f t="shared" si="11"/>
        <v>内部装修维护情况</v>
      </c>
      <c r="R43" s="1482" t="s">
        <v>8</v>
      </c>
      <c r="S43" s="1483">
        <f t="shared" si="12"/>
        <v>100</v>
      </c>
      <c r="T43" s="1482" t="s">
        <v>8</v>
      </c>
      <c r="U43" s="1483">
        <f t="shared" si="13"/>
        <v>100</v>
      </c>
      <c r="V43" s="1482" t="s">
        <v>8</v>
      </c>
      <c r="W43" s="1483">
        <f t="shared" si="14"/>
        <v>100</v>
      </c>
      <c r="X43" s="1476"/>
      <c r="Y43" s="4306"/>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4306"/>
      <c r="Q44" s="1116">
        <f t="shared" si="11"/>
        <v>111</v>
      </c>
      <c r="R44" s="1477" t="s">
        <v>8</v>
      </c>
      <c r="S44" s="1478">
        <f t="shared" si="12"/>
        <v>100</v>
      </c>
      <c r="T44" s="1477" t="s">
        <v>8</v>
      </c>
      <c r="U44" s="1478">
        <f t="shared" si="13"/>
        <v>100</v>
      </c>
      <c r="V44" s="1477" t="s">
        <v>8</v>
      </c>
      <c r="W44" s="1478">
        <f t="shared" si="14"/>
        <v>100</v>
      </c>
      <c r="X44" s="1479"/>
      <c r="Y44" s="4306"/>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4306"/>
      <c r="Q45" s="1481">
        <f t="shared" si="11"/>
        <v>111</v>
      </c>
      <c r="R45" s="1482" t="s">
        <v>8</v>
      </c>
      <c r="S45" s="1483">
        <f t="shared" si="12"/>
        <v>100</v>
      </c>
      <c r="T45" s="1482" t="s">
        <v>8</v>
      </c>
      <c r="U45" s="1483">
        <f t="shared" si="13"/>
        <v>100</v>
      </c>
      <c r="V45" s="1482" t="s">
        <v>8</v>
      </c>
      <c r="W45" s="1483">
        <f t="shared" si="14"/>
        <v>100</v>
      </c>
      <c r="X45" s="1476"/>
      <c r="Y45" s="4306"/>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4475"/>
      <c r="Q46" s="1481">
        <f t="shared" si="11"/>
        <v>111</v>
      </c>
      <c r="R46" s="1482" t="s">
        <v>8</v>
      </c>
      <c r="S46" s="1483">
        <f t="shared" si="12"/>
        <v>100</v>
      </c>
      <c r="T46" s="1482" t="s">
        <v>8</v>
      </c>
      <c r="U46" s="1483">
        <f t="shared" si="13"/>
        <v>100</v>
      </c>
      <c r="V46" s="1482" t="s">
        <v>8</v>
      </c>
      <c r="W46" s="1483">
        <f t="shared" si="14"/>
        <v>100</v>
      </c>
      <c r="X46" s="1476"/>
      <c r="Y46" s="4475"/>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4301" t="str">
        <f>A47</f>
        <v>成交单价（元/平方米）</v>
      </c>
      <c r="Q47" s="4301"/>
      <c r="R47" s="4474">
        <f>E47</f>
        <v>0</v>
      </c>
      <c r="S47" s="4474"/>
      <c r="T47" s="4474">
        <f>G47</f>
        <v>0</v>
      </c>
      <c r="U47" s="4474"/>
      <c r="V47" s="4474">
        <f>I47</f>
        <v>0</v>
      </c>
      <c r="W47" s="4474"/>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4301" t="str">
        <f>A48</f>
        <v>比较价格（元/平方米）</v>
      </c>
      <c r="Q48" s="4301"/>
      <c r="R48" s="4474" t="e">
        <f>IF(F1="售价",ROUND(PRODUCT(R47,AA7:AA46),0),ROUND(PRODUCT(R47,AA7:AA46),1))</f>
        <v>#DIV/0!</v>
      </c>
      <c r="S48" s="4474"/>
      <c r="T48" s="4474" t="e">
        <f>IF(F1="售价",ROUND(PRODUCT(T47,AB7:AB46),0),ROUND(PRODUCT(T47,AB7:AB46),1))</f>
        <v>#DIV/0!</v>
      </c>
      <c r="U48" s="4474"/>
      <c r="V48" s="4474" t="e">
        <f>IF(F1="售价",ROUND(PRODUCT(V47,AC7:AC46),0),ROUND(PRODUCT(V47,AC7:AC46),1))</f>
        <v>#DIV/0!</v>
      </c>
      <c r="W48" s="4474"/>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6"/>
      <c r="L49" s="1997"/>
      <c r="M49" s="1998"/>
      <c r="N49" s="1987"/>
      <c r="O49" s="1998"/>
      <c r="P49" s="4322" t="str">
        <f>A49</f>
        <v>估价对象XX用房的比较价格（楼面单价，元/平方米）</v>
      </c>
      <c r="Q49" s="4323"/>
      <c r="R49" s="4473" t="e">
        <f>IF(F1="售价",ROUND(IF(D48="简单平均",AVERAGE(R48:V48),R48*F48+T48*H48+V48*J48),0),ROUND(IF(D48="简单平均",AVERAGE(R48:V48),R48*F48+T48*H48+V48*J48),1))</f>
        <v>#DIV/0!</v>
      </c>
      <c r="S49" s="4473"/>
      <c r="T49" s="4473"/>
      <c r="U49" s="4473"/>
      <c r="V49" s="4473"/>
      <c r="W49" s="4473"/>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2021-12</v>
      </c>
      <c r="D58" s="2489">
        <f>EDATE(C58,-1)</f>
        <v>44501</v>
      </c>
      <c r="E58" s="2489">
        <f t="shared" ref="E58:O58" si="16">EDATE(D58,-1)</f>
        <v>44470</v>
      </c>
      <c r="F58" s="2489">
        <f t="shared" si="16"/>
        <v>44440</v>
      </c>
      <c r="G58" s="2489">
        <f t="shared" si="16"/>
        <v>44409</v>
      </c>
      <c r="H58" s="2489">
        <f t="shared" si="16"/>
        <v>44378</v>
      </c>
      <c r="I58" s="2489">
        <f t="shared" si="16"/>
        <v>44348</v>
      </c>
      <c r="J58" s="2489">
        <f t="shared" si="16"/>
        <v>44317</v>
      </c>
      <c r="K58" s="2489">
        <f t="shared" si="16"/>
        <v>44287</v>
      </c>
      <c r="L58" s="2489">
        <f t="shared" si="16"/>
        <v>44256</v>
      </c>
      <c r="M58" s="2489">
        <f t="shared" si="16"/>
        <v>44228</v>
      </c>
      <c r="N58" s="2489">
        <f t="shared" si="16"/>
        <v>44197</v>
      </c>
      <c r="O58" s="2489">
        <f t="shared" si="16"/>
        <v>44166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3580.29平方米。根据《建设工程规划许可证》[]、《出让合同》[]，估价对象规划建筑面积为8950.725平方米。</v>
      </c>
    </row>
    <row r="7" spans="1:4" ht="93.75">
      <c r="A7" s="2558"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2021年12月20日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根据《国有土地使用证》[]，估价对象（分摊）出让国有建设用地使用权面积为3580.29平方米。根据《建设工程规划许可证》[]、《出让合同》[]，估价对象规划建筑面积为8950.725平方米。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60" t="s">
        <v>2702</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row>
    <row r="26" spans="1:1" ht="9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L20" sqref="L2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ht="15">
      <c r="A4" s="488" t="s">
        <v>499</v>
      </c>
      <c r="B4" s="489"/>
      <c r="C4" s="4307" t="s">
        <v>500</v>
      </c>
      <c r="D4" s="4308"/>
      <c r="E4" s="4332" t="s">
        <v>501</v>
      </c>
      <c r="F4" s="4333"/>
      <c r="G4" s="4307" t="s">
        <v>502</v>
      </c>
      <c r="H4" s="4308"/>
      <c r="I4" s="4307" t="s">
        <v>503</v>
      </c>
      <c r="J4" s="4308"/>
      <c r="K4" s="490" t="s">
        <v>504</v>
      </c>
      <c r="L4" s="1986"/>
      <c r="M4" s="1987"/>
      <c r="N4" s="1987"/>
      <c r="O4" s="1987"/>
      <c r="P4" s="4476" t="s">
        <v>505</v>
      </c>
      <c r="Q4" s="4310"/>
      <c r="R4" s="4295" t="s">
        <v>501</v>
      </c>
      <c r="S4" s="4296"/>
      <c r="T4" s="4295" t="s">
        <v>502</v>
      </c>
      <c r="U4" s="4296"/>
      <c r="V4" s="4315" t="s">
        <v>503</v>
      </c>
      <c r="W4" s="4315"/>
      <c r="X4" s="1476"/>
      <c r="Y4" s="4295" t="s">
        <v>505</v>
      </c>
      <c r="Z4" s="4296"/>
      <c r="AA4" s="4290" t="s">
        <v>501</v>
      </c>
      <c r="AB4" s="4290" t="s">
        <v>502</v>
      </c>
      <c r="AC4" s="4290" t="s">
        <v>503</v>
      </c>
    </row>
    <row r="5" spans="1:29" ht="15">
      <c r="A5" s="491"/>
      <c r="B5" s="492"/>
      <c r="C5" s="4318" t="s">
        <v>2867</v>
      </c>
      <c r="D5" s="4319"/>
      <c r="E5" s="4334" t="s">
        <v>2868</v>
      </c>
      <c r="F5" s="4335"/>
      <c r="G5" s="4318" t="s">
        <v>2869</v>
      </c>
      <c r="H5" s="4319"/>
      <c r="I5" s="4318" t="s">
        <v>2870</v>
      </c>
      <c r="J5" s="4319"/>
      <c r="K5" s="490"/>
      <c r="L5" s="1986"/>
      <c r="M5" s="1987"/>
      <c r="N5" s="1987"/>
      <c r="O5" s="1987"/>
      <c r="P5" s="4477"/>
      <c r="Q5" s="4312"/>
      <c r="R5" s="4297"/>
      <c r="S5" s="4298"/>
      <c r="T5" s="4297"/>
      <c r="U5" s="4298"/>
      <c r="V5" s="4315"/>
      <c r="W5" s="4315"/>
      <c r="X5" s="1476"/>
      <c r="Y5" s="4297"/>
      <c r="Z5" s="4298"/>
      <c r="AA5" s="4291"/>
      <c r="AB5" s="4291"/>
      <c r="AC5" s="4291"/>
    </row>
    <row r="6" spans="1:29" ht="15.75" thickBot="1">
      <c r="A6" s="493"/>
      <c r="B6" s="494"/>
      <c r="C6" s="4316" t="s">
        <v>2871</v>
      </c>
      <c r="D6" s="4317"/>
      <c r="E6" s="4336" t="s">
        <v>2871</v>
      </c>
      <c r="F6" s="4337"/>
      <c r="G6" s="4316" t="s">
        <v>2871</v>
      </c>
      <c r="H6" s="4317"/>
      <c r="I6" s="4316" t="s">
        <v>2871</v>
      </c>
      <c r="J6" s="4317"/>
      <c r="K6" s="490" t="s">
        <v>506</v>
      </c>
      <c r="L6" s="1986"/>
      <c r="M6" s="1987"/>
      <c r="N6" s="1987"/>
      <c r="O6" s="1987"/>
      <c r="P6" s="4478"/>
      <c r="Q6" s="4314"/>
      <c r="R6" s="4297"/>
      <c r="S6" s="4298"/>
      <c r="T6" s="4299"/>
      <c r="U6" s="4300"/>
      <c r="V6" s="4315"/>
      <c r="W6" s="4315"/>
      <c r="X6" s="1476"/>
      <c r="Y6" s="4299"/>
      <c r="Z6" s="4300"/>
      <c r="AA6" s="4292"/>
      <c r="AB6" s="4292"/>
      <c r="AC6" s="4292"/>
    </row>
    <row r="7" spans="1:29" s="1185" customFormat="1" ht="15.75" thickBot="1">
      <c r="A7" s="2597"/>
      <c r="B7" s="2604" t="s">
        <v>507</v>
      </c>
      <c r="C7" s="495">
        <f>'数据-取费表'!B2</f>
        <v>44550</v>
      </c>
      <c r="D7" s="496">
        <v>100</v>
      </c>
      <c r="E7" s="497"/>
      <c r="F7" s="498">
        <f>SUMIF(59:59,YEAR(E7)&amp;"-"&amp;MONTH(E7),60:60)</f>
        <v>0</v>
      </c>
      <c r="G7" s="497"/>
      <c r="H7" s="496">
        <f>SUMIF(59:59,YEAR(G7)&amp;"-"&amp;MONTH(G7),60:60)</f>
        <v>0</v>
      </c>
      <c r="I7" s="497"/>
      <c r="J7" s="496">
        <f>SUMIF(59:59,YEAR(I7)&amp;"-"&amp;MONTH(I7),60:60)</f>
        <v>0</v>
      </c>
      <c r="K7" s="500"/>
      <c r="L7" s="1988"/>
      <c r="M7" s="1989"/>
      <c r="N7" s="1989"/>
      <c r="O7" s="1989"/>
      <c r="P7" s="4302" t="s">
        <v>508</v>
      </c>
      <c r="Q7" s="4302"/>
      <c r="R7" s="1477" t="s">
        <v>8</v>
      </c>
      <c r="S7" s="1478">
        <f t="shared" ref="S7:S15" si="0">F7</f>
        <v>0</v>
      </c>
      <c r="T7" s="1477" t="s">
        <v>8</v>
      </c>
      <c r="U7" s="1478">
        <f t="shared" ref="U7:U15" si="1">H7</f>
        <v>0</v>
      </c>
      <c r="V7" s="1477" t="s">
        <v>8</v>
      </c>
      <c r="W7" s="1478">
        <f t="shared" ref="W7:W15" si="2">J7</f>
        <v>0</v>
      </c>
      <c r="X7" s="1479"/>
      <c r="Y7" s="4293" t="s">
        <v>508</v>
      </c>
      <c r="Z7" s="4294"/>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4302" t="s">
        <v>511</v>
      </c>
      <c r="Q8" s="4294"/>
      <c r="R8" s="1477" t="s">
        <v>8</v>
      </c>
      <c r="S8" s="1478">
        <f t="shared" si="0"/>
        <v>0</v>
      </c>
      <c r="T8" s="1477" t="s">
        <v>8</v>
      </c>
      <c r="U8" s="1478">
        <f t="shared" si="1"/>
        <v>0</v>
      </c>
      <c r="V8" s="1477" t="s">
        <v>8</v>
      </c>
      <c r="W8" s="1478">
        <f t="shared" si="2"/>
        <v>0</v>
      </c>
      <c r="X8" s="1479"/>
      <c r="Y8" s="4293" t="s">
        <v>511</v>
      </c>
      <c r="Z8" s="4294"/>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4301" t="s">
        <v>513</v>
      </c>
      <c r="Q9" s="1116" t="str">
        <f t="shared" ref="Q9:Q15" si="6">B9</f>
        <v>用途</v>
      </c>
      <c r="R9" s="1477" t="s">
        <v>8</v>
      </c>
      <c r="S9" s="1478">
        <f t="shared" si="0"/>
        <v>100</v>
      </c>
      <c r="T9" s="1477" t="s">
        <v>8</v>
      </c>
      <c r="U9" s="1478">
        <f t="shared" si="1"/>
        <v>100</v>
      </c>
      <c r="V9" s="1477" t="s">
        <v>8</v>
      </c>
      <c r="W9" s="1478">
        <f t="shared" si="2"/>
        <v>100</v>
      </c>
      <c r="X9" s="1479"/>
      <c r="Y9" s="424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4301"/>
      <c r="Q10" s="1116" t="str">
        <f t="shared" si="6"/>
        <v>土地使用年限（年）</v>
      </c>
      <c r="R10" s="1477" t="s">
        <v>8</v>
      </c>
      <c r="S10" s="1478">
        <f t="shared" si="0"/>
        <v>100</v>
      </c>
      <c r="T10" s="1477" t="s">
        <v>8</v>
      </c>
      <c r="U10" s="1478">
        <f t="shared" si="1"/>
        <v>100</v>
      </c>
      <c r="V10" s="1477" t="s">
        <v>8</v>
      </c>
      <c r="W10" s="1478">
        <f t="shared" si="2"/>
        <v>100</v>
      </c>
      <c r="X10" s="1479"/>
      <c r="Y10" s="4248"/>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4301"/>
      <c r="Q11" s="1116" t="str">
        <f t="shared" si="6"/>
        <v>容积率</v>
      </c>
      <c r="R11" s="1477" t="s">
        <v>8</v>
      </c>
      <c r="S11" s="1478" t="e">
        <f t="shared" si="0"/>
        <v>#N/A</v>
      </c>
      <c r="T11" s="1477" t="s">
        <v>8</v>
      </c>
      <c r="U11" s="1478" t="e">
        <f t="shared" si="1"/>
        <v>#N/A</v>
      </c>
      <c r="V11" s="1477" t="s">
        <v>8</v>
      </c>
      <c r="W11" s="1478" t="e">
        <f t="shared" si="2"/>
        <v>#N/A</v>
      </c>
      <c r="X11" s="1479"/>
      <c r="Y11" s="424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4301"/>
      <c r="Q12" s="1116">
        <f t="shared" si="6"/>
        <v>111</v>
      </c>
      <c r="R12" s="1477" t="s">
        <v>8</v>
      </c>
      <c r="S12" s="1478">
        <f t="shared" si="0"/>
        <v>100</v>
      </c>
      <c r="T12" s="1477" t="s">
        <v>8</v>
      </c>
      <c r="U12" s="1478">
        <f t="shared" si="1"/>
        <v>100</v>
      </c>
      <c r="V12" s="1477" t="s">
        <v>8</v>
      </c>
      <c r="W12" s="1478">
        <f t="shared" si="2"/>
        <v>100</v>
      </c>
      <c r="X12" s="1479"/>
      <c r="Y12" s="4248"/>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4301"/>
      <c r="Q13" s="1116">
        <f t="shared" si="6"/>
        <v>111</v>
      </c>
      <c r="R13" s="1477" t="s">
        <v>8</v>
      </c>
      <c r="S13" s="1478">
        <f t="shared" si="0"/>
        <v>100</v>
      </c>
      <c r="T13" s="1477" t="s">
        <v>8</v>
      </c>
      <c r="U13" s="1478">
        <f t="shared" si="1"/>
        <v>100</v>
      </c>
      <c r="V13" s="1477" t="s">
        <v>8</v>
      </c>
      <c r="W13" s="1478">
        <f t="shared" si="2"/>
        <v>100</v>
      </c>
      <c r="X13" s="1479"/>
      <c r="Y13" s="4248"/>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4301"/>
      <c r="Q14" s="1116">
        <f t="shared" si="6"/>
        <v>111</v>
      </c>
      <c r="R14" s="1477" t="s">
        <v>8</v>
      </c>
      <c r="S14" s="1478">
        <f t="shared" si="0"/>
        <v>100</v>
      </c>
      <c r="T14" s="1477" t="s">
        <v>8</v>
      </c>
      <c r="U14" s="1478">
        <f t="shared" si="1"/>
        <v>100</v>
      </c>
      <c r="V14" s="1477" t="s">
        <v>8</v>
      </c>
      <c r="W14" s="1478">
        <f t="shared" si="2"/>
        <v>100</v>
      </c>
      <c r="X14" s="1479"/>
      <c r="Y14" s="4248"/>
      <c r="Z14" s="1115">
        <f t="shared" si="7"/>
        <v>111</v>
      </c>
      <c r="AA14" s="1480">
        <f t="shared" si="3"/>
        <v>1</v>
      </c>
      <c r="AB14" s="1480">
        <f t="shared" si="4"/>
        <v>1</v>
      </c>
      <c r="AC14" s="1480">
        <f t="shared" si="5"/>
        <v>1</v>
      </c>
    </row>
    <row r="15" spans="1:29" ht="71.2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4303" t="s">
        <v>518</v>
      </c>
      <c r="Q15" s="1481" t="str">
        <f t="shared" si="6"/>
        <v>办公集聚程度</v>
      </c>
      <c r="R15" s="1482" t="s">
        <v>8</v>
      </c>
      <c r="S15" s="1483">
        <f t="shared" si="0"/>
        <v>100</v>
      </c>
      <c r="T15" s="1482" t="s">
        <v>8</v>
      </c>
      <c r="U15" s="1483">
        <f t="shared" si="1"/>
        <v>100</v>
      </c>
      <c r="V15" s="1482" t="s">
        <v>8</v>
      </c>
      <c r="W15" s="1483">
        <f t="shared" si="2"/>
        <v>100</v>
      </c>
      <c r="X15" s="1476"/>
      <c r="Y15" s="4303"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4304"/>
      <c r="Q16" s="1481"/>
      <c r="R16" s="1482"/>
      <c r="S16" s="1483"/>
      <c r="T16" s="1482"/>
      <c r="U16" s="1483"/>
      <c r="V16" s="1482"/>
      <c r="W16" s="1483"/>
      <c r="X16" s="1476"/>
      <c r="Y16" s="4304"/>
      <c r="Z16" s="1484"/>
      <c r="AA16" s="1485">
        <v>1</v>
      </c>
      <c r="AB16" s="1485">
        <v>1</v>
      </c>
      <c r="AC16" s="148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4304"/>
      <c r="Q17" s="1481" t="str">
        <f>B17</f>
        <v>交通便捷度</v>
      </c>
      <c r="R17" s="1482" t="s">
        <v>8</v>
      </c>
      <c r="S17" s="1483">
        <f>F17</f>
        <v>100</v>
      </c>
      <c r="T17" s="1482" t="s">
        <v>8</v>
      </c>
      <c r="U17" s="1483">
        <f>H17</f>
        <v>100</v>
      </c>
      <c r="V17" s="1482" t="s">
        <v>8</v>
      </c>
      <c r="W17" s="1483">
        <f>J17</f>
        <v>100</v>
      </c>
      <c r="X17" s="1476"/>
      <c r="Y17" s="4304"/>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4304"/>
      <c r="Q18" s="1481"/>
      <c r="R18" s="1482"/>
      <c r="S18" s="1483"/>
      <c r="T18" s="1482"/>
      <c r="U18" s="1483"/>
      <c r="V18" s="1482"/>
      <c r="W18" s="1483"/>
      <c r="X18" s="1476"/>
      <c r="Y18" s="4304"/>
      <c r="Z18" s="1484"/>
      <c r="AA18" s="1485">
        <v>1</v>
      </c>
      <c r="AB18" s="1485">
        <v>1</v>
      </c>
      <c r="AC18" s="1485">
        <v>1</v>
      </c>
    </row>
    <row r="19" spans="1:29" ht="42.75">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4304"/>
      <c r="Q19" s="1481" t="str">
        <f>B19</f>
        <v>公共配套设施</v>
      </c>
      <c r="R19" s="1482" t="s">
        <v>8</v>
      </c>
      <c r="S19" s="1483">
        <f>F19</f>
        <v>100</v>
      </c>
      <c r="T19" s="1482" t="s">
        <v>8</v>
      </c>
      <c r="U19" s="1483">
        <f>H19</f>
        <v>100</v>
      </c>
      <c r="V19" s="1482" t="s">
        <v>8</v>
      </c>
      <c r="W19" s="1483">
        <f>J19</f>
        <v>100</v>
      </c>
      <c r="X19" s="1476"/>
      <c r="Y19" s="4304"/>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4304"/>
      <c r="Q20" s="1481"/>
      <c r="R20" s="1482"/>
      <c r="S20" s="1483"/>
      <c r="T20" s="1482"/>
      <c r="U20" s="1483"/>
      <c r="V20" s="1482"/>
      <c r="W20" s="1483"/>
      <c r="X20" s="1476"/>
      <c r="Y20" s="4304"/>
      <c r="Z20" s="1484"/>
      <c r="AA20" s="1485">
        <v>1</v>
      </c>
      <c r="AB20" s="1485">
        <v>1</v>
      </c>
      <c r="AC20" s="1485">
        <v>1</v>
      </c>
    </row>
    <row r="21" spans="1:29" ht="28.5">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4304"/>
      <c r="Q21" s="2397" t="str">
        <f>B21</f>
        <v>基础设施水平</v>
      </c>
      <c r="R21" s="1482" t="s">
        <v>8</v>
      </c>
      <c r="S21" s="1483">
        <f>F21</f>
        <v>100</v>
      </c>
      <c r="T21" s="1482" t="s">
        <v>8</v>
      </c>
      <c r="U21" s="1483">
        <f>H21</f>
        <v>100</v>
      </c>
      <c r="V21" s="1482" t="s">
        <v>8</v>
      </c>
      <c r="W21" s="1483">
        <f>J21</f>
        <v>100</v>
      </c>
      <c r="X21" s="2399"/>
      <c r="Y21" s="4304"/>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4304"/>
      <c r="Q22" s="2397"/>
      <c r="R22" s="1482"/>
      <c r="S22" s="1483"/>
      <c r="T22" s="1482"/>
      <c r="U22" s="1483"/>
      <c r="V22" s="1482"/>
      <c r="W22" s="1483"/>
      <c r="X22" s="2399"/>
      <c r="Y22" s="4304"/>
      <c r="Z22" s="2398"/>
      <c r="AA22" s="1485">
        <v>1</v>
      </c>
      <c r="AB22" s="1485">
        <v>1</v>
      </c>
      <c r="AC22" s="1485">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4304"/>
      <c r="Q23" s="1481" t="str">
        <f>B23</f>
        <v>环境质量</v>
      </c>
      <c r="R23" s="1482" t="s">
        <v>8</v>
      </c>
      <c r="S23" s="1483">
        <f>F23</f>
        <v>100</v>
      </c>
      <c r="T23" s="1482" t="s">
        <v>8</v>
      </c>
      <c r="U23" s="1483">
        <f>H23</f>
        <v>100</v>
      </c>
      <c r="V23" s="1482" t="s">
        <v>8</v>
      </c>
      <c r="W23" s="1483">
        <f>J23</f>
        <v>100</v>
      </c>
      <c r="X23" s="1476"/>
      <c r="Y23" s="4304"/>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4304"/>
      <c r="Q24" s="1481"/>
      <c r="R24" s="1482"/>
      <c r="S24" s="1483"/>
      <c r="T24" s="1482"/>
      <c r="U24" s="1483"/>
      <c r="V24" s="1482"/>
      <c r="W24" s="1483"/>
      <c r="X24" s="1476"/>
      <c r="Y24" s="4304"/>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4304"/>
      <c r="Q25" s="1481" t="str">
        <f>B25</f>
        <v>毗邻道路的类型与等级</v>
      </c>
      <c r="R25" s="1482" t="s">
        <v>8</v>
      </c>
      <c r="S25" s="1483">
        <f>F25</f>
        <v>100</v>
      </c>
      <c r="T25" s="1482" t="s">
        <v>8</v>
      </c>
      <c r="U25" s="1483">
        <f>H25</f>
        <v>100</v>
      </c>
      <c r="V25" s="1482" t="s">
        <v>8</v>
      </c>
      <c r="W25" s="1483">
        <f>J25</f>
        <v>100</v>
      </c>
      <c r="X25" s="1476"/>
      <c r="Y25" s="4304"/>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4304"/>
      <c r="Q26" s="1481"/>
      <c r="R26" s="1482"/>
      <c r="S26" s="1483"/>
      <c r="T26" s="1482"/>
      <c r="U26" s="1483"/>
      <c r="V26" s="1482"/>
      <c r="W26" s="1483"/>
      <c r="X26" s="1476"/>
      <c r="Y26" s="4304"/>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4304"/>
      <c r="Q27" s="1481" t="str">
        <f t="shared" ref="Q27:Q47" si="11">B27</f>
        <v>楼层</v>
      </c>
      <c r="R27" s="1482" t="s">
        <v>8</v>
      </c>
      <c r="S27" s="1483">
        <f>F27</f>
        <v>100</v>
      </c>
      <c r="T27" s="1482" t="s">
        <v>8</v>
      </c>
      <c r="U27" s="1483">
        <f>H27</f>
        <v>100</v>
      </c>
      <c r="V27" s="1482" t="s">
        <v>8</v>
      </c>
      <c r="W27" s="1483">
        <f>J27</f>
        <v>100</v>
      </c>
      <c r="X27" s="1476"/>
      <c r="Y27" s="4304"/>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4304"/>
      <c r="Q28" s="1116" t="str">
        <f t="shared" si="11"/>
        <v>朝向</v>
      </c>
      <c r="R28" s="1477" t="s">
        <v>8</v>
      </c>
      <c r="S28" s="1478">
        <f>F28</f>
        <v>100</v>
      </c>
      <c r="T28" s="1477" t="s">
        <v>8</v>
      </c>
      <c r="U28" s="1478">
        <f>H28</f>
        <v>100</v>
      </c>
      <c r="V28" s="1477" t="s">
        <v>8</v>
      </c>
      <c r="W28" s="1478">
        <f>J28</f>
        <v>100</v>
      </c>
      <c r="X28" s="1479"/>
      <c r="Y28" s="4304"/>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4304"/>
      <c r="Q29" s="1481">
        <f t="shared" si="11"/>
        <v>111</v>
      </c>
      <c r="R29" s="1482" t="s">
        <v>8</v>
      </c>
      <c r="S29" s="1483">
        <f t="shared" ref="S29:S47" si="12">F29</f>
        <v>100</v>
      </c>
      <c r="T29" s="1482" t="s">
        <v>8</v>
      </c>
      <c r="U29" s="1483">
        <f t="shared" ref="U29:U47" si="13">H29</f>
        <v>100</v>
      </c>
      <c r="V29" s="1482" t="s">
        <v>8</v>
      </c>
      <c r="W29" s="1483">
        <f t="shared" ref="W29:W47" si="14">J29</f>
        <v>100</v>
      </c>
      <c r="X29" s="1476"/>
      <c r="Y29" s="4304"/>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4304"/>
      <c r="Q30" s="1481">
        <f t="shared" si="11"/>
        <v>111</v>
      </c>
      <c r="R30" s="1482" t="s">
        <v>8</v>
      </c>
      <c r="S30" s="1483">
        <f t="shared" si="12"/>
        <v>100</v>
      </c>
      <c r="T30" s="1482" t="s">
        <v>8</v>
      </c>
      <c r="U30" s="1483">
        <f t="shared" si="13"/>
        <v>100</v>
      </c>
      <c r="V30" s="1482" t="s">
        <v>8</v>
      </c>
      <c r="W30" s="1483">
        <f t="shared" si="14"/>
        <v>100</v>
      </c>
      <c r="X30" s="1476"/>
      <c r="Y30" s="4304"/>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4304"/>
      <c r="Q31" s="1481">
        <f t="shared" si="11"/>
        <v>111</v>
      </c>
      <c r="R31" s="1482" t="s">
        <v>8</v>
      </c>
      <c r="S31" s="1483">
        <f t="shared" si="12"/>
        <v>100</v>
      </c>
      <c r="T31" s="1482" t="s">
        <v>8</v>
      </c>
      <c r="U31" s="1483">
        <f t="shared" si="13"/>
        <v>100</v>
      </c>
      <c r="V31" s="1482" t="s">
        <v>8</v>
      </c>
      <c r="W31" s="1483">
        <f t="shared" si="14"/>
        <v>100</v>
      </c>
      <c r="X31" s="1476"/>
      <c r="Y31" s="4304"/>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4304"/>
      <c r="Q32" s="1481">
        <f t="shared" si="11"/>
        <v>111</v>
      </c>
      <c r="R32" s="1482" t="s">
        <v>8</v>
      </c>
      <c r="S32" s="1483">
        <f t="shared" si="12"/>
        <v>100</v>
      </c>
      <c r="T32" s="1482" t="s">
        <v>8</v>
      </c>
      <c r="U32" s="1483">
        <f t="shared" si="13"/>
        <v>100</v>
      </c>
      <c r="V32" s="1482" t="s">
        <v>8</v>
      </c>
      <c r="W32" s="1483">
        <f t="shared" si="14"/>
        <v>100</v>
      </c>
      <c r="X32" s="1476"/>
      <c r="Y32" s="4304"/>
      <c r="Z32" s="1484">
        <f t="shared" si="15"/>
        <v>111</v>
      </c>
      <c r="AA32" s="1485">
        <f t="shared" si="3"/>
        <v>1</v>
      </c>
      <c r="AB32" s="1485">
        <f t="shared" si="4"/>
        <v>1</v>
      </c>
      <c r="AC32" s="1485">
        <f t="shared" si="5"/>
        <v>1</v>
      </c>
    </row>
    <row r="33" spans="1:29" ht="1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4305" t="s">
        <v>528</v>
      </c>
      <c r="Q33" s="1481" t="str">
        <f t="shared" si="11"/>
        <v>建筑类型</v>
      </c>
      <c r="R33" s="1482" t="s">
        <v>8</v>
      </c>
      <c r="S33" s="1483">
        <f t="shared" si="12"/>
        <v>100</v>
      </c>
      <c r="T33" s="1482" t="s">
        <v>8</v>
      </c>
      <c r="U33" s="1483">
        <f t="shared" si="13"/>
        <v>100</v>
      </c>
      <c r="V33" s="1482" t="s">
        <v>8</v>
      </c>
      <c r="W33" s="1483">
        <f t="shared" si="14"/>
        <v>100</v>
      </c>
      <c r="X33" s="1476"/>
      <c r="Y33" s="4306"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4306"/>
      <c r="Q34" s="1510" t="str">
        <f t="shared" si="11"/>
        <v>项目建筑规模</v>
      </c>
      <c r="R34" s="1486" t="s">
        <v>8</v>
      </c>
      <c r="S34" s="1487" t="e">
        <f t="shared" si="12"/>
        <v>#N/A</v>
      </c>
      <c r="T34" s="1486" t="s">
        <v>8</v>
      </c>
      <c r="U34" s="1487" t="e">
        <f t="shared" si="13"/>
        <v>#N/A</v>
      </c>
      <c r="V34" s="1486" t="s">
        <v>8</v>
      </c>
      <c r="W34" s="1487" t="e">
        <f t="shared" si="14"/>
        <v>#N/A</v>
      </c>
      <c r="X34" s="1488"/>
      <c r="Y34" s="4306"/>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4306"/>
      <c r="Q35" s="1481" t="str">
        <f t="shared" si="11"/>
        <v>建筑结构</v>
      </c>
      <c r="R35" s="1482" t="s">
        <v>8</v>
      </c>
      <c r="S35" s="1483">
        <f t="shared" si="12"/>
        <v>100</v>
      </c>
      <c r="T35" s="1482" t="s">
        <v>8</v>
      </c>
      <c r="U35" s="1483">
        <f t="shared" si="13"/>
        <v>100</v>
      </c>
      <c r="V35" s="1482" t="s">
        <v>8</v>
      </c>
      <c r="W35" s="1483">
        <f t="shared" si="14"/>
        <v>100</v>
      </c>
      <c r="X35" s="1476"/>
      <c r="Y35" s="4306"/>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4306"/>
      <c r="Q36" s="1481" t="str">
        <f t="shared" si="11"/>
        <v>公共部分装修</v>
      </c>
      <c r="R36" s="1482" t="s">
        <v>8</v>
      </c>
      <c r="S36" s="1483">
        <f t="shared" si="12"/>
        <v>100</v>
      </c>
      <c r="T36" s="1482" t="s">
        <v>8</v>
      </c>
      <c r="U36" s="1483">
        <f t="shared" si="13"/>
        <v>100</v>
      </c>
      <c r="V36" s="1482" t="s">
        <v>8</v>
      </c>
      <c r="W36" s="1483">
        <f t="shared" si="14"/>
        <v>100</v>
      </c>
      <c r="X36" s="1476"/>
      <c r="Y36" s="4306"/>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4306"/>
      <c r="Q37" s="1481" t="str">
        <f t="shared" si="11"/>
        <v>成新度</v>
      </c>
      <c r="R37" s="1482" t="s">
        <v>8</v>
      </c>
      <c r="S37" s="1483" t="e">
        <f t="shared" si="12"/>
        <v>#N/A</v>
      </c>
      <c r="T37" s="1482" t="s">
        <v>8</v>
      </c>
      <c r="U37" s="1483" t="e">
        <f t="shared" si="13"/>
        <v>#N/A</v>
      </c>
      <c r="V37" s="1482" t="s">
        <v>8</v>
      </c>
      <c r="W37" s="1483" t="e">
        <f t="shared" si="14"/>
        <v>#N/A</v>
      </c>
      <c r="X37" s="1476"/>
      <c r="Y37" s="4306"/>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4306"/>
      <c r="Q38" s="1116" t="str">
        <f t="shared" si="11"/>
        <v>写字楼等级</v>
      </c>
      <c r="R38" s="1477" t="s">
        <v>8</v>
      </c>
      <c r="S38" s="1478">
        <f t="shared" si="12"/>
        <v>100</v>
      </c>
      <c r="T38" s="1477" t="s">
        <v>8</v>
      </c>
      <c r="U38" s="1478">
        <f t="shared" si="13"/>
        <v>100</v>
      </c>
      <c r="V38" s="1477" t="s">
        <v>8</v>
      </c>
      <c r="W38" s="1478">
        <f t="shared" si="14"/>
        <v>100</v>
      </c>
      <c r="X38" s="1479"/>
      <c r="Y38" s="4306"/>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4306" t="s">
        <v>528</v>
      </c>
      <c r="Q39" s="1481" t="str">
        <f t="shared" si="11"/>
        <v>物业管理</v>
      </c>
      <c r="R39" s="1482" t="s">
        <v>8</v>
      </c>
      <c r="S39" s="1483">
        <f t="shared" si="12"/>
        <v>100</v>
      </c>
      <c r="T39" s="1482" t="s">
        <v>8</v>
      </c>
      <c r="U39" s="1483">
        <f t="shared" si="13"/>
        <v>100</v>
      </c>
      <c r="V39" s="1482" t="s">
        <v>8</v>
      </c>
      <c r="W39" s="1483">
        <f t="shared" si="14"/>
        <v>100</v>
      </c>
      <c r="X39" s="1476"/>
      <c r="Y39" s="4306" t="s">
        <v>528</v>
      </c>
      <c r="Z39" s="1484" t="str">
        <f t="shared" si="15"/>
        <v>物业管理</v>
      </c>
      <c r="AA39" s="1485">
        <f t="shared" si="3"/>
        <v>1</v>
      </c>
      <c r="AB39" s="1485">
        <f t="shared" si="4"/>
        <v>1</v>
      </c>
      <c r="AC39" s="1485">
        <f t="shared" si="5"/>
        <v>1</v>
      </c>
    </row>
    <row r="40" spans="1:29" ht="1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4306"/>
      <c r="Q40" s="1481" t="str">
        <f t="shared" si="11"/>
        <v>市政基础设施</v>
      </c>
      <c r="R40" s="1482" t="s">
        <v>8</v>
      </c>
      <c r="S40" s="1483">
        <f t="shared" si="12"/>
        <v>100</v>
      </c>
      <c r="T40" s="1482" t="s">
        <v>8</v>
      </c>
      <c r="U40" s="1483">
        <f t="shared" si="13"/>
        <v>100</v>
      </c>
      <c r="V40" s="1482" t="s">
        <v>8</v>
      </c>
      <c r="W40" s="1483">
        <f t="shared" si="14"/>
        <v>100</v>
      </c>
      <c r="X40" s="1476"/>
      <c r="Y40" s="4306"/>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4306"/>
      <c r="Q41" s="1481" t="str">
        <f t="shared" si="11"/>
        <v>层高</v>
      </c>
      <c r="R41" s="1482" t="s">
        <v>8</v>
      </c>
      <c r="S41" s="1483">
        <f t="shared" si="12"/>
        <v>100</v>
      </c>
      <c r="T41" s="1482" t="s">
        <v>8</v>
      </c>
      <c r="U41" s="1483">
        <f t="shared" si="13"/>
        <v>100</v>
      </c>
      <c r="V41" s="1482" t="s">
        <v>8</v>
      </c>
      <c r="W41" s="1483">
        <f t="shared" si="14"/>
        <v>100</v>
      </c>
      <c r="X41" s="1476"/>
      <c r="Y41" s="4306"/>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4306"/>
      <c r="Q42" s="1510" t="str">
        <f t="shared" si="11"/>
        <v>单套建筑面积</v>
      </c>
      <c r="R42" s="1486" t="s">
        <v>8</v>
      </c>
      <c r="S42" s="1487">
        <f t="shared" si="12"/>
        <v>100</v>
      </c>
      <c r="T42" s="1486" t="s">
        <v>8</v>
      </c>
      <c r="U42" s="1487">
        <f t="shared" si="13"/>
        <v>100</v>
      </c>
      <c r="V42" s="1486" t="s">
        <v>8</v>
      </c>
      <c r="W42" s="1487">
        <f t="shared" si="14"/>
        <v>100</v>
      </c>
      <c r="X42" s="1488"/>
      <c r="Y42" s="4306"/>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4306"/>
      <c r="Q43" s="1481" t="str">
        <f t="shared" si="11"/>
        <v>内部装修</v>
      </c>
      <c r="R43" s="1482" t="s">
        <v>8</v>
      </c>
      <c r="S43" s="1483">
        <f t="shared" si="12"/>
        <v>100</v>
      </c>
      <c r="T43" s="1482" t="s">
        <v>8</v>
      </c>
      <c r="U43" s="1483">
        <f t="shared" si="13"/>
        <v>100</v>
      </c>
      <c r="V43" s="1482" t="s">
        <v>8</v>
      </c>
      <c r="W43" s="1483">
        <f t="shared" si="14"/>
        <v>100</v>
      </c>
      <c r="X43" s="1476"/>
      <c r="Y43" s="4306"/>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4306"/>
      <c r="Q44" s="1481" t="str">
        <f t="shared" si="11"/>
        <v>内部装修维护情况</v>
      </c>
      <c r="R44" s="1482" t="s">
        <v>8</v>
      </c>
      <c r="S44" s="1483">
        <f t="shared" si="12"/>
        <v>100</v>
      </c>
      <c r="T44" s="1482" t="s">
        <v>8</v>
      </c>
      <c r="U44" s="1483">
        <f t="shared" si="13"/>
        <v>100</v>
      </c>
      <c r="V44" s="1482" t="s">
        <v>8</v>
      </c>
      <c r="W44" s="1483">
        <f t="shared" si="14"/>
        <v>100</v>
      </c>
      <c r="X44" s="1476"/>
      <c r="Y44" s="4306"/>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4306"/>
      <c r="Q45" s="1116">
        <f t="shared" si="11"/>
        <v>111</v>
      </c>
      <c r="R45" s="1477" t="s">
        <v>8</v>
      </c>
      <c r="S45" s="1478">
        <f t="shared" si="12"/>
        <v>100</v>
      </c>
      <c r="T45" s="1477" t="s">
        <v>8</v>
      </c>
      <c r="U45" s="1478">
        <f t="shared" si="13"/>
        <v>100</v>
      </c>
      <c r="V45" s="1477" t="s">
        <v>8</v>
      </c>
      <c r="W45" s="1478">
        <f t="shared" si="14"/>
        <v>100</v>
      </c>
      <c r="X45" s="1479"/>
      <c r="Y45" s="4306"/>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4306"/>
      <c r="Q46" s="1481">
        <f t="shared" si="11"/>
        <v>111</v>
      </c>
      <c r="R46" s="1482" t="s">
        <v>8</v>
      </c>
      <c r="S46" s="1483">
        <f t="shared" si="12"/>
        <v>100</v>
      </c>
      <c r="T46" s="1482" t="s">
        <v>8</v>
      </c>
      <c r="U46" s="1483">
        <f t="shared" si="13"/>
        <v>100</v>
      </c>
      <c r="V46" s="1482" t="s">
        <v>8</v>
      </c>
      <c r="W46" s="1483">
        <f t="shared" si="14"/>
        <v>100</v>
      </c>
      <c r="X46" s="1476"/>
      <c r="Y46" s="4306"/>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4475"/>
      <c r="Q47" s="1481">
        <f t="shared" si="11"/>
        <v>111</v>
      </c>
      <c r="R47" s="1482" t="s">
        <v>8</v>
      </c>
      <c r="S47" s="1483">
        <f t="shared" si="12"/>
        <v>100</v>
      </c>
      <c r="T47" s="1482" t="s">
        <v>8</v>
      </c>
      <c r="U47" s="1483">
        <f t="shared" si="13"/>
        <v>100</v>
      </c>
      <c r="V47" s="1482" t="s">
        <v>8</v>
      </c>
      <c r="W47" s="1483">
        <f t="shared" si="14"/>
        <v>100</v>
      </c>
      <c r="X47" s="1476"/>
      <c r="Y47" s="4475"/>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4323" t="str">
        <f>A48</f>
        <v>成交单价（元/平方米）</v>
      </c>
      <c r="Q48" s="4301"/>
      <c r="R48" s="4474">
        <f>E48</f>
        <v>0</v>
      </c>
      <c r="S48" s="4474"/>
      <c r="T48" s="4474">
        <f>G48</f>
        <v>0</v>
      </c>
      <c r="U48" s="4474"/>
      <c r="V48" s="4474">
        <f>I48</f>
        <v>0</v>
      </c>
      <c r="W48" s="4474"/>
      <c r="X48" s="1471"/>
      <c r="Y48" s="1490"/>
      <c r="Z48" s="1471"/>
      <c r="AA48" s="1471"/>
      <c r="AB48" s="1471"/>
      <c r="AC48" s="1471"/>
    </row>
    <row r="49" spans="1:29" ht="15.7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4323" t="str">
        <f>A49</f>
        <v>比较价格（元/平方米）</v>
      </c>
      <c r="Q49" s="4301"/>
      <c r="R49" s="4474" t="e">
        <f>IF(F1="售价",ROUND(PRODUCT(R48,AA7:AA47),0),ROUND(PRODUCT(R48,AA7:AA47),1))</f>
        <v>#DIV/0!</v>
      </c>
      <c r="S49" s="4474"/>
      <c r="T49" s="4474" t="e">
        <f>IF(F1="售价",ROUND(PRODUCT(T48,AB7:AB47),0),ROUND(PRODUCT(T48,AB7:AB47),1))</f>
        <v>#DIV/0!</v>
      </c>
      <c r="U49" s="4474"/>
      <c r="V49" s="4474" t="e">
        <f>IF(F1="售价",ROUND(PRODUCT(V48,AC7:AC47),0),ROUND(PRODUCT(V48,AC7:AC47),1))</f>
        <v>#DIV/0!</v>
      </c>
      <c r="W49" s="4474"/>
      <c r="X49" s="1471"/>
      <c r="Y49" s="1471"/>
      <c r="Z49" s="1471"/>
      <c r="AA49" s="1471"/>
      <c r="AB49" s="1471"/>
      <c r="AC49" s="1471"/>
    </row>
    <row r="50" spans="1:29" ht="15.75" thickBot="1">
      <c r="A50" s="595" t="s">
        <v>2873</v>
      </c>
      <c r="B50" s="596"/>
      <c r="C50" s="2446" t="e">
        <f>R50</f>
        <v>#DIV/0!</v>
      </c>
      <c r="D50" s="2446"/>
      <c r="E50" s="2446"/>
      <c r="F50" s="2446"/>
      <c r="G50" s="2446"/>
      <c r="H50" s="2446"/>
      <c r="I50" s="2446"/>
      <c r="J50" s="2446"/>
      <c r="K50" s="1516"/>
      <c r="L50" s="1997"/>
      <c r="M50" s="1987"/>
      <c r="N50" s="1987"/>
      <c r="O50" s="1987"/>
      <c r="P50" s="4479" t="str">
        <f>A50</f>
        <v>估价对象XX用房的比较价格（楼面单价，元/平方米）</v>
      </c>
      <c r="Q50" s="4323"/>
      <c r="R50" s="4473" t="e">
        <f>IF(F1="售价",ROUND(IF(D49="简单平均",AVERAGE(R49:V49),R49*F49+T49*H49+V49*J49),0),ROUND(IF(D49="简单平均",AVERAGE(R49:V49),R49*F49+T49*H49+V49*J49),1))</f>
        <v>#DIV/0!</v>
      </c>
      <c r="S50" s="4473"/>
      <c r="T50" s="4473"/>
      <c r="U50" s="4473"/>
      <c r="V50" s="4473"/>
      <c r="W50" s="4473"/>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2021-12</v>
      </c>
      <c r="D59" s="2489">
        <f>EDATE(C59,-1)</f>
        <v>44501</v>
      </c>
      <c r="E59" s="2489">
        <f t="shared" ref="E59:O59" si="16">EDATE(D59,-1)</f>
        <v>44470</v>
      </c>
      <c r="F59" s="2489">
        <f t="shared" si="16"/>
        <v>44440</v>
      </c>
      <c r="G59" s="2489">
        <f t="shared" si="16"/>
        <v>44409</v>
      </c>
      <c r="H59" s="2489">
        <f t="shared" si="16"/>
        <v>44378</v>
      </c>
      <c r="I59" s="2489">
        <f t="shared" si="16"/>
        <v>44348</v>
      </c>
      <c r="J59" s="2489">
        <f t="shared" si="16"/>
        <v>44317</v>
      </c>
      <c r="K59" s="2489">
        <f t="shared" si="16"/>
        <v>44287</v>
      </c>
      <c r="L59" s="2489">
        <f t="shared" si="16"/>
        <v>44256</v>
      </c>
      <c r="M59" s="2489">
        <f t="shared" si="16"/>
        <v>44228</v>
      </c>
      <c r="N59" s="2489">
        <f t="shared" si="16"/>
        <v>44197</v>
      </c>
      <c r="O59" s="2489">
        <f t="shared" si="16"/>
        <v>44166</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L20" sqref="L2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499</v>
      </c>
      <c r="B4" s="489"/>
      <c r="C4" s="4307" t="s">
        <v>500</v>
      </c>
      <c r="D4" s="4308"/>
      <c r="E4" s="4332" t="s">
        <v>501</v>
      </c>
      <c r="F4" s="4333"/>
      <c r="G4" s="4307" t="s">
        <v>502</v>
      </c>
      <c r="H4" s="4308"/>
      <c r="I4" s="4307" t="s">
        <v>503</v>
      </c>
      <c r="J4" s="4308"/>
      <c r="K4" s="490" t="s">
        <v>504</v>
      </c>
      <c r="L4" s="1986"/>
      <c r="M4" s="1987"/>
      <c r="N4" s="1987"/>
      <c r="O4" s="1987"/>
      <c r="P4" s="4309" t="s">
        <v>505</v>
      </c>
      <c r="Q4" s="4310"/>
      <c r="R4" s="4295" t="s">
        <v>501</v>
      </c>
      <c r="S4" s="4296"/>
      <c r="T4" s="4295" t="s">
        <v>502</v>
      </c>
      <c r="U4" s="4296"/>
      <c r="V4" s="4315" t="s">
        <v>503</v>
      </c>
      <c r="W4" s="4315"/>
      <c r="X4" s="1476"/>
      <c r="Y4" s="4295" t="s">
        <v>505</v>
      </c>
      <c r="Z4" s="4296"/>
      <c r="AA4" s="4290" t="s">
        <v>501</v>
      </c>
      <c r="AB4" s="4291" t="s">
        <v>502</v>
      </c>
      <c r="AC4" s="4290" t="s">
        <v>503</v>
      </c>
    </row>
    <row r="5" spans="1:29" ht="15">
      <c r="A5" s="491"/>
      <c r="B5" s="492"/>
      <c r="C5" s="4318" t="s">
        <v>2867</v>
      </c>
      <c r="D5" s="4319"/>
      <c r="E5" s="4334" t="s">
        <v>2868</v>
      </c>
      <c r="F5" s="4335"/>
      <c r="G5" s="4318" t="s">
        <v>2869</v>
      </c>
      <c r="H5" s="4319"/>
      <c r="I5" s="4318" t="s">
        <v>2870</v>
      </c>
      <c r="J5" s="4319"/>
      <c r="K5" s="490"/>
      <c r="L5" s="1986"/>
      <c r="M5" s="1987"/>
      <c r="N5" s="1987"/>
      <c r="O5" s="1987"/>
      <c r="P5" s="4311"/>
      <c r="Q5" s="4312"/>
      <c r="R5" s="4297"/>
      <c r="S5" s="4298"/>
      <c r="T5" s="4297"/>
      <c r="U5" s="4298"/>
      <c r="V5" s="4315"/>
      <c r="W5" s="4315"/>
      <c r="X5" s="1476"/>
      <c r="Y5" s="4297"/>
      <c r="Z5" s="4298"/>
      <c r="AA5" s="4291"/>
      <c r="AB5" s="4291"/>
      <c r="AC5" s="4291"/>
    </row>
    <row r="6" spans="1:29" ht="15.75" thickBot="1">
      <c r="A6" s="493"/>
      <c r="B6" s="494"/>
      <c r="C6" s="4316" t="s">
        <v>2871</v>
      </c>
      <c r="D6" s="4317"/>
      <c r="E6" s="4336" t="s">
        <v>2871</v>
      </c>
      <c r="F6" s="4337"/>
      <c r="G6" s="4316" t="s">
        <v>2871</v>
      </c>
      <c r="H6" s="4317"/>
      <c r="I6" s="4316" t="s">
        <v>2871</v>
      </c>
      <c r="J6" s="4317"/>
      <c r="K6" s="490" t="s">
        <v>506</v>
      </c>
      <c r="L6" s="1986"/>
      <c r="M6" s="1987"/>
      <c r="N6" s="1987"/>
      <c r="O6" s="1987"/>
      <c r="P6" s="4313"/>
      <c r="Q6" s="4314"/>
      <c r="R6" s="4297"/>
      <c r="S6" s="4298"/>
      <c r="T6" s="4299"/>
      <c r="U6" s="4300"/>
      <c r="V6" s="4315"/>
      <c r="W6" s="4315"/>
      <c r="X6" s="1476"/>
      <c r="Y6" s="4299"/>
      <c r="Z6" s="4300"/>
      <c r="AA6" s="4292"/>
      <c r="AB6" s="4292"/>
      <c r="AC6" s="4292"/>
    </row>
    <row r="7" spans="1:29" s="1185" customFormat="1" ht="15.75" thickBot="1">
      <c r="A7" s="2597"/>
      <c r="B7" s="2604" t="s">
        <v>507</v>
      </c>
      <c r="C7" s="495">
        <f>'数据-取费表'!B2</f>
        <v>44550</v>
      </c>
      <c r="D7" s="496">
        <v>100</v>
      </c>
      <c r="E7" s="497"/>
      <c r="F7" s="498">
        <f>SUMIF(52:52,YEAR(E7)&amp;"-"&amp;MONTH(E7),53:53)</f>
        <v>0</v>
      </c>
      <c r="G7" s="497"/>
      <c r="H7" s="496">
        <f>SUMIF(52:52,YEAR(G7)&amp;"-"&amp;MONTH(G7),53:53)</f>
        <v>0</v>
      </c>
      <c r="I7" s="497"/>
      <c r="J7" s="496">
        <f>SUMIF(52:52,YEAR(I7)&amp;"-"&amp;MONTH(I7),53:53)</f>
        <v>0</v>
      </c>
      <c r="K7" s="500"/>
      <c r="L7" s="1988"/>
      <c r="M7" s="1989"/>
      <c r="N7" s="1989"/>
      <c r="O7" s="1989"/>
      <c r="P7" s="4293" t="s">
        <v>508</v>
      </c>
      <c r="Q7" s="4302"/>
      <c r="R7" s="1477" t="s">
        <v>8</v>
      </c>
      <c r="S7" s="1478">
        <f t="shared" ref="S7:S15" si="0">F7</f>
        <v>0</v>
      </c>
      <c r="T7" s="1477" t="s">
        <v>8</v>
      </c>
      <c r="U7" s="1478">
        <f t="shared" ref="U7:U15" si="1">H7</f>
        <v>0</v>
      </c>
      <c r="V7" s="1477" t="s">
        <v>8</v>
      </c>
      <c r="W7" s="1478">
        <f t="shared" ref="W7:W15" si="2">J7</f>
        <v>0</v>
      </c>
      <c r="X7" s="1479"/>
      <c r="Y7" s="4293" t="s">
        <v>508</v>
      </c>
      <c r="Z7" s="4294"/>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4293" t="s">
        <v>511</v>
      </c>
      <c r="Q8" s="4294"/>
      <c r="R8" s="1477" t="s">
        <v>8</v>
      </c>
      <c r="S8" s="1478">
        <f t="shared" si="0"/>
        <v>0</v>
      </c>
      <c r="T8" s="1477" t="s">
        <v>8</v>
      </c>
      <c r="U8" s="1478">
        <f t="shared" si="1"/>
        <v>0</v>
      </c>
      <c r="V8" s="1477" t="s">
        <v>8</v>
      </c>
      <c r="W8" s="1478">
        <f t="shared" si="2"/>
        <v>0</v>
      </c>
      <c r="X8" s="1479"/>
      <c r="Y8" s="4293" t="s">
        <v>511</v>
      </c>
      <c r="Z8" s="4294"/>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4301" t="s">
        <v>513</v>
      </c>
      <c r="Q9" s="1116" t="str">
        <f t="shared" ref="Q9:Q15" si="6">B9</f>
        <v>用途</v>
      </c>
      <c r="R9" s="1477" t="s">
        <v>8</v>
      </c>
      <c r="S9" s="1478">
        <f t="shared" si="0"/>
        <v>100</v>
      </c>
      <c r="T9" s="1477" t="s">
        <v>8</v>
      </c>
      <c r="U9" s="1478">
        <f t="shared" si="1"/>
        <v>100</v>
      </c>
      <c r="V9" s="1477" t="s">
        <v>8</v>
      </c>
      <c r="W9" s="1478">
        <f t="shared" si="2"/>
        <v>100</v>
      </c>
      <c r="X9" s="1479"/>
      <c r="Y9" s="4248"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4301"/>
      <c r="Q10" s="1116" t="str">
        <f t="shared" si="6"/>
        <v>土地使用年限（年）</v>
      </c>
      <c r="R10" s="1477" t="s">
        <v>8</v>
      </c>
      <c r="S10" s="1478">
        <f t="shared" si="0"/>
        <v>100</v>
      </c>
      <c r="T10" s="1477" t="s">
        <v>8</v>
      </c>
      <c r="U10" s="1478">
        <f t="shared" si="1"/>
        <v>100</v>
      </c>
      <c r="V10" s="1477" t="s">
        <v>8</v>
      </c>
      <c r="W10" s="1478">
        <f t="shared" si="2"/>
        <v>100</v>
      </c>
      <c r="X10" s="1479"/>
      <c r="Y10" s="4248"/>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4301"/>
      <c r="Q11" s="1116" t="str">
        <f t="shared" si="6"/>
        <v>容积率</v>
      </c>
      <c r="R11" s="1477" t="s">
        <v>8</v>
      </c>
      <c r="S11" s="1478" t="e">
        <f t="shared" si="0"/>
        <v>#N/A</v>
      </c>
      <c r="T11" s="1477" t="s">
        <v>8</v>
      </c>
      <c r="U11" s="1478" t="e">
        <f t="shared" si="1"/>
        <v>#N/A</v>
      </c>
      <c r="V11" s="1477" t="s">
        <v>8</v>
      </c>
      <c r="W11" s="1478" t="e">
        <f t="shared" si="2"/>
        <v>#N/A</v>
      </c>
      <c r="X11" s="1479"/>
      <c r="Y11" s="424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4301"/>
      <c r="Q12" s="1116">
        <f t="shared" si="6"/>
        <v>111</v>
      </c>
      <c r="R12" s="1477" t="s">
        <v>8</v>
      </c>
      <c r="S12" s="1478">
        <f t="shared" si="0"/>
        <v>100</v>
      </c>
      <c r="T12" s="1477" t="s">
        <v>8</v>
      </c>
      <c r="U12" s="1478">
        <f t="shared" si="1"/>
        <v>100</v>
      </c>
      <c r="V12" s="1477" t="s">
        <v>8</v>
      </c>
      <c r="W12" s="1478">
        <f t="shared" si="2"/>
        <v>100</v>
      </c>
      <c r="X12" s="1479"/>
      <c r="Y12" s="4248"/>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4301"/>
      <c r="Q13" s="1116">
        <f t="shared" si="6"/>
        <v>111</v>
      </c>
      <c r="R13" s="1477" t="s">
        <v>8</v>
      </c>
      <c r="S13" s="1478">
        <f t="shared" si="0"/>
        <v>100</v>
      </c>
      <c r="T13" s="1477" t="s">
        <v>8</v>
      </c>
      <c r="U13" s="1478">
        <f t="shared" si="1"/>
        <v>100</v>
      </c>
      <c r="V13" s="1477" t="s">
        <v>8</v>
      </c>
      <c r="W13" s="1478">
        <f t="shared" si="2"/>
        <v>100</v>
      </c>
      <c r="X13" s="1479"/>
      <c r="Y13" s="4248"/>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4301"/>
      <c r="Q14" s="1116">
        <f t="shared" si="6"/>
        <v>111</v>
      </c>
      <c r="R14" s="1477" t="s">
        <v>8</v>
      </c>
      <c r="S14" s="1478">
        <f t="shared" si="0"/>
        <v>100</v>
      </c>
      <c r="T14" s="1477" t="s">
        <v>8</v>
      </c>
      <c r="U14" s="1478">
        <f t="shared" si="1"/>
        <v>100</v>
      </c>
      <c r="V14" s="1477" t="s">
        <v>8</v>
      </c>
      <c r="W14" s="1478">
        <f t="shared" si="2"/>
        <v>100</v>
      </c>
      <c r="X14" s="1479"/>
      <c r="Y14" s="4248"/>
      <c r="Z14" s="1115">
        <f t="shared" si="7"/>
        <v>111</v>
      </c>
      <c r="AA14" s="1480">
        <f t="shared" si="3"/>
        <v>1</v>
      </c>
      <c r="AB14" s="1480">
        <f t="shared" si="4"/>
        <v>1</v>
      </c>
      <c r="AC14" s="1480">
        <f t="shared" si="5"/>
        <v>1</v>
      </c>
    </row>
    <row r="15" spans="1:29" ht="57">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4303" t="s">
        <v>518</v>
      </c>
      <c r="Q15" s="1481" t="str">
        <f t="shared" si="6"/>
        <v>产业集聚程度</v>
      </c>
      <c r="R15" s="1482" t="s">
        <v>8</v>
      </c>
      <c r="S15" s="1483">
        <f t="shared" si="0"/>
        <v>100</v>
      </c>
      <c r="T15" s="1482" t="s">
        <v>8</v>
      </c>
      <c r="U15" s="1483">
        <f t="shared" si="1"/>
        <v>100</v>
      </c>
      <c r="V15" s="1482" t="s">
        <v>8</v>
      </c>
      <c r="W15" s="1483">
        <f t="shared" si="2"/>
        <v>100</v>
      </c>
      <c r="X15" s="1476"/>
      <c r="Y15" s="4303"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4304"/>
      <c r="Q16" s="1481"/>
      <c r="R16" s="1482"/>
      <c r="S16" s="1483"/>
      <c r="T16" s="1482"/>
      <c r="U16" s="1483"/>
      <c r="V16" s="1482"/>
      <c r="W16" s="1483"/>
      <c r="X16" s="1476"/>
      <c r="Y16" s="4304"/>
      <c r="Z16" s="1484"/>
      <c r="AA16" s="1485">
        <v>1</v>
      </c>
      <c r="AB16" s="1485">
        <v>1</v>
      </c>
      <c r="AC16" s="148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4304"/>
      <c r="Q17" s="1481" t="str">
        <f>B17</f>
        <v>交通便捷度</v>
      </c>
      <c r="R17" s="1482" t="s">
        <v>8</v>
      </c>
      <c r="S17" s="1483">
        <f>F17</f>
        <v>100</v>
      </c>
      <c r="T17" s="1482" t="s">
        <v>8</v>
      </c>
      <c r="U17" s="1483">
        <f>H17</f>
        <v>100</v>
      </c>
      <c r="V17" s="1482" t="s">
        <v>8</v>
      </c>
      <c r="W17" s="1483">
        <f>J17</f>
        <v>100</v>
      </c>
      <c r="X17" s="1476"/>
      <c r="Y17" s="4304"/>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4304"/>
      <c r="Q18" s="1481"/>
      <c r="R18" s="1482"/>
      <c r="S18" s="1483"/>
      <c r="T18" s="1482"/>
      <c r="U18" s="1483"/>
      <c r="V18" s="1482"/>
      <c r="W18" s="1483"/>
      <c r="X18" s="1476"/>
      <c r="Y18" s="4304"/>
      <c r="Z18" s="1484"/>
      <c r="AA18" s="1485">
        <v>1</v>
      </c>
      <c r="AB18" s="1485">
        <v>1</v>
      </c>
      <c r="AC18" s="1485">
        <v>1</v>
      </c>
    </row>
    <row r="19" spans="1:29" ht="42.75">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4304"/>
      <c r="Q19" s="1481" t="str">
        <f>B19</f>
        <v>公共配套设施</v>
      </c>
      <c r="R19" s="1482" t="s">
        <v>8</v>
      </c>
      <c r="S19" s="1483">
        <f>F19</f>
        <v>100</v>
      </c>
      <c r="T19" s="1482" t="s">
        <v>8</v>
      </c>
      <c r="U19" s="1483">
        <f>H19</f>
        <v>100</v>
      </c>
      <c r="V19" s="1482" t="s">
        <v>8</v>
      </c>
      <c r="W19" s="1483">
        <f>J19</f>
        <v>100</v>
      </c>
      <c r="X19" s="1476"/>
      <c r="Y19" s="4304"/>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4304"/>
      <c r="Q20" s="1481"/>
      <c r="R20" s="1482"/>
      <c r="S20" s="1483"/>
      <c r="T20" s="1482"/>
      <c r="U20" s="1483"/>
      <c r="V20" s="1482"/>
      <c r="W20" s="1483"/>
      <c r="X20" s="1476"/>
      <c r="Y20" s="4304"/>
      <c r="Z20" s="1484"/>
      <c r="AA20" s="1485">
        <v>1</v>
      </c>
      <c r="AB20" s="1485">
        <v>1</v>
      </c>
      <c r="AC20" s="1485">
        <v>1</v>
      </c>
    </row>
    <row r="21" spans="1:29" ht="28.5">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4304"/>
      <c r="Q21" s="2397" t="str">
        <f>B21</f>
        <v>基础设施水平</v>
      </c>
      <c r="R21" s="1482" t="s">
        <v>8</v>
      </c>
      <c r="S21" s="1483">
        <f>F21</f>
        <v>100</v>
      </c>
      <c r="T21" s="1482" t="s">
        <v>8</v>
      </c>
      <c r="U21" s="1483">
        <f>H21</f>
        <v>100</v>
      </c>
      <c r="V21" s="1482" t="s">
        <v>8</v>
      </c>
      <c r="W21" s="1483">
        <f>J21</f>
        <v>100</v>
      </c>
      <c r="X21" s="2399"/>
      <c r="Y21" s="4304"/>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4304"/>
      <c r="Q22" s="2397"/>
      <c r="R22" s="1482"/>
      <c r="S22" s="1483"/>
      <c r="T22" s="1482"/>
      <c r="U22" s="1483"/>
      <c r="V22" s="1482"/>
      <c r="W22" s="1483"/>
      <c r="X22" s="2399"/>
      <c r="Y22" s="4304"/>
      <c r="Z22" s="2398"/>
      <c r="AA22" s="1485">
        <v>1</v>
      </c>
      <c r="AB22" s="1485">
        <v>1</v>
      </c>
      <c r="AC22" s="1485">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4304"/>
      <c r="Q23" s="1481" t="str">
        <f>B23</f>
        <v>环境质量</v>
      </c>
      <c r="R23" s="1482" t="s">
        <v>8</v>
      </c>
      <c r="S23" s="1483">
        <f>F23</f>
        <v>100</v>
      </c>
      <c r="T23" s="1482" t="s">
        <v>8</v>
      </c>
      <c r="U23" s="1483">
        <f>H23</f>
        <v>100</v>
      </c>
      <c r="V23" s="1482" t="s">
        <v>8</v>
      </c>
      <c r="W23" s="1483">
        <f>J23</f>
        <v>100</v>
      </c>
      <c r="X23" s="1476"/>
      <c r="Y23" s="4304"/>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4304"/>
      <c r="Q24" s="1481"/>
      <c r="R24" s="1482"/>
      <c r="S24" s="1483"/>
      <c r="T24" s="1482"/>
      <c r="U24" s="1483"/>
      <c r="V24" s="1482"/>
      <c r="W24" s="1483"/>
      <c r="X24" s="1476"/>
      <c r="Y24" s="4304"/>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4304"/>
      <c r="Q25" s="1481">
        <f>B25</f>
        <v>111</v>
      </c>
      <c r="R25" s="1482" t="s">
        <v>8</v>
      </c>
      <c r="S25" s="1483">
        <f>F25</f>
        <v>100</v>
      </c>
      <c r="T25" s="1482" t="s">
        <v>8</v>
      </c>
      <c r="U25" s="1483">
        <f>H25</f>
        <v>100</v>
      </c>
      <c r="V25" s="1482" t="s">
        <v>8</v>
      </c>
      <c r="W25" s="1483">
        <f>J25</f>
        <v>100</v>
      </c>
      <c r="X25" s="1476"/>
      <c r="Y25" s="4304"/>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4304"/>
      <c r="Q26" s="1481">
        <f t="shared" ref="Q26:Q40" si="11">B26</f>
        <v>111</v>
      </c>
      <c r="R26" s="1482" t="s">
        <v>8</v>
      </c>
      <c r="S26" s="1483">
        <f>F26</f>
        <v>100</v>
      </c>
      <c r="T26" s="1482" t="s">
        <v>8</v>
      </c>
      <c r="U26" s="1483">
        <f>H26</f>
        <v>100</v>
      </c>
      <c r="V26" s="1482" t="s">
        <v>8</v>
      </c>
      <c r="W26" s="1483">
        <f>J26</f>
        <v>100</v>
      </c>
      <c r="X26" s="1476"/>
      <c r="Y26" s="4304"/>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4304"/>
      <c r="Q27" s="1116">
        <f t="shared" si="11"/>
        <v>111</v>
      </c>
      <c r="R27" s="1477" t="s">
        <v>8</v>
      </c>
      <c r="S27" s="1478">
        <f>F27</f>
        <v>100</v>
      </c>
      <c r="T27" s="1477" t="s">
        <v>8</v>
      </c>
      <c r="U27" s="1478">
        <f>H27</f>
        <v>100</v>
      </c>
      <c r="V27" s="1477" t="s">
        <v>8</v>
      </c>
      <c r="W27" s="1478">
        <f>J27</f>
        <v>100</v>
      </c>
      <c r="X27" s="1479"/>
      <c r="Y27" s="4304"/>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4304"/>
      <c r="Q28" s="1481">
        <f t="shared" si="11"/>
        <v>111</v>
      </c>
      <c r="R28" s="1482" t="s">
        <v>8</v>
      </c>
      <c r="S28" s="1483">
        <f t="shared" ref="S28:S40" si="12">F28</f>
        <v>100</v>
      </c>
      <c r="T28" s="1482" t="s">
        <v>8</v>
      </c>
      <c r="U28" s="1483">
        <f t="shared" ref="U28:U40" si="13">H28</f>
        <v>100</v>
      </c>
      <c r="V28" s="1482" t="s">
        <v>8</v>
      </c>
      <c r="W28" s="1483">
        <f t="shared" ref="W28:W40" si="14">J28</f>
        <v>100</v>
      </c>
      <c r="X28" s="1476"/>
      <c r="Y28" s="4304"/>
      <c r="Z28" s="1484">
        <f t="shared" ref="Z28:Z40" si="15">Q28</f>
        <v>111</v>
      </c>
      <c r="AA28" s="1485">
        <f t="shared" si="3"/>
        <v>1</v>
      </c>
      <c r="AB28" s="1485">
        <f t="shared" si="4"/>
        <v>1</v>
      </c>
      <c r="AC28" s="1485">
        <f t="shared" si="5"/>
        <v>1</v>
      </c>
    </row>
    <row r="29" spans="1:29" ht="1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4305" t="s">
        <v>528</v>
      </c>
      <c r="Q29" s="1481" t="str">
        <f t="shared" si="11"/>
        <v>建筑类型</v>
      </c>
      <c r="R29" s="1482" t="s">
        <v>8</v>
      </c>
      <c r="S29" s="1483">
        <f t="shared" si="12"/>
        <v>100</v>
      </c>
      <c r="T29" s="1482" t="s">
        <v>8</v>
      </c>
      <c r="U29" s="1483">
        <f t="shared" si="13"/>
        <v>100</v>
      </c>
      <c r="V29" s="1482" t="s">
        <v>8</v>
      </c>
      <c r="W29" s="1483">
        <f t="shared" si="14"/>
        <v>100</v>
      </c>
      <c r="X29" s="1476"/>
      <c r="Y29" s="4306"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4306"/>
      <c r="Q30" s="1510" t="str">
        <f t="shared" si="11"/>
        <v>项目建筑规模</v>
      </c>
      <c r="R30" s="1486" t="s">
        <v>8</v>
      </c>
      <c r="S30" s="1487" t="e">
        <f t="shared" si="12"/>
        <v>#N/A</v>
      </c>
      <c r="T30" s="1486" t="s">
        <v>8</v>
      </c>
      <c r="U30" s="1487" t="e">
        <f t="shared" si="13"/>
        <v>#N/A</v>
      </c>
      <c r="V30" s="1486" t="s">
        <v>8</v>
      </c>
      <c r="W30" s="1487" t="e">
        <f t="shared" si="14"/>
        <v>#N/A</v>
      </c>
      <c r="X30" s="1488"/>
      <c r="Y30" s="4306"/>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4306"/>
      <c r="Q31" s="1481" t="str">
        <f t="shared" si="11"/>
        <v>建筑结构</v>
      </c>
      <c r="R31" s="1482" t="s">
        <v>8</v>
      </c>
      <c r="S31" s="1483">
        <f t="shared" si="12"/>
        <v>100</v>
      </c>
      <c r="T31" s="1482" t="s">
        <v>8</v>
      </c>
      <c r="U31" s="1483">
        <f t="shared" si="13"/>
        <v>100</v>
      </c>
      <c r="V31" s="1482" t="s">
        <v>8</v>
      </c>
      <c r="W31" s="1483">
        <f t="shared" si="14"/>
        <v>100</v>
      </c>
      <c r="X31" s="1476"/>
      <c r="Y31" s="4306"/>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4306"/>
      <c r="Q32" s="1481" t="str">
        <f t="shared" si="11"/>
        <v>公共部分装修</v>
      </c>
      <c r="R32" s="1482" t="s">
        <v>8</v>
      </c>
      <c r="S32" s="1483">
        <f t="shared" si="12"/>
        <v>100</v>
      </c>
      <c r="T32" s="1482" t="s">
        <v>8</v>
      </c>
      <c r="U32" s="1483">
        <f t="shared" si="13"/>
        <v>100</v>
      </c>
      <c r="V32" s="1482" t="s">
        <v>8</v>
      </c>
      <c r="W32" s="1483">
        <f t="shared" si="14"/>
        <v>100</v>
      </c>
      <c r="X32" s="1476"/>
      <c r="Y32" s="4306"/>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4306"/>
      <c r="Q33" s="1481" t="str">
        <f t="shared" si="11"/>
        <v>成新度</v>
      </c>
      <c r="R33" s="1482" t="s">
        <v>8</v>
      </c>
      <c r="S33" s="1483" t="e">
        <f t="shared" si="12"/>
        <v>#N/A</v>
      </c>
      <c r="T33" s="1482" t="s">
        <v>8</v>
      </c>
      <c r="U33" s="1483" t="e">
        <f t="shared" si="13"/>
        <v>#N/A</v>
      </c>
      <c r="V33" s="1482" t="s">
        <v>8</v>
      </c>
      <c r="W33" s="1483" t="e">
        <f t="shared" si="14"/>
        <v>#N/A</v>
      </c>
      <c r="X33" s="1476"/>
      <c r="Y33" s="4306"/>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4306"/>
      <c r="Q34" s="1116" t="str">
        <f t="shared" si="11"/>
        <v>物业管理</v>
      </c>
      <c r="R34" s="1477" t="s">
        <v>8</v>
      </c>
      <c r="S34" s="1478">
        <f t="shared" si="12"/>
        <v>100</v>
      </c>
      <c r="T34" s="1477" t="s">
        <v>8</v>
      </c>
      <c r="U34" s="1478">
        <f t="shared" si="13"/>
        <v>100</v>
      </c>
      <c r="V34" s="1477" t="s">
        <v>8</v>
      </c>
      <c r="W34" s="1478">
        <f t="shared" si="14"/>
        <v>100</v>
      </c>
      <c r="X34" s="1479"/>
      <c r="Y34" s="4306"/>
      <c r="Z34" s="1115" t="str">
        <f t="shared" si="15"/>
        <v>物业管理</v>
      </c>
      <c r="AA34" s="1480">
        <f t="shared" si="3"/>
        <v>1</v>
      </c>
      <c r="AB34" s="1480">
        <f t="shared" si="4"/>
        <v>1</v>
      </c>
      <c r="AC34" s="1480">
        <f t="shared" si="5"/>
        <v>1</v>
      </c>
    </row>
    <row r="35" spans="1:29" ht="1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4306" t="s">
        <v>528</v>
      </c>
      <c r="Q35" s="1481" t="str">
        <f t="shared" si="11"/>
        <v>市政基础设施</v>
      </c>
      <c r="R35" s="1482" t="s">
        <v>8</v>
      </c>
      <c r="S35" s="1483">
        <f t="shared" si="12"/>
        <v>100</v>
      </c>
      <c r="T35" s="1482" t="s">
        <v>8</v>
      </c>
      <c r="U35" s="1483">
        <f t="shared" si="13"/>
        <v>100</v>
      </c>
      <c r="V35" s="1482" t="s">
        <v>8</v>
      </c>
      <c r="W35" s="1483">
        <f t="shared" si="14"/>
        <v>100</v>
      </c>
      <c r="X35" s="1476"/>
      <c r="Y35" s="4306"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4306"/>
      <c r="Q36" s="1481" t="str">
        <f t="shared" si="11"/>
        <v>内部装修</v>
      </c>
      <c r="R36" s="1482" t="s">
        <v>8</v>
      </c>
      <c r="S36" s="1483">
        <f t="shared" si="12"/>
        <v>100</v>
      </c>
      <c r="T36" s="1482" t="s">
        <v>8</v>
      </c>
      <c r="U36" s="1483">
        <f t="shared" si="13"/>
        <v>100</v>
      </c>
      <c r="V36" s="1482" t="s">
        <v>8</v>
      </c>
      <c r="W36" s="1483">
        <f t="shared" si="14"/>
        <v>100</v>
      </c>
      <c r="X36" s="1476"/>
      <c r="Y36" s="4306"/>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4306"/>
      <c r="Q37" s="1481" t="str">
        <f t="shared" si="11"/>
        <v>内部装修状况</v>
      </c>
      <c r="R37" s="1482" t="s">
        <v>8</v>
      </c>
      <c r="S37" s="1483">
        <f t="shared" si="12"/>
        <v>100</v>
      </c>
      <c r="T37" s="1482" t="s">
        <v>8</v>
      </c>
      <c r="U37" s="1483">
        <f t="shared" si="13"/>
        <v>100</v>
      </c>
      <c r="V37" s="1482" t="s">
        <v>8</v>
      </c>
      <c r="W37" s="1483">
        <f t="shared" si="14"/>
        <v>100</v>
      </c>
      <c r="X37" s="1476"/>
      <c r="Y37" s="4306"/>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4306"/>
      <c r="Q38" s="1510">
        <f t="shared" si="11"/>
        <v>111</v>
      </c>
      <c r="R38" s="1486" t="s">
        <v>8</v>
      </c>
      <c r="S38" s="1487">
        <f t="shared" si="12"/>
        <v>100</v>
      </c>
      <c r="T38" s="1486" t="s">
        <v>8</v>
      </c>
      <c r="U38" s="1487">
        <f t="shared" si="13"/>
        <v>100</v>
      </c>
      <c r="V38" s="1486" t="s">
        <v>8</v>
      </c>
      <c r="W38" s="1487">
        <f t="shared" si="14"/>
        <v>100</v>
      </c>
      <c r="X38" s="1488"/>
      <c r="Y38" s="4306"/>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4306"/>
      <c r="Q39" s="1481">
        <f t="shared" si="11"/>
        <v>111</v>
      </c>
      <c r="R39" s="1482" t="s">
        <v>8</v>
      </c>
      <c r="S39" s="1483">
        <f t="shared" si="12"/>
        <v>100</v>
      </c>
      <c r="T39" s="1482" t="s">
        <v>8</v>
      </c>
      <c r="U39" s="1483">
        <f t="shared" si="13"/>
        <v>100</v>
      </c>
      <c r="V39" s="1482" t="s">
        <v>8</v>
      </c>
      <c r="W39" s="1483">
        <f t="shared" si="14"/>
        <v>100</v>
      </c>
      <c r="X39" s="1476"/>
      <c r="Y39" s="4306"/>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4475"/>
      <c r="Q40" s="1481">
        <f t="shared" si="11"/>
        <v>111</v>
      </c>
      <c r="R40" s="1482" t="s">
        <v>8</v>
      </c>
      <c r="S40" s="1483">
        <f t="shared" si="12"/>
        <v>100</v>
      </c>
      <c r="T40" s="1482" t="s">
        <v>8</v>
      </c>
      <c r="U40" s="1483">
        <f t="shared" si="13"/>
        <v>100</v>
      </c>
      <c r="V40" s="1482" t="s">
        <v>8</v>
      </c>
      <c r="W40" s="1483">
        <f t="shared" si="14"/>
        <v>100</v>
      </c>
      <c r="X40" s="1476"/>
      <c r="Y40" s="4475"/>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4301" t="str">
        <f>A41</f>
        <v>成交单价（元/平方米）</v>
      </c>
      <c r="Q41" s="4301"/>
      <c r="R41" s="4474">
        <f>E41</f>
        <v>0</v>
      </c>
      <c r="S41" s="4474"/>
      <c r="T41" s="4474">
        <f>G41</f>
        <v>0</v>
      </c>
      <c r="U41" s="4474"/>
      <c r="V41" s="4474">
        <f>I41</f>
        <v>0</v>
      </c>
      <c r="W41" s="4474"/>
      <c r="X41" s="1471"/>
      <c r="Y41" s="1490"/>
      <c r="Z41" s="1471"/>
      <c r="AA41" s="1471"/>
      <c r="AB41" s="1471"/>
      <c r="AC41" s="1471"/>
    </row>
    <row r="42" spans="1:29" ht="15.7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4301" t="str">
        <f>A42</f>
        <v>比较价格（元/平方米）</v>
      </c>
      <c r="Q42" s="4301"/>
      <c r="R42" s="4474" t="e">
        <f>IF(F1="售价",ROUND(PRODUCT(R41,AA7:AA40),0),ROUND(PRODUCT(R41,AA7:AA40),1))</f>
        <v>#DIV/0!</v>
      </c>
      <c r="S42" s="4474"/>
      <c r="T42" s="4474" t="e">
        <f>IF(F1="售价",ROUND(PRODUCT(T41,AB7:AB40),0),ROUND(PRODUCT(T41,AB7:AB40),1))</f>
        <v>#DIV/0!</v>
      </c>
      <c r="U42" s="4474"/>
      <c r="V42" s="4474" t="e">
        <f>IF(F1="售价",ROUND(PRODUCT(V41,AC7:AC40),0),ROUND(PRODUCT(V41,AC7:AC40),1))</f>
        <v>#DIV/0!</v>
      </c>
      <c r="W42" s="4474"/>
      <c r="X42" s="1471"/>
      <c r="Y42" s="1471"/>
      <c r="Z42" s="1471"/>
      <c r="AA42" s="1471"/>
      <c r="AB42" s="1471"/>
      <c r="AC42" s="1471"/>
    </row>
    <row r="43" spans="1:29" ht="15.75" thickBot="1">
      <c r="A43" s="595" t="s">
        <v>2873</v>
      </c>
      <c r="B43" s="596"/>
      <c r="C43" s="2446" t="e">
        <f>R43</f>
        <v>#DIV/0!</v>
      </c>
      <c r="D43" s="2446"/>
      <c r="E43" s="2446"/>
      <c r="F43" s="2446"/>
      <c r="G43" s="2446"/>
      <c r="H43" s="2446"/>
      <c r="I43" s="2446"/>
      <c r="J43" s="2446"/>
      <c r="K43" s="1516"/>
      <c r="L43" s="1997"/>
      <c r="M43" s="1998"/>
      <c r="N43" s="1998"/>
      <c r="O43" s="1998"/>
      <c r="P43" s="4322" t="str">
        <f>A43</f>
        <v>估价对象XX用房的比较价格（楼面单价，元/平方米）</v>
      </c>
      <c r="Q43" s="4323"/>
      <c r="R43" s="4473" t="e">
        <f>IF(F1="售价",ROUND(IF(D42="简单平均",AVERAGE(R42:V42),R42*F42+T42*H42+V42*J42),0),ROUND(IF(D42="简单平均",AVERAGE(R42:V42),R42*F42+T42*H42+V42*J42),1))</f>
        <v>#DIV/0!</v>
      </c>
      <c r="S43" s="4473"/>
      <c r="T43" s="4473"/>
      <c r="U43" s="4473"/>
      <c r="V43" s="4473"/>
      <c r="W43" s="4473"/>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2021-12</v>
      </c>
      <c r="D52" s="2489">
        <f>EDATE(C52,-1)</f>
        <v>44501</v>
      </c>
      <c r="E52" s="2489">
        <f t="shared" ref="E52:O52" si="16">EDATE(D52,-1)</f>
        <v>44470</v>
      </c>
      <c r="F52" s="2489">
        <f t="shared" si="16"/>
        <v>44440</v>
      </c>
      <c r="G52" s="2489">
        <f t="shared" si="16"/>
        <v>44409</v>
      </c>
      <c r="H52" s="2489">
        <f t="shared" si="16"/>
        <v>44378</v>
      </c>
      <c r="I52" s="2489">
        <f t="shared" si="16"/>
        <v>44348</v>
      </c>
      <c r="J52" s="2489">
        <f t="shared" si="16"/>
        <v>44317</v>
      </c>
      <c r="K52" s="2489">
        <f t="shared" si="16"/>
        <v>44287</v>
      </c>
      <c r="L52" s="2489">
        <f t="shared" si="16"/>
        <v>44256</v>
      </c>
      <c r="M52" s="2489">
        <f t="shared" si="16"/>
        <v>44228</v>
      </c>
      <c r="N52" s="2489">
        <f t="shared" si="16"/>
        <v>44197</v>
      </c>
      <c r="O52" s="2489">
        <f t="shared" si="16"/>
        <v>44166</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L20" sqref="L2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4307" t="s">
        <v>776</v>
      </c>
      <c r="D4" s="4308"/>
      <c r="E4" s="4307" t="s">
        <v>777</v>
      </c>
      <c r="F4" s="4308"/>
      <c r="G4" s="4307" t="s">
        <v>778</v>
      </c>
      <c r="H4" s="4308"/>
      <c r="I4" s="4307" t="s">
        <v>779</v>
      </c>
      <c r="J4" s="4308"/>
      <c r="K4" s="490" t="s">
        <v>780</v>
      </c>
      <c r="L4" s="1986"/>
      <c r="M4" s="1987"/>
      <c r="N4" s="1987"/>
      <c r="O4" s="1987"/>
      <c r="P4" s="4309" t="s">
        <v>781</v>
      </c>
      <c r="Q4" s="4310"/>
      <c r="R4" s="4295" t="s">
        <v>777</v>
      </c>
      <c r="S4" s="4296"/>
      <c r="T4" s="4295" t="s">
        <v>778</v>
      </c>
      <c r="U4" s="4296"/>
      <c r="V4" s="4315" t="s">
        <v>779</v>
      </c>
      <c r="W4" s="4315"/>
      <c r="X4" s="1476"/>
      <c r="Y4" s="4295" t="s">
        <v>781</v>
      </c>
      <c r="Z4" s="4296"/>
      <c r="AA4" s="4290" t="s">
        <v>777</v>
      </c>
      <c r="AB4" s="4291" t="s">
        <v>778</v>
      </c>
      <c r="AC4" s="4290" t="s">
        <v>779</v>
      </c>
    </row>
    <row r="5" spans="1:29" ht="15">
      <c r="A5" s="491"/>
      <c r="B5" s="492"/>
      <c r="C5" s="4318" t="s">
        <v>2867</v>
      </c>
      <c r="D5" s="4319"/>
      <c r="E5" s="4318" t="s">
        <v>2868</v>
      </c>
      <c r="F5" s="4319"/>
      <c r="G5" s="4318" t="s">
        <v>2869</v>
      </c>
      <c r="H5" s="4319"/>
      <c r="I5" s="4318" t="s">
        <v>2870</v>
      </c>
      <c r="J5" s="4319"/>
      <c r="K5" s="490"/>
      <c r="L5" s="1986"/>
      <c r="M5" s="1987"/>
      <c r="N5" s="1987"/>
      <c r="O5" s="1987"/>
      <c r="P5" s="4311"/>
      <c r="Q5" s="4312"/>
      <c r="R5" s="4297"/>
      <c r="S5" s="4298"/>
      <c r="T5" s="4297"/>
      <c r="U5" s="4298"/>
      <c r="V5" s="4315"/>
      <c r="W5" s="4315"/>
      <c r="X5" s="1476"/>
      <c r="Y5" s="4297"/>
      <c r="Z5" s="4298"/>
      <c r="AA5" s="4291"/>
      <c r="AB5" s="4291"/>
      <c r="AC5" s="4291"/>
    </row>
    <row r="6" spans="1:29" ht="15.75" thickBot="1">
      <c r="A6" s="493"/>
      <c r="B6" s="494"/>
      <c r="C6" s="4316" t="s">
        <v>2871</v>
      </c>
      <c r="D6" s="4317"/>
      <c r="E6" s="4320" t="s">
        <v>2871</v>
      </c>
      <c r="F6" s="4321"/>
      <c r="G6" s="4316" t="s">
        <v>2871</v>
      </c>
      <c r="H6" s="4317"/>
      <c r="I6" s="4316" t="s">
        <v>2871</v>
      </c>
      <c r="J6" s="4317"/>
      <c r="K6" s="490" t="s">
        <v>506</v>
      </c>
      <c r="L6" s="1986"/>
      <c r="M6" s="1987"/>
      <c r="N6" s="1987"/>
      <c r="O6" s="1987"/>
      <c r="P6" s="4313"/>
      <c r="Q6" s="4314"/>
      <c r="R6" s="4297"/>
      <c r="S6" s="4298"/>
      <c r="T6" s="4299"/>
      <c r="U6" s="4300"/>
      <c r="V6" s="4315"/>
      <c r="W6" s="4315"/>
      <c r="X6" s="1476"/>
      <c r="Y6" s="4299"/>
      <c r="Z6" s="4300"/>
      <c r="AA6" s="4292"/>
      <c r="AB6" s="4292"/>
      <c r="AC6" s="4292"/>
    </row>
    <row r="7" spans="1:29" s="1185" customFormat="1" ht="15.75" thickBot="1">
      <c r="A7" s="2597"/>
      <c r="B7" s="2604" t="s">
        <v>507</v>
      </c>
      <c r="C7" s="495">
        <f>'数据-取费表'!B2</f>
        <v>44550</v>
      </c>
      <c r="D7" s="496">
        <v>100</v>
      </c>
      <c r="E7" s="497"/>
      <c r="F7" s="498">
        <f>SUMIF(48:48,YEAR(E7)&amp;"-"&amp;MONTH(E7),49:49)</f>
        <v>0</v>
      </c>
      <c r="G7" s="499"/>
      <c r="H7" s="496">
        <f>SUMIF(48:48,YEAR(G7)&amp;"-"&amp;MONTH(G7),49:49)</f>
        <v>0</v>
      </c>
      <c r="I7" s="499"/>
      <c r="J7" s="496">
        <f>SUMIF(48:48,YEAR(I7)&amp;"-"&amp;MONTH(I7),49:49)</f>
        <v>0</v>
      </c>
      <c r="K7" s="500"/>
      <c r="L7" s="1988"/>
      <c r="M7" s="1989"/>
      <c r="N7" s="1989"/>
      <c r="O7" s="1989"/>
      <c r="P7" s="4293" t="s">
        <v>508</v>
      </c>
      <c r="Q7" s="4302"/>
      <c r="R7" s="1477" t="s">
        <v>8</v>
      </c>
      <c r="S7" s="1478">
        <f t="shared" ref="S7:S14" si="0">F7</f>
        <v>0</v>
      </c>
      <c r="T7" s="1477" t="s">
        <v>8</v>
      </c>
      <c r="U7" s="1478">
        <f t="shared" ref="U7:U14" si="1">H7</f>
        <v>0</v>
      </c>
      <c r="V7" s="1477" t="s">
        <v>8</v>
      </c>
      <c r="W7" s="1478">
        <f t="shared" ref="W7:W14" si="2">J7</f>
        <v>0</v>
      </c>
      <c r="X7" s="1479"/>
      <c r="Y7" s="4293" t="s">
        <v>508</v>
      </c>
      <c r="Z7" s="4294"/>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4293" t="s">
        <v>511</v>
      </c>
      <c r="Q8" s="4294"/>
      <c r="R8" s="1477" t="s">
        <v>8</v>
      </c>
      <c r="S8" s="1478">
        <f t="shared" si="0"/>
        <v>0</v>
      </c>
      <c r="T8" s="1477" t="s">
        <v>8</v>
      </c>
      <c r="U8" s="1478">
        <f t="shared" si="1"/>
        <v>0</v>
      </c>
      <c r="V8" s="1477" t="s">
        <v>8</v>
      </c>
      <c r="W8" s="1478">
        <f t="shared" si="2"/>
        <v>0</v>
      </c>
      <c r="X8" s="1479"/>
      <c r="Y8" s="4293" t="s">
        <v>511</v>
      </c>
      <c r="Z8" s="4294"/>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4301" t="s">
        <v>513</v>
      </c>
      <c r="Q9" s="1116" t="str">
        <f t="shared" ref="Q9:Q14" si="6">B9</f>
        <v>用途</v>
      </c>
      <c r="R9" s="1477" t="s">
        <v>8</v>
      </c>
      <c r="S9" s="1478">
        <f t="shared" si="0"/>
        <v>100</v>
      </c>
      <c r="T9" s="1477" t="s">
        <v>8</v>
      </c>
      <c r="U9" s="1478">
        <f t="shared" si="1"/>
        <v>100</v>
      </c>
      <c r="V9" s="1477" t="s">
        <v>8</v>
      </c>
      <c r="W9" s="1478">
        <f t="shared" si="2"/>
        <v>100</v>
      </c>
      <c r="X9" s="1479"/>
      <c r="Y9" s="4248"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4301"/>
      <c r="Q10" s="1116" t="str">
        <f t="shared" si="6"/>
        <v>土地使用年限（年）</v>
      </c>
      <c r="R10" s="1477" t="s">
        <v>8</v>
      </c>
      <c r="S10" s="1478">
        <f t="shared" si="0"/>
        <v>100</v>
      </c>
      <c r="T10" s="1477" t="s">
        <v>8</v>
      </c>
      <c r="U10" s="1478">
        <f t="shared" si="1"/>
        <v>100</v>
      </c>
      <c r="V10" s="1477" t="s">
        <v>8</v>
      </c>
      <c r="W10" s="1478">
        <f t="shared" si="2"/>
        <v>100</v>
      </c>
      <c r="X10" s="1479"/>
      <c r="Y10" s="4248"/>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4301"/>
      <c r="Q11" s="1116">
        <f t="shared" si="6"/>
        <v>111</v>
      </c>
      <c r="R11" s="1477" t="s">
        <v>8</v>
      </c>
      <c r="S11" s="1478">
        <f t="shared" si="0"/>
        <v>100</v>
      </c>
      <c r="T11" s="1477" t="s">
        <v>8</v>
      </c>
      <c r="U11" s="1478">
        <f t="shared" si="1"/>
        <v>100</v>
      </c>
      <c r="V11" s="1477" t="s">
        <v>8</v>
      </c>
      <c r="W11" s="1478">
        <f t="shared" si="2"/>
        <v>100</v>
      </c>
      <c r="X11" s="1479"/>
      <c r="Y11" s="4248"/>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4301"/>
      <c r="Q12" s="1116">
        <f t="shared" si="6"/>
        <v>111</v>
      </c>
      <c r="R12" s="1477" t="s">
        <v>8</v>
      </c>
      <c r="S12" s="1478">
        <f t="shared" si="0"/>
        <v>100</v>
      </c>
      <c r="T12" s="1477" t="s">
        <v>8</v>
      </c>
      <c r="U12" s="1478">
        <f t="shared" si="1"/>
        <v>100</v>
      </c>
      <c r="V12" s="1477" t="s">
        <v>8</v>
      </c>
      <c r="W12" s="1478">
        <f t="shared" si="2"/>
        <v>100</v>
      </c>
      <c r="X12" s="1479"/>
      <c r="Y12" s="4248"/>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4301"/>
      <c r="Q13" s="1116">
        <f t="shared" si="6"/>
        <v>111</v>
      </c>
      <c r="R13" s="1477" t="s">
        <v>8</v>
      </c>
      <c r="S13" s="1478">
        <f t="shared" si="0"/>
        <v>100</v>
      </c>
      <c r="T13" s="1477" t="s">
        <v>8</v>
      </c>
      <c r="U13" s="1478">
        <f t="shared" si="1"/>
        <v>100</v>
      </c>
      <c r="V13" s="1477" t="s">
        <v>8</v>
      </c>
      <c r="W13" s="1478">
        <f t="shared" si="2"/>
        <v>100</v>
      </c>
      <c r="X13" s="1479"/>
      <c r="Y13" s="4248"/>
      <c r="Z13" s="1115">
        <f t="shared" si="7"/>
        <v>111</v>
      </c>
      <c r="AA13" s="1480">
        <f t="shared" si="3"/>
        <v>1</v>
      </c>
      <c r="AB13" s="1480">
        <f t="shared" si="4"/>
        <v>1</v>
      </c>
      <c r="AC13" s="1480">
        <f t="shared" si="5"/>
        <v>1</v>
      </c>
    </row>
    <row r="14" spans="1:29" ht="85.5">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4303" t="s">
        <v>518</v>
      </c>
      <c r="Q14" s="1481" t="str">
        <f t="shared" si="6"/>
        <v>交通便捷度</v>
      </c>
      <c r="R14" s="1482" t="s">
        <v>8</v>
      </c>
      <c r="S14" s="1483">
        <f t="shared" si="0"/>
        <v>100</v>
      </c>
      <c r="T14" s="1482" t="s">
        <v>8</v>
      </c>
      <c r="U14" s="1483">
        <f t="shared" si="1"/>
        <v>100</v>
      </c>
      <c r="V14" s="1482" t="s">
        <v>8</v>
      </c>
      <c r="W14" s="1483">
        <f t="shared" si="2"/>
        <v>100</v>
      </c>
      <c r="X14" s="1476"/>
      <c r="Y14" s="4303"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4304"/>
      <c r="Q15" s="1481"/>
      <c r="R15" s="1482"/>
      <c r="S15" s="1483"/>
      <c r="T15" s="1482"/>
      <c r="U15" s="1483"/>
      <c r="V15" s="1482"/>
      <c r="W15" s="1483"/>
      <c r="X15" s="1476"/>
      <c r="Y15" s="4304"/>
      <c r="Z15" s="1484"/>
      <c r="AA15" s="1485">
        <v>1</v>
      </c>
      <c r="AB15" s="1485">
        <v>1</v>
      </c>
      <c r="AC15" s="1485">
        <v>1</v>
      </c>
    </row>
    <row r="16" spans="1:29" ht="42.75">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4304"/>
      <c r="Q16" s="1481" t="str">
        <f>B16</f>
        <v>公共配套设施</v>
      </c>
      <c r="R16" s="1482" t="s">
        <v>8</v>
      </c>
      <c r="S16" s="1483">
        <f>F16</f>
        <v>100</v>
      </c>
      <c r="T16" s="1482" t="s">
        <v>8</v>
      </c>
      <c r="U16" s="1483">
        <f>H16</f>
        <v>100</v>
      </c>
      <c r="V16" s="1482" t="s">
        <v>8</v>
      </c>
      <c r="W16" s="1483">
        <f>J16</f>
        <v>100</v>
      </c>
      <c r="X16" s="1476"/>
      <c r="Y16" s="4304"/>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4304"/>
      <c r="Q17" s="1481"/>
      <c r="R17" s="1482"/>
      <c r="S17" s="1483"/>
      <c r="T17" s="1482"/>
      <c r="U17" s="1483"/>
      <c r="V17" s="1482"/>
      <c r="W17" s="1483"/>
      <c r="X17" s="1476"/>
      <c r="Y17" s="4304"/>
      <c r="Z17" s="1484"/>
      <c r="AA17" s="1485">
        <v>1</v>
      </c>
      <c r="AB17" s="1485">
        <v>1</v>
      </c>
      <c r="AC17" s="1485">
        <v>1</v>
      </c>
    </row>
    <row r="18" spans="1:29" ht="28.5">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4304"/>
      <c r="Q18" s="2397" t="str">
        <f>B18</f>
        <v>基础设施水平</v>
      </c>
      <c r="R18" s="1482" t="s">
        <v>8</v>
      </c>
      <c r="S18" s="1483">
        <f>F18</f>
        <v>100</v>
      </c>
      <c r="T18" s="1482" t="s">
        <v>8</v>
      </c>
      <c r="U18" s="1483">
        <f>H18</f>
        <v>100</v>
      </c>
      <c r="V18" s="1482" t="s">
        <v>8</v>
      </c>
      <c r="W18" s="1483">
        <f>J18</f>
        <v>100</v>
      </c>
      <c r="X18" s="2399"/>
      <c r="Y18" s="4304"/>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4304"/>
      <c r="Q19" s="2397"/>
      <c r="R19" s="1482"/>
      <c r="S19" s="1483"/>
      <c r="T19" s="1482"/>
      <c r="U19" s="1483"/>
      <c r="V19" s="1482"/>
      <c r="W19" s="1483"/>
      <c r="X19" s="2399"/>
      <c r="Y19" s="4304"/>
      <c r="Z19" s="2398"/>
      <c r="AA19" s="1485">
        <v>1</v>
      </c>
      <c r="AB19" s="1485">
        <v>1</v>
      </c>
      <c r="AC19" s="1485">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4304"/>
      <c r="Q20" s="1481" t="str">
        <f>B20</f>
        <v>自然及人文环境</v>
      </c>
      <c r="R20" s="1482" t="s">
        <v>8</v>
      </c>
      <c r="S20" s="1483">
        <f>F20</f>
        <v>100</v>
      </c>
      <c r="T20" s="1482" t="s">
        <v>8</v>
      </c>
      <c r="U20" s="1483">
        <f>H20</f>
        <v>100</v>
      </c>
      <c r="V20" s="1482" t="s">
        <v>8</v>
      </c>
      <c r="W20" s="1483">
        <f>J20</f>
        <v>100</v>
      </c>
      <c r="X20" s="1476"/>
      <c r="Y20" s="4304"/>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4304"/>
      <c r="Q21" s="1481"/>
      <c r="R21" s="1482"/>
      <c r="S21" s="1483"/>
      <c r="T21" s="1482"/>
      <c r="U21" s="1483"/>
      <c r="V21" s="1482"/>
      <c r="W21" s="1483"/>
      <c r="X21" s="1476"/>
      <c r="Y21" s="4304"/>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4304"/>
      <c r="Q22" s="1481" t="str">
        <f>B22</f>
        <v>楼层</v>
      </c>
      <c r="R22" s="1482" t="s">
        <v>8</v>
      </c>
      <c r="S22" s="1483">
        <f>F22</f>
        <v>100</v>
      </c>
      <c r="T22" s="1482" t="s">
        <v>8</v>
      </c>
      <c r="U22" s="1483">
        <f>H22</f>
        <v>100</v>
      </c>
      <c r="V22" s="1482" t="s">
        <v>8</v>
      </c>
      <c r="W22" s="1483">
        <f>J22</f>
        <v>100</v>
      </c>
      <c r="X22" s="1476"/>
      <c r="Y22" s="4304"/>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4304"/>
      <c r="Q23" s="1481">
        <f>B23</f>
        <v>111</v>
      </c>
      <c r="R23" s="1482" t="s">
        <v>8</v>
      </c>
      <c r="S23" s="1483">
        <f>F23</f>
        <v>100</v>
      </c>
      <c r="T23" s="1482" t="s">
        <v>8</v>
      </c>
      <c r="U23" s="1483">
        <f>H23</f>
        <v>100</v>
      </c>
      <c r="V23" s="1482" t="s">
        <v>8</v>
      </c>
      <c r="W23" s="1483">
        <f>J23</f>
        <v>100</v>
      </c>
      <c r="X23" s="1476"/>
      <c r="Y23" s="4304"/>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4304"/>
      <c r="Q24" s="1481">
        <f t="shared" ref="Q24:Q36" si="11">B24</f>
        <v>111</v>
      </c>
      <c r="R24" s="1482" t="s">
        <v>8</v>
      </c>
      <c r="S24" s="1483">
        <f>F24</f>
        <v>100</v>
      </c>
      <c r="T24" s="1482" t="s">
        <v>8</v>
      </c>
      <c r="U24" s="1483">
        <f>H24</f>
        <v>100</v>
      </c>
      <c r="V24" s="1482" t="s">
        <v>8</v>
      </c>
      <c r="W24" s="1483">
        <f>J24</f>
        <v>100</v>
      </c>
      <c r="X24" s="1476"/>
      <c r="Y24" s="4304"/>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4304"/>
      <c r="Q25" s="1116">
        <f t="shared" si="11"/>
        <v>111</v>
      </c>
      <c r="R25" s="1477" t="s">
        <v>8</v>
      </c>
      <c r="S25" s="1478">
        <f>F25</f>
        <v>100</v>
      </c>
      <c r="T25" s="1477" t="s">
        <v>8</v>
      </c>
      <c r="U25" s="1478">
        <f>H25</f>
        <v>100</v>
      </c>
      <c r="V25" s="1477" t="s">
        <v>8</v>
      </c>
      <c r="W25" s="1478">
        <f>J25</f>
        <v>100</v>
      </c>
      <c r="X25" s="1479"/>
      <c r="Y25" s="4304"/>
      <c r="Z25" s="1115">
        <f>Q25</f>
        <v>111</v>
      </c>
      <c r="AA25" s="1485">
        <f>D25/F25</f>
        <v>1</v>
      </c>
      <c r="AB25" s="1485">
        <f>D25/H25</f>
        <v>1</v>
      </c>
      <c r="AC25" s="1485">
        <f>D25/J25</f>
        <v>1</v>
      </c>
    </row>
    <row r="26" spans="1:29" ht="1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4305"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4306"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4306"/>
      <c r="Q27" s="1510" t="str">
        <f t="shared" si="11"/>
        <v>项目停车位配比</v>
      </c>
      <c r="R27" s="1486" t="s">
        <v>8</v>
      </c>
      <c r="S27" s="1487">
        <f t="shared" si="12"/>
        <v>100</v>
      </c>
      <c r="T27" s="1486" t="s">
        <v>8</v>
      </c>
      <c r="U27" s="1487">
        <f t="shared" si="13"/>
        <v>100</v>
      </c>
      <c r="V27" s="1486" t="s">
        <v>8</v>
      </c>
      <c r="W27" s="1487">
        <f t="shared" si="14"/>
        <v>100</v>
      </c>
      <c r="X27" s="1488"/>
      <c r="Y27" s="4306"/>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4306"/>
      <c r="Q28" s="1481" t="str">
        <f t="shared" si="11"/>
        <v>公共部分装修</v>
      </c>
      <c r="R28" s="1482" t="s">
        <v>8</v>
      </c>
      <c r="S28" s="1483">
        <f t="shared" si="12"/>
        <v>100</v>
      </c>
      <c r="T28" s="1482" t="s">
        <v>8</v>
      </c>
      <c r="U28" s="1483">
        <f t="shared" si="13"/>
        <v>100</v>
      </c>
      <c r="V28" s="1482" t="s">
        <v>8</v>
      </c>
      <c r="W28" s="1483">
        <f t="shared" si="14"/>
        <v>100</v>
      </c>
      <c r="X28" s="1476"/>
      <c r="Y28" s="4306"/>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4306"/>
      <c r="Q29" s="1481" t="str">
        <f t="shared" si="11"/>
        <v>成新率</v>
      </c>
      <c r="R29" s="1482" t="s">
        <v>8</v>
      </c>
      <c r="S29" s="1483" t="e">
        <f t="shared" si="12"/>
        <v>#N/A</v>
      </c>
      <c r="T29" s="1482" t="s">
        <v>8</v>
      </c>
      <c r="U29" s="1483" t="e">
        <f t="shared" si="13"/>
        <v>#N/A</v>
      </c>
      <c r="V29" s="1482" t="s">
        <v>8</v>
      </c>
      <c r="W29" s="1483" t="e">
        <f t="shared" si="14"/>
        <v>#N/A</v>
      </c>
      <c r="X29" s="1476"/>
      <c r="Y29" s="4306"/>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4306"/>
      <c r="Q30" s="1481" t="str">
        <f t="shared" si="11"/>
        <v>物业等级</v>
      </c>
      <c r="R30" s="1482" t="s">
        <v>8</v>
      </c>
      <c r="S30" s="1483">
        <f t="shared" si="12"/>
        <v>100</v>
      </c>
      <c r="T30" s="1482" t="s">
        <v>8</v>
      </c>
      <c r="U30" s="1483">
        <f t="shared" si="13"/>
        <v>100</v>
      </c>
      <c r="V30" s="1482" t="s">
        <v>8</v>
      </c>
      <c r="W30" s="1483">
        <f t="shared" si="14"/>
        <v>100</v>
      </c>
      <c r="X30" s="1476"/>
      <c r="Y30" s="4306"/>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4306"/>
      <c r="Q31" s="1116" t="str">
        <f t="shared" si="11"/>
        <v>停车位面积</v>
      </c>
      <c r="R31" s="1477" t="s">
        <v>8</v>
      </c>
      <c r="S31" s="1478" t="e">
        <f t="shared" si="12"/>
        <v>#N/A</v>
      </c>
      <c r="T31" s="1477" t="s">
        <v>8</v>
      </c>
      <c r="U31" s="1478" t="e">
        <f t="shared" si="13"/>
        <v>#N/A</v>
      </c>
      <c r="V31" s="1477" t="s">
        <v>8</v>
      </c>
      <c r="W31" s="1478" t="e">
        <f t="shared" si="14"/>
        <v>#N/A</v>
      </c>
      <c r="X31" s="1479"/>
      <c r="Y31" s="4306"/>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4306" t="s">
        <v>528</v>
      </c>
      <c r="Q32" s="1481" t="str">
        <f t="shared" si="11"/>
        <v>车位类型</v>
      </c>
      <c r="R32" s="1482" t="s">
        <v>8</v>
      </c>
      <c r="S32" s="1483">
        <f t="shared" si="12"/>
        <v>100</v>
      </c>
      <c r="T32" s="1482" t="s">
        <v>8</v>
      </c>
      <c r="U32" s="1483">
        <f t="shared" si="13"/>
        <v>100</v>
      </c>
      <c r="V32" s="1482" t="s">
        <v>8</v>
      </c>
      <c r="W32" s="1483">
        <f t="shared" si="14"/>
        <v>100</v>
      </c>
      <c r="X32" s="1476"/>
      <c r="Y32" s="4306"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4306"/>
      <c r="Q33" s="1481" t="str">
        <f t="shared" si="11"/>
        <v>是否直接入户</v>
      </c>
      <c r="R33" s="1482" t="s">
        <v>8</v>
      </c>
      <c r="S33" s="1483">
        <f t="shared" si="12"/>
        <v>100</v>
      </c>
      <c r="T33" s="1482" t="s">
        <v>8</v>
      </c>
      <c r="U33" s="1483">
        <f t="shared" si="13"/>
        <v>100</v>
      </c>
      <c r="V33" s="1482" t="s">
        <v>8</v>
      </c>
      <c r="W33" s="1483">
        <f t="shared" si="14"/>
        <v>100</v>
      </c>
      <c r="X33" s="1476"/>
      <c r="Y33" s="4306"/>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4306"/>
      <c r="Q34" s="1481">
        <f t="shared" si="11"/>
        <v>111</v>
      </c>
      <c r="R34" s="1482" t="s">
        <v>8</v>
      </c>
      <c r="S34" s="1483">
        <f t="shared" si="12"/>
        <v>100</v>
      </c>
      <c r="T34" s="1482" t="s">
        <v>8</v>
      </c>
      <c r="U34" s="1483">
        <f t="shared" si="13"/>
        <v>100</v>
      </c>
      <c r="V34" s="1482" t="s">
        <v>8</v>
      </c>
      <c r="W34" s="1483">
        <f t="shared" si="14"/>
        <v>100</v>
      </c>
      <c r="X34" s="1476"/>
      <c r="Y34" s="4306"/>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4306"/>
      <c r="Q35" s="1510">
        <f t="shared" si="11"/>
        <v>111</v>
      </c>
      <c r="R35" s="1486" t="s">
        <v>8</v>
      </c>
      <c r="S35" s="1487">
        <f t="shared" si="12"/>
        <v>100</v>
      </c>
      <c r="T35" s="1486" t="s">
        <v>8</v>
      </c>
      <c r="U35" s="1487">
        <f t="shared" si="13"/>
        <v>100</v>
      </c>
      <c r="V35" s="1486" t="s">
        <v>8</v>
      </c>
      <c r="W35" s="1487">
        <f t="shared" si="14"/>
        <v>100</v>
      </c>
      <c r="X35" s="1488"/>
      <c r="Y35" s="4306"/>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4306"/>
      <c r="Q36" s="1481">
        <f t="shared" si="11"/>
        <v>111</v>
      </c>
      <c r="R36" s="1482" t="s">
        <v>8</v>
      </c>
      <c r="S36" s="1483">
        <f t="shared" si="12"/>
        <v>100</v>
      </c>
      <c r="T36" s="1482" t="s">
        <v>8</v>
      </c>
      <c r="U36" s="1483">
        <f t="shared" si="13"/>
        <v>100</v>
      </c>
      <c r="V36" s="1482" t="s">
        <v>8</v>
      </c>
      <c r="W36" s="1483">
        <f t="shared" si="14"/>
        <v>100</v>
      </c>
      <c r="X36" s="1476"/>
      <c r="Y36" s="4306"/>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4301" t="str">
        <f>A37</f>
        <v>成交单价</v>
      </c>
      <c r="Q37" s="4301"/>
      <c r="R37" s="4474">
        <f>E37</f>
        <v>0</v>
      </c>
      <c r="S37" s="4474"/>
      <c r="T37" s="4474">
        <f>G37</f>
        <v>0</v>
      </c>
      <c r="U37" s="4474"/>
      <c r="V37" s="4474">
        <f>I37</f>
        <v>0</v>
      </c>
      <c r="W37" s="4474"/>
      <c r="X37" s="1471"/>
      <c r="Y37" s="1490"/>
      <c r="Z37" s="1471"/>
      <c r="AA37" s="1471"/>
      <c r="AB37" s="1471"/>
      <c r="AC37" s="1471"/>
    </row>
    <row r="38" spans="1:29" ht="15.7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4301" t="str">
        <f>A38</f>
        <v>比较价格（元/平方米）</v>
      </c>
      <c r="Q38" s="4301"/>
      <c r="R38" s="4474" t="e">
        <f>IF(F1="售价",ROUND(PRODUCT(R37,AA7:AA36),0),ROUND(PRODUCT(R37,AA7:AA36),1))</f>
        <v>#DIV/0!</v>
      </c>
      <c r="S38" s="4474"/>
      <c r="T38" s="4474" t="e">
        <f>IF(F1="售价",ROUND(PRODUCT(T37,AB7:AB36),0),ROUND(PRODUCT(T37,AB7:AB36),1))</f>
        <v>#DIV/0!</v>
      </c>
      <c r="U38" s="4474"/>
      <c r="V38" s="4474" t="e">
        <f>IF(F1="售价",ROUND(PRODUCT(V37,AC7:AC36),0),ROUND(PRODUCT(V37,AC7:AC36),1))</f>
        <v>#DIV/0!</v>
      </c>
      <c r="W38" s="4474"/>
      <c r="X38" s="1471"/>
      <c r="Y38" s="1471"/>
      <c r="Z38" s="1471"/>
      <c r="AA38" s="1471"/>
      <c r="AB38" s="1471"/>
      <c r="AC38" s="1471"/>
    </row>
    <row r="39" spans="1:29" ht="15.75" thickBot="1">
      <c r="A39" s="595" t="s">
        <v>2873</v>
      </c>
      <c r="B39" s="596"/>
      <c r="C39" s="2446" t="e">
        <f>R39</f>
        <v>#DIV/0!</v>
      </c>
      <c r="D39" s="2446"/>
      <c r="E39" s="2446"/>
      <c r="F39" s="2446"/>
      <c r="G39" s="2446"/>
      <c r="H39" s="2446"/>
      <c r="I39" s="2446"/>
      <c r="J39" s="2446"/>
      <c r="K39" s="1516"/>
      <c r="L39" s="1997"/>
      <c r="M39" s="1998"/>
      <c r="N39" s="1998"/>
      <c r="O39" s="1998"/>
      <c r="P39" s="4322" t="str">
        <f>A39</f>
        <v>估价对象XX用房的比较价格（楼面单价，元/平方米）</v>
      </c>
      <c r="Q39" s="4323"/>
      <c r="R39" s="4473" t="e">
        <f>IF(F1="售价",ROUND(IF(D38="简单平均",AVERAGE(R38:W38),R38*F38+T38*H38+V38*J38),0),ROUND(IF(D38="简单平均",AVERAGE(R38:V38),R38*F38+T38*H38+V38*J38),1))</f>
        <v>#DIV/0!</v>
      </c>
      <c r="S39" s="4473"/>
      <c r="T39" s="4473"/>
      <c r="U39" s="4473"/>
      <c r="V39" s="4473"/>
      <c r="W39" s="4473"/>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2021-12</v>
      </c>
      <c r="D48" s="2489">
        <f>EDATE(C48,-1)</f>
        <v>44501</v>
      </c>
      <c r="E48" s="2489">
        <f t="shared" ref="E48:O48" si="16">EDATE(D48,-1)</f>
        <v>44470</v>
      </c>
      <c r="F48" s="2489">
        <f t="shared" si="16"/>
        <v>44440</v>
      </c>
      <c r="G48" s="2489">
        <f t="shared" si="16"/>
        <v>44409</v>
      </c>
      <c r="H48" s="2489">
        <f t="shared" si="16"/>
        <v>44378</v>
      </c>
      <c r="I48" s="2489">
        <f t="shared" si="16"/>
        <v>44348</v>
      </c>
      <c r="J48" s="2489">
        <f t="shared" si="16"/>
        <v>44317</v>
      </c>
      <c r="K48" s="2489">
        <f t="shared" si="16"/>
        <v>44287</v>
      </c>
      <c r="L48" s="2489">
        <f t="shared" si="16"/>
        <v>44256</v>
      </c>
      <c r="M48" s="2489">
        <f t="shared" si="16"/>
        <v>44228</v>
      </c>
      <c r="N48" s="2489">
        <f t="shared" si="16"/>
        <v>44197</v>
      </c>
      <c r="O48" s="2489">
        <f t="shared" si="16"/>
        <v>44166</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L20" sqref="L2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4307" t="s">
        <v>776</v>
      </c>
      <c r="D4" s="4308"/>
      <c r="E4" s="4332" t="s">
        <v>777</v>
      </c>
      <c r="F4" s="4333"/>
      <c r="G4" s="4307" t="s">
        <v>778</v>
      </c>
      <c r="H4" s="4308"/>
      <c r="I4" s="4307" t="s">
        <v>779</v>
      </c>
      <c r="J4" s="4308"/>
      <c r="K4" s="490" t="s">
        <v>780</v>
      </c>
      <c r="L4" s="1986"/>
      <c r="M4" s="1987"/>
      <c r="N4" s="1987"/>
      <c r="O4" s="1987"/>
      <c r="P4" s="4309" t="s">
        <v>781</v>
      </c>
      <c r="Q4" s="4310"/>
      <c r="R4" s="4295" t="s">
        <v>777</v>
      </c>
      <c r="S4" s="4296"/>
      <c r="T4" s="4295" t="s">
        <v>778</v>
      </c>
      <c r="U4" s="4296"/>
      <c r="V4" s="4315" t="s">
        <v>779</v>
      </c>
      <c r="W4" s="4315"/>
      <c r="X4" s="1476"/>
      <c r="Y4" s="4295" t="s">
        <v>781</v>
      </c>
      <c r="Z4" s="4296"/>
      <c r="AA4" s="4290" t="s">
        <v>777</v>
      </c>
      <c r="AB4" s="4291" t="s">
        <v>778</v>
      </c>
      <c r="AC4" s="4290" t="s">
        <v>779</v>
      </c>
    </row>
    <row r="5" spans="1:29" ht="15">
      <c r="A5" s="491"/>
      <c r="B5" s="492"/>
      <c r="C5" s="4318" t="s">
        <v>2867</v>
      </c>
      <c r="D5" s="4319"/>
      <c r="E5" s="4334" t="s">
        <v>2868</v>
      </c>
      <c r="F5" s="4335"/>
      <c r="G5" s="4318" t="s">
        <v>2869</v>
      </c>
      <c r="H5" s="4319"/>
      <c r="I5" s="4318" t="s">
        <v>2870</v>
      </c>
      <c r="J5" s="4319"/>
      <c r="K5" s="490"/>
      <c r="L5" s="1986"/>
      <c r="M5" s="1987"/>
      <c r="N5" s="1987"/>
      <c r="O5" s="1987"/>
      <c r="P5" s="4311"/>
      <c r="Q5" s="4312"/>
      <c r="R5" s="4297"/>
      <c r="S5" s="4298"/>
      <c r="T5" s="4297"/>
      <c r="U5" s="4298"/>
      <c r="V5" s="4315"/>
      <c r="W5" s="4315"/>
      <c r="X5" s="1476"/>
      <c r="Y5" s="4297"/>
      <c r="Z5" s="4298"/>
      <c r="AA5" s="4291"/>
      <c r="AB5" s="4291"/>
      <c r="AC5" s="4291"/>
    </row>
    <row r="6" spans="1:29" ht="15.75" thickBot="1">
      <c r="A6" s="493"/>
      <c r="B6" s="494"/>
      <c r="C6" s="4316" t="s">
        <v>2871</v>
      </c>
      <c r="D6" s="4317"/>
      <c r="E6" s="4336" t="s">
        <v>2871</v>
      </c>
      <c r="F6" s="4337"/>
      <c r="G6" s="4316" t="s">
        <v>2871</v>
      </c>
      <c r="H6" s="4317"/>
      <c r="I6" s="4316" t="s">
        <v>2871</v>
      </c>
      <c r="J6" s="4317"/>
      <c r="K6" s="490" t="s">
        <v>506</v>
      </c>
      <c r="L6" s="1986"/>
      <c r="M6" s="1987"/>
      <c r="N6" s="1987"/>
      <c r="O6" s="1987"/>
      <c r="P6" s="4313"/>
      <c r="Q6" s="4314"/>
      <c r="R6" s="4297"/>
      <c r="S6" s="4298"/>
      <c r="T6" s="4299"/>
      <c r="U6" s="4300"/>
      <c r="V6" s="4315"/>
      <c r="W6" s="4315"/>
      <c r="X6" s="1476"/>
      <c r="Y6" s="4299"/>
      <c r="Z6" s="4300"/>
      <c r="AA6" s="4292"/>
      <c r="AB6" s="4292"/>
      <c r="AC6" s="4292"/>
    </row>
    <row r="7" spans="1:29" s="1185" customFormat="1" ht="15.75" thickBot="1">
      <c r="A7" s="2597"/>
      <c r="B7" s="2604" t="s">
        <v>507</v>
      </c>
      <c r="C7" s="495">
        <f>'数据-取费表'!B2</f>
        <v>44550</v>
      </c>
      <c r="D7" s="496">
        <v>100</v>
      </c>
      <c r="E7" s="497"/>
      <c r="F7" s="498">
        <f>SUMIF(46:46,YEAR(E7)&amp;"-"&amp;MONTH(E7),47:47)</f>
        <v>0</v>
      </c>
      <c r="G7" s="499"/>
      <c r="H7" s="496">
        <f>SUMIF(46:46,YEAR(G7)&amp;"-"&amp;MONTH(G7),47:47)</f>
        <v>0</v>
      </c>
      <c r="I7" s="499"/>
      <c r="J7" s="496">
        <f>SUMIF(46:46,YEAR(I7)&amp;"-"&amp;MONTH(I7),47:47)</f>
        <v>0</v>
      </c>
      <c r="K7" s="500"/>
      <c r="L7" s="1988"/>
      <c r="M7" s="1989"/>
      <c r="N7" s="1989"/>
      <c r="O7" s="1989"/>
      <c r="P7" s="4293" t="s">
        <v>508</v>
      </c>
      <c r="Q7" s="4302"/>
      <c r="R7" s="1477" t="s">
        <v>8</v>
      </c>
      <c r="S7" s="1478">
        <f t="shared" ref="S7:S14" si="0">F7</f>
        <v>0</v>
      </c>
      <c r="T7" s="1477" t="s">
        <v>8</v>
      </c>
      <c r="U7" s="1478">
        <f t="shared" ref="U7:U14" si="1">H7</f>
        <v>0</v>
      </c>
      <c r="V7" s="1477" t="s">
        <v>8</v>
      </c>
      <c r="W7" s="1478">
        <f t="shared" ref="W7:W14" si="2">J7</f>
        <v>0</v>
      </c>
      <c r="X7" s="1479"/>
      <c r="Y7" s="4293" t="s">
        <v>508</v>
      </c>
      <c r="Z7" s="4294"/>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4293" t="s">
        <v>511</v>
      </c>
      <c r="Q8" s="4294"/>
      <c r="R8" s="1477" t="s">
        <v>8</v>
      </c>
      <c r="S8" s="1478">
        <f t="shared" si="0"/>
        <v>0</v>
      </c>
      <c r="T8" s="1477" t="s">
        <v>8</v>
      </c>
      <c r="U8" s="1478">
        <f t="shared" si="1"/>
        <v>0</v>
      </c>
      <c r="V8" s="1477" t="s">
        <v>8</v>
      </c>
      <c r="W8" s="1478">
        <f t="shared" si="2"/>
        <v>0</v>
      </c>
      <c r="X8" s="1479"/>
      <c r="Y8" s="4293" t="s">
        <v>511</v>
      </c>
      <c r="Z8" s="4294"/>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4301" t="s">
        <v>513</v>
      </c>
      <c r="Q9" s="1116" t="str">
        <f t="shared" ref="Q9:Q14" si="6">B9</f>
        <v>用途</v>
      </c>
      <c r="R9" s="1477" t="s">
        <v>8</v>
      </c>
      <c r="S9" s="1478">
        <f t="shared" si="0"/>
        <v>100</v>
      </c>
      <c r="T9" s="1477" t="s">
        <v>8</v>
      </c>
      <c r="U9" s="1478">
        <f t="shared" si="1"/>
        <v>100</v>
      </c>
      <c r="V9" s="1477" t="s">
        <v>8</v>
      </c>
      <c r="W9" s="1478">
        <f t="shared" si="2"/>
        <v>100</v>
      </c>
      <c r="X9" s="1479"/>
      <c r="Y9" s="4248"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4301"/>
      <c r="Q10" s="1116" t="str">
        <f t="shared" si="6"/>
        <v>土地使用年限（年）</v>
      </c>
      <c r="R10" s="1477" t="s">
        <v>8</v>
      </c>
      <c r="S10" s="1478">
        <f t="shared" si="0"/>
        <v>100</v>
      </c>
      <c r="T10" s="1477" t="s">
        <v>8</v>
      </c>
      <c r="U10" s="1478">
        <f t="shared" si="1"/>
        <v>100</v>
      </c>
      <c r="V10" s="1477" t="s">
        <v>8</v>
      </c>
      <c r="W10" s="1478">
        <f t="shared" si="2"/>
        <v>100</v>
      </c>
      <c r="X10" s="1479"/>
      <c r="Y10" s="4248"/>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4301"/>
      <c r="Q11" s="1116">
        <f t="shared" si="6"/>
        <v>111</v>
      </c>
      <c r="R11" s="1477" t="s">
        <v>8</v>
      </c>
      <c r="S11" s="1478">
        <f t="shared" si="0"/>
        <v>100</v>
      </c>
      <c r="T11" s="1477" t="s">
        <v>8</v>
      </c>
      <c r="U11" s="1478">
        <f t="shared" si="1"/>
        <v>100</v>
      </c>
      <c r="V11" s="1477" t="s">
        <v>8</v>
      </c>
      <c r="W11" s="1478">
        <f t="shared" si="2"/>
        <v>100</v>
      </c>
      <c r="X11" s="1479"/>
      <c r="Y11" s="4248"/>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4301"/>
      <c r="Q12" s="1116">
        <f t="shared" si="6"/>
        <v>111</v>
      </c>
      <c r="R12" s="1477" t="s">
        <v>8</v>
      </c>
      <c r="S12" s="1478">
        <f t="shared" si="0"/>
        <v>100</v>
      </c>
      <c r="T12" s="1477" t="s">
        <v>8</v>
      </c>
      <c r="U12" s="1478">
        <f t="shared" si="1"/>
        <v>100</v>
      </c>
      <c r="V12" s="1477" t="s">
        <v>8</v>
      </c>
      <c r="W12" s="1478">
        <f t="shared" si="2"/>
        <v>100</v>
      </c>
      <c r="X12" s="1479"/>
      <c r="Y12" s="4248"/>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4301"/>
      <c r="Q13" s="1116">
        <f t="shared" si="6"/>
        <v>111</v>
      </c>
      <c r="R13" s="1477" t="s">
        <v>8</v>
      </c>
      <c r="S13" s="1478">
        <f t="shared" si="0"/>
        <v>100</v>
      </c>
      <c r="T13" s="1477" t="s">
        <v>8</v>
      </c>
      <c r="U13" s="1478">
        <f t="shared" si="1"/>
        <v>100</v>
      </c>
      <c r="V13" s="1477" t="s">
        <v>8</v>
      </c>
      <c r="W13" s="1478">
        <f t="shared" si="2"/>
        <v>100</v>
      </c>
      <c r="X13" s="1479"/>
      <c r="Y13" s="4248"/>
      <c r="Z13" s="1115">
        <f t="shared" si="7"/>
        <v>111</v>
      </c>
      <c r="AA13" s="1480">
        <f t="shared" si="3"/>
        <v>1</v>
      </c>
      <c r="AB13" s="1480">
        <f t="shared" si="4"/>
        <v>1</v>
      </c>
      <c r="AC13" s="1480">
        <f t="shared" si="5"/>
        <v>1</v>
      </c>
    </row>
    <row r="14" spans="1:29" ht="85.5">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4303" t="s">
        <v>518</v>
      </c>
      <c r="Q14" s="1481" t="str">
        <f t="shared" si="6"/>
        <v>交通便捷度</v>
      </c>
      <c r="R14" s="1482" t="s">
        <v>8</v>
      </c>
      <c r="S14" s="1483">
        <f t="shared" si="0"/>
        <v>100</v>
      </c>
      <c r="T14" s="1482" t="s">
        <v>8</v>
      </c>
      <c r="U14" s="1483">
        <f t="shared" si="1"/>
        <v>100</v>
      </c>
      <c r="V14" s="1482" t="s">
        <v>8</v>
      </c>
      <c r="W14" s="1483">
        <f t="shared" si="2"/>
        <v>100</v>
      </c>
      <c r="X14" s="1476"/>
      <c r="Y14" s="4303"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4304"/>
      <c r="Q15" s="1481"/>
      <c r="R15" s="1482"/>
      <c r="S15" s="1483"/>
      <c r="T15" s="1482"/>
      <c r="U15" s="1483"/>
      <c r="V15" s="1482"/>
      <c r="W15" s="1483"/>
      <c r="X15" s="1476"/>
      <c r="Y15" s="4304"/>
      <c r="Z15" s="1484"/>
      <c r="AA15" s="1485">
        <v>1</v>
      </c>
      <c r="AB15" s="1485">
        <v>1</v>
      </c>
      <c r="AC15" s="1485">
        <v>1</v>
      </c>
    </row>
    <row r="16" spans="1:29" ht="42.75">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4304"/>
      <c r="Q16" s="1481" t="str">
        <f>B16</f>
        <v>公共配套设施</v>
      </c>
      <c r="R16" s="1482" t="s">
        <v>8</v>
      </c>
      <c r="S16" s="1483">
        <f>F16</f>
        <v>100</v>
      </c>
      <c r="T16" s="1482" t="s">
        <v>8</v>
      </c>
      <c r="U16" s="1483">
        <f>H16</f>
        <v>100</v>
      </c>
      <c r="V16" s="1482" t="s">
        <v>8</v>
      </c>
      <c r="W16" s="1483">
        <f>J16</f>
        <v>100</v>
      </c>
      <c r="X16" s="1476"/>
      <c r="Y16" s="4304"/>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4304"/>
      <c r="Q17" s="1481"/>
      <c r="R17" s="1482"/>
      <c r="S17" s="1483"/>
      <c r="T17" s="1482"/>
      <c r="U17" s="1483"/>
      <c r="V17" s="1482"/>
      <c r="W17" s="1483"/>
      <c r="X17" s="1476"/>
      <c r="Y17" s="4304"/>
      <c r="Z17" s="1484"/>
      <c r="AA17" s="1485">
        <v>1</v>
      </c>
      <c r="AB17" s="1485">
        <v>1</v>
      </c>
      <c r="AC17" s="1485">
        <v>1</v>
      </c>
    </row>
    <row r="18" spans="1:29" ht="28.5">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4304"/>
      <c r="Q18" s="2397" t="str">
        <f>B18</f>
        <v>基础设施水平</v>
      </c>
      <c r="R18" s="1482" t="s">
        <v>8</v>
      </c>
      <c r="S18" s="1483">
        <f>F18</f>
        <v>100</v>
      </c>
      <c r="T18" s="1482" t="s">
        <v>8</v>
      </c>
      <c r="U18" s="1483">
        <f>H18</f>
        <v>100</v>
      </c>
      <c r="V18" s="1482" t="s">
        <v>8</v>
      </c>
      <c r="W18" s="1483">
        <f>J18</f>
        <v>100</v>
      </c>
      <c r="X18" s="2399"/>
      <c r="Y18" s="4304"/>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4304"/>
      <c r="Q19" s="2397"/>
      <c r="R19" s="1482"/>
      <c r="S19" s="1483"/>
      <c r="T19" s="1482"/>
      <c r="U19" s="1483"/>
      <c r="V19" s="1482"/>
      <c r="W19" s="1483"/>
      <c r="X19" s="2399"/>
      <c r="Y19" s="4304"/>
      <c r="Z19" s="2398"/>
      <c r="AA19" s="1485">
        <v>1</v>
      </c>
      <c r="AB19" s="1485">
        <v>1</v>
      </c>
      <c r="AC19" s="1485">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4304"/>
      <c r="Q20" s="1481" t="str">
        <f>B20</f>
        <v>自然及人文环境</v>
      </c>
      <c r="R20" s="1482" t="s">
        <v>8</v>
      </c>
      <c r="S20" s="1483">
        <f>F20</f>
        <v>100</v>
      </c>
      <c r="T20" s="1482" t="s">
        <v>8</v>
      </c>
      <c r="U20" s="1483">
        <f>H20</f>
        <v>100</v>
      </c>
      <c r="V20" s="1482" t="s">
        <v>8</v>
      </c>
      <c r="W20" s="1483">
        <f>J20</f>
        <v>100</v>
      </c>
      <c r="X20" s="1476"/>
      <c r="Y20" s="4304"/>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4304"/>
      <c r="Q21" s="1481"/>
      <c r="R21" s="1482"/>
      <c r="S21" s="1483"/>
      <c r="T21" s="1482"/>
      <c r="U21" s="1483"/>
      <c r="V21" s="1482"/>
      <c r="W21" s="1483"/>
      <c r="X21" s="1476"/>
      <c r="Y21" s="4304"/>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4304"/>
      <c r="Q22" s="1481" t="str">
        <f>B22</f>
        <v>楼层</v>
      </c>
      <c r="R22" s="1482" t="s">
        <v>8</v>
      </c>
      <c r="S22" s="1483">
        <f>F22</f>
        <v>100</v>
      </c>
      <c r="T22" s="1482" t="s">
        <v>8</v>
      </c>
      <c r="U22" s="1483">
        <f>H22</f>
        <v>100</v>
      </c>
      <c r="V22" s="1482" t="s">
        <v>8</v>
      </c>
      <c r="W22" s="1483">
        <f>J22</f>
        <v>100</v>
      </c>
      <c r="X22" s="1476"/>
      <c r="Y22" s="4304"/>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4304"/>
      <c r="Q23" s="1481">
        <f>B23</f>
        <v>111</v>
      </c>
      <c r="R23" s="1482" t="s">
        <v>8</v>
      </c>
      <c r="S23" s="1483">
        <f>F23</f>
        <v>100</v>
      </c>
      <c r="T23" s="1482" t="s">
        <v>8</v>
      </c>
      <c r="U23" s="1483">
        <f>H23</f>
        <v>100</v>
      </c>
      <c r="V23" s="1482" t="s">
        <v>8</v>
      </c>
      <c r="W23" s="1483">
        <f>J23</f>
        <v>100</v>
      </c>
      <c r="X23" s="1476"/>
      <c r="Y23" s="4304"/>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4304"/>
      <c r="Q24" s="1481">
        <f t="shared" ref="Q24:Q34" si="11">B24</f>
        <v>111</v>
      </c>
      <c r="R24" s="1482" t="s">
        <v>8</v>
      </c>
      <c r="S24" s="1483">
        <f>F24</f>
        <v>100</v>
      </c>
      <c r="T24" s="1482" t="s">
        <v>8</v>
      </c>
      <c r="U24" s="1483">
        <f>H24</f>
        <v>100</v>
      </c>
      <c r="V24" s="1482" t="s">
        <v>8</v>
      </c>
      <c r="W24" s="1483">
        <f>J24</f>
        <v>100</v>
      </c>
      <c r="X24" s="1476"/>
      <c r="Y24" s="4304"/>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4304"/>
      <c r="Q25" s="1116">
        <f t="shared" si="11"/>
        <v>111</v>
      </c>
      <c r="R25" s="1477" t="s">
        <v>8</v>
      </c>
      <c r="S25" s="1478">
        <f>F25</f>
        <v>100</v>
      </c>
      <c r="T25" s="1477" t="s">
        <v>8</v>
      </c>
      <c r="U25" s="1478">
        <f>H25</f>
        <v>100</v>
      </c>
      <c r="V25" s="1477" t="s">
        <v>8</v>
      </c>
      <c r="W25" s="1478">
        <f>J25</f>
        <v>100</v>
      </c>
      <c r="X25" s="1479"/>
      <c r="Y25" s="4304"/>
      <c r="Z25" s="1115">
        <f>Q25</f>
        <v>111</v>
      </c>
      <c r="AA25" s="1485">
        <f>D25/F25</f>
        <v>1</v>
      </c>
      <c r="AB25" s="1485">
        <f>D25/H25</f>
        <v>1</v>
      </c>
      <c r="AC25" s="1485">
        <f>D25/J25</f>
        <v>1</v>
      </c>
    </row>
    <row r="26" spans="1:29" ht="1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4305"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4306"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4306"/>
      <c r="Q27" s="1510" t="str">
        <f t="shared" si="11"/>
        <v>成新率</v>
      </c>
      <c r="R27" s="1486" t="s">
        <v>8</v>
      </c>
      <c r="S27" s="1487" t="e">
        <f t="shared" si="12"/>
        <v>#N/A</v>
      </c>
      <c r="T27" s="1486" t="s">
        <v>8</v>
      </c>
      <c r="U27" s="1487" t="e">
        <f t="shared" si="13"/>
        <v>#N/A</v>
      </c>
      <c r="V27" s="1486" t="s">
        <v>8</v>
      </c>
      <c r="W27" s="1487" t="e">
        <f t="shared" si="14"/>
        <v>#N/A</v>
      </c>
      <c r="X27" s="1488"/>
      <c r="Y27" s="4306"/>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4306"/>
      <c r="Q28" s="1481" t="str">
        <f t="shared" si="11"/>
        <v>物业等级</v>
      </c>
      <c r="R28" s="1482" t="s">
        <v>8</v>
      </c>
      <c r="S28" s="1483">
        <f t="shared" si="12"/>
        <v>100</v>
      </c>
      <c r="T28" s="1482" t="s">
        <v>8</v>
      </c>
      <c r="U28" s="1483">
        <f t="shared" si="13"/>
        <v>100</v>
      </c>
      <c r="V28" s="1482" t="s">
        <v>8</v>
      </c>
      <c r="W28" s="1483">
        <f t="shared" si="14"/>
        <v>100</v>
      </c>
      <c r="X28" s="1476"/>
      <c r="Y28" s="4306"/>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4306"/>
      <c r="Q29" s="1481" t="str">
        <f t="shared" si="11"/>
        <v>有无电梯</v>
      </c>
      <c r="R29" s="1482" t="s">
        <v>8</v>
      </c>
      <c r="S29" s="1483">
        <f t="shared" si="12"/>
        <v>100</v>
      </c>
      <c r="T29" s="1482" t="s">
        <v>8</v>
      </c>
      <c r="U29" s="1483">
        <f t="shared" si="13"/>
        <v>100</v>
      </c>
      <c r="V29" s="1482" t="s">
        <v>8</v>
      </c>
      <c r="W29" s="1483">
        <f t="shared" si="14"/>
        <v>100</v>
      </c>
      <c r="X29" s="1476"/>
      <c r="Y29" s="4306"/>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4306"/>
      <c r="Q30" s="1481" t="str">
        <f t="shared" si="11"/>
        <v>建筑面积</v>
      </c>
      <c r="R30" s="1482" t="s">
        <v>8</v>
      </c>
      <c r="S30" s="1483" t="e">
        <f t="shared" si="12"/>
        <v>#N/A</v>
      </c>
      <c r="T30" s="1482" t="s">
        <v>8</v>
      </c>
      <c r="U30" s="1483" t="e">
        <f t="shared" si="13"/>
        <v>#N/A</v>
      </c>
      <c r="V30" s="1482" t="s">
        <v>8</v>
      </c>
      <c r="W30" s="1483" t="e">
        <f t="shared" si="14"/>
        <v>#N/A</v>
      </c>
      <c r="X30" s="1476"/>
      <c r="Y30" s="4306"/>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4306"/>
      <c r="Q31" s="1116" t="str">
        <f t="shared" si="11"/>
        <v>是否封闭</v>
      </c>
      <c r="R31" s="1477" t="s">
        <v>8</v>
      </c>
      <c r="S31" s="1478">
        <f t="shared" si="12"/>
        <v>100</v>
      </c>
      <c r="T31" s="1477" t="s">
        <v>8</v>
      </c>
      <c r="U31" s="1478">
        <f t="shared" si="13"/>
        <v>100</v>
      </c>
      <c r="V31" s="1477" t="s">
        <v>8</v>
      </c>
      <c r="W31" s="1478">
        <f t="shared" si="14"/>
        <v>100</v>
      </c>
      <c r="X31" s="1479"/>
      <c r="Y31" s="4306"/>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4306" t="s">
        <v>528</v>
      </c>
      <c r="Q32" s="1481">
        <f t="shared" si="11"/>
        <v>111</v>
      </c>
      <c r="R32" s="1482" t="s">
        <v>8</v>
      </c>
      <c r="S32" s="1483">
        <f t="shared" si="12"/>
        <v>100</v>
      </c>
      <c r="T32" s="1482" t="s">
        <v>8</v>
      </c>
      <c r="U32" s="1483">
        <f t="shared" si="13"/>
        <v>100</v>
      </c>
      <c r="V32" s="1482" t="s">
        <v>8</v>
      </c>
      <c r="W32" s="1483">
        <f t="shared" si="14"/>
        <v>100</v>
      </c>
      <c r="X32" s="1476"/>
      <c r="Y32" s="4306"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4306"/>
      <c r="Q33" s="1481">
        <f t="shared" si="11"/>
        <v>111</v>
      </c>
      <c r="R33" s="1482" t="s">
        <v>8</v>
      </c>
      <c r="S33" s="1483">
        <f t="shared" si="12"/>
        <v>100</v>
      </c>
      <c r="T33" s="1482" t="s">
        <v>8</v>
      </c>
      <c r="U33" s="1483">
        <f t="shared" si="13"/>
        <v>100</v>
      </c>
      <c r="V33" s="1482" t="s">
        <v>8</v>
      </c>
      <c r="W33" s="1483">
        <f t="shared" si="14"/>
        <v>100</v>
      </c>
      <c r="X33" s="1476"/>
      <c r="Y33" s="4306"/>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4306"/>
      <c r="Q34" s="1481">
        <f t="shared" si="11"/>
        <v>111</v>
      </c>
      <c r="R34" s="1482" t="s">
        <v>8</v>
      </c>
      <c r="S34" s="1483">
        <f t="shared" si="12"/>
        <v>100</v>
      </c>
      <c r="T34" s="1482" t="s">
        <v>8</v>
      </c>
      <c r="U34" s="1483">
        <f t="shared" si="13"/>
        <v>100</v>
      </c>
      <c r="V34" s="1482" t="s">
        <v>8</v>
      </c>
      <c r="W34" s="1483">
        <f t="shared" si="14"/>
        <v>100</v>
      </c>
      <c r="X34" s="1476"/>
      <c r="Y34" s="4306"/>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4301" t="str">
        <f>A35</f>
        <v>成交单价（元/平方米）</v>
      </c>
      <c r="Q35" s="4301"/>
      <c r="R35" s="4474">
        <f>E35</f>
        <v>0</v>
      </c>
      <c r="S35" s="4474"/>
      <c r="T35" s="4474">
        <f>G35</f>
        <v>0</v>
      </c>
      <c r="U35" s="4474"/>
      <c r="V35" s="4474">
        <f>I35</f>
        <v>0</v>
      </c>
      <c r="W35" s="4474"/>
      <c r="X35" s="1471"/>
      <c r="Y35" s="1490"/>
      <c r="Z35" s="1471"/>
      <c r="AA35" s="1471"/>
      <c r="AB35" s="1471"/>
      <c r="AC35" s="1471"/>
    </row>
    <row r="36" spans="1:29" ht="15.7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4301" t="str">
        <f>A36</f>
        <v>比较价格（元/平方米）</v>
      </c>
      <c r="Q36" s="4301"/>
      <c r="R36" s="4474" t="e">
        <f>IF(F1="售价",ROUND(PRODUCT(R35,AA7:AA34),0),ROUND(PRODUCT(R35,AA7:AA34),1))</f>
        <v>#DIV/0!</v>
      </c>
      <c r="S36" s="4474"/>
      <c r="T36" s="4474" t="e">
        <f>IF(F1="售价",ROUND(PRODUCT(T35,AB7:AB34),0),ROUND(PRODUCT(T35,AB7:AB34),1))</f>
        <v>#DIV/0!</v>
      </c>
      <c r="U36" s="4474"/>
      <c r="V36" s="4474" t="e">
        <f>IF(F1="售价",ROUND(PRODUCT(V35,AC7:AC34),0),ROUND(PRODUCT(V35,AC7:AC34),1))</f>
        <v>#DIV/0!</v>
      </c>
      <c r="W36" s="4474"/>
      <c r="X36" s="1471"/>
      <c r="Y36" s="1471"/>
      <c r="Z36" s="1471"/>
      <c r="AA36" s="1471"/>
      <c r="AB36" s="1471"/>
      <c r="AC36" s="1471"/>
    </row>
    <row r="37" spans="1:29" ht="15.75" thickBot="1">
      <c r="A37" s="595" t="s">
        <v>2873</v>
      </c>
      <c r="B37" s="596"/>
      <c r="C37" s="2446" t="e">
        <f>R37</f>
        <v>#DIV/0!</v>
      </c>
      <c r="D37" s="2446"/>
      <c r="E37" s="2446"/>
      <c r="F37" s="2446"/>
      <c r="G37" s="2446"/>
      <c r="H37" s="2446"/>
      <c r="I37" s="2446"/>
      <c r="J37" s="2446"/>
      <c r="K37" s="1516"/>
      <c r="L37" s="1997"/>
      <c r="M37" s="1998"/>
      <c r="N37" s="1998"/>
      <c r="O37" s="1998"/>
      <c r="P37" s="4322" t="str">
        <f>A37</f>
        <v>估价对象XX用房的比较价格（楼面单价，元/平方米）</v>
      </c>
      <c r="Q37" s="4323"/>
      <c r="R37" s="4473" t="e">
        <f>IF(F1="售价",ROUND(IF(D36="简单平均",AVERAGE(R36:W36),R36*F36+T36*H36+V36*J36),0),ROUND(IF(D36="简单平均",AVERAGE(R36:V36),R36*F36+T36*H36+V36*J36),1))</f>
        <v>#DIV/0!</v>
      </c>
      <c r="S37" s="4473"/>
      <c r="T37" s="4473"/>
      <c r="U37" s="4473"/>
      <c r="V37" s="4473"/>
      <c r="W37" s="4473"/>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2021-12</v>
      </c>
      <c r="D46" s="2489">
        <f>EDATE(C46,-1)</f>
        <v>44501</v>
      </c>
      <c r="E46" s="2489">
        <f t="shared" ref="E46:O46" si="16">EDATE(D46,-1)</f>
        <v>44470</v>
      </c>
      <c r="F46" s="2489">
        <f t="shared" si="16"/>
        <v>44440</v>
      </c>
      <c r="G46" s="2489">
        <f t="shared" si="16"/>
        <v>44409</v>
      </c>
      <c r="H46" s="2489">
        <f t="shared" si="16"/>
        <v>44378</v>
      </c>
      <c r="I46" s="2489">
        <f t="shared" si="16"/>
        <v>44348</v>
      </c>
      <c r="J46" s="2489">
        <f t="shared" si="16"/>
        <v>44317</v>
      </c>
      <c r="K46" s="2489">
        <f t="shared" si="16"/>
        <v>44287</v>
      </c>
      <c r="L46" s="2489">
        <f t="shared" si="16"/>
        <v>44256</v>
      </c>
      <c r="M46" s="2489">
        <f t="shared" si="16"/>
        <v>44228</v>
      </c>
      <c r="N46" s="2489">
        <f t="shared" si="16"/>
        <v>44197</v>
      </c>
      <c r="O46" s="2489">
        <f t="shared" si="16"/>
        <v>44166</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L20" sqref="L20"/>
      <selection pane="bottomLeft" activeCell="L20" sqref="L20"/>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4483" t="s">
        <v>2269</v>
      </c>
      <c r="D1" s="4484"/>
      <c r="E1" s="4484"/>
      <c r="F1" s="4484"/>
      <c r="G1" s="4484"/>
      <c r="H1" s="4484"/>
      <c r="I1" s="4484"/>
      <c r="J1" s="4484"/>
      <c r="K1" s="4484"/>
      <c r="L1" s="4484"/>
      <c r="M1" s="4484"/>
      <c r="N1" s="4484"/>
      <c r="O1" s="4484"/>
      <c r="P1" s="4484"/>
      <c r="Q1" s="4484"/>
      <c r="R1" s="4484"/>
      <c r="S1" s="4485"/>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4480" t="s">
        <v>20</v>
      </c>
      <c r="D22" s="4481"/>
      <c r="E22" s="4481"/>
      <c r="F22" s="4481"/>
      <c r="G22" s="4481"/>
      <c r="H22" s="4481"/>
      <c r="I22" s="4481"/>
      <c r="J22" s="4481"/>
      <c r="K22" s="4481"/>
      <c r="L22" s="4481"/>
      <c r="M22" s="4481"/>
      <c r="N22" s="4481"/>
      <c r="O22" s="4481"/>
      <c r="P22" s="4481"/>
      <c r="Q22" s="4482"/>
      <c r="R22" s="474" t="e">
        <f>ROUND(S22*10000/B22,0)</f>
        <v>#DIV/0!</v>
      </c>
      <c r="S22" s="53">
        <f>SUM(S24:S10000)</f>
        <v>0</v>
      </c>
    </row>
    <row r="23" spans="1:45" s="1517" customFormat="1" ht="24">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2740</v>
      </c>
      <c r="C1" s="2689">
        <f>项目基本情况!D3</f>
        <v>44550</v>
      </c>
      <c r="H1" s="2623">
        <f>IF(C1&gt;C13,0,MATCH(C1,C$13:C$100,-1))+IF(SUMIF(C13:C100,C1,D13:D100)=0,13,12)</f>
        <v>13</v>
      </c>
      <c r="I1" s="2623">
        <f ca="1">MATCH(C2,H3:H7,1)+IF(SUMIF(H3:H7,C2,I3:I7)=0,2,1)</f>
        <v>5</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3</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0</v>
      </c>
      <c r="D3" s="2685" t="s">
        <v>2741</v>
      </c>
      <c r="E3" s="2688">
        <f ca="1">INDIRECT("J"&amp;$J$1)/100</f>
        <v>0</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112" t="s">
        <v>2005</v>
      </c>
      <c r="B1" s="4112"/>
      <c r="C1" s="4112"/>
      <c r="D1" s="4112"/>
      <c r="E1" s="4112"/>
      <c r="F1" s="4112"/>
      <c r="G1" s="4112"/>
      <c r="H1" s="4112"/>
      <c r="I1" s="4112"/>
      <c r="J1" s="4112"/>
      <c r="K1" s="4112"/>
      <c r="L1" s="4112"/>
      <c r="M1" s="4112"/>
      <c r="N1" s="4112"/>
      <c r="O1" s="4112"/>
      <c r="P1" s="4112"/>
      <c r="Q1" s="4112"/>
      <c r="R1" s="4112"/>
    </row>
    <row r="2" spans="1:18">
      <c r="A2" s="1695" t="s">
        <v>2007</v>
      </c>
      <c r="B2" s="1695"/>
      <c r="C2" s="1695"/>
      <c r="D2" s="1695"/>
      <c r="E2" s="1695"/>
      <c r="F2" s="1695"/>
      <c r="G2" s="1695"/>
      <c r="H2" s="1695"/>
      <c r="I2" s="1696"/>
      <c r="J2" s="1696"/>
      <c r="K2" s="1697" t="str">
        <f>"估价期日："&amp;TEXT(项目基本情况!D3,"yyyy年m月d日;;")</f>
        <v>估价期日：2021年12月20日</v>
      </c>
      <c r="L2" s="1695"/>
      <c r="M2" s="1695"/>
      <c r="N2" s="1695"/>
      <c r="O2" s="1695"/>
      <c r="P2" s="1695"/>
      <c r="Q2" s="1695"/>
      <c r="R2" s="1697" t="str">
        <f>"估价期日的国有建设用地使用权性质："&amp;项目基本情况!B16</f>
        <v>估价期日的国有建设用地使用权性质：出让</v>
      </c>
    </row>
    <row r="3" spans="1:18" ht="23.25" customHeight="1">
      <c r="A3" s="4113" t="s">
        <v>1996</v>
      </c>
      <c r="B3" s="4113" t="s">
        <v>2684</v>
      </c>
      <c r="C3" s="4114" t="s">
        <v>1997</v>
      </c>
      <c r="D3" s="4113" t="s">
        <v>2688</v>
      </c>
      <c r="E3" s="4116" t="s">
        <v>1998</v>
      </c>
      <c r="F3" s="4116"/>
      <c r="G3" s="4116"/>
      <c r="H3" s="4116" t="s">
        <v>1999</v>
      </c>
      <c r="I3" s="4116"/>
      <c r="J3" s="4116"/>
      <c r="K3" s="4114" t="s">
        <v>2000</v>
      </c>
      <c r="L3" s="4114" t="s">
        <v>2001</v>
      </c>
      <c r="M3" s="4113" t="s">
        <v>2685</v>
      </c>
      <c r="N3" s="4115" t="str">
        <f>"（分摊）"&amp;项目基本情况!B16&amp;"国有建设用地使用权面积/㎡"</f>
        <v>（分摊）出让国有建设用地使用权面积/㎡</v>
      </c>
      <c r="O3" s="4113" t="s">
        <v>2030</v>
      </c>
      <c r="P3" s="4114" t="s">
        <v>2010</v>
      </c>
      <c r="Q3" s="4114" t="s">
        <v>2031</v>
      </c>
      <c r="R3" s="4114" t="s">
        <v>2002</v>
      </c>
    </row>
    <row r="4" spans="1:18" ht="36.75" customHeight="1">
      <c r="A4" s="4113"/>
      <c r="B4" s="4113"/>
      <c r="C4" s="4114"/>
      <c r="D4" s="4113"/>
      <c r="E4" s="2459" t="s">
        <v>2009</v>
      </c>
      <c r="F4" s="2459" t="s">
        <v>2697</v>
      </c>
      <c r="G4" s="2459" t="s">
        <v>2003</v>
      </c>
      <c r="H4" s="2459" t="s">
        <v>2004</v>
      </c>
      <c r="I4" s="2459" t="s">
        <v>2698</v>
      </c>
      <c r="J4" s="2459" t="s">
        <v>2003</v>
      </c>
      <c r="K4" s="4114"/>
      <c r="L4" s="4114"/>
      <c r="M4" s="4113"/>
      <c r="N4" s="4115"/>
      <c r="O4" s="4113"/>
      <c r="P4" s="4114"/>
      <c r="Q4" s="4114"/>
      <c r="R4" s="4114"/>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f>IF(项目基本情况!B16="出让",项目基本情况!D20,"——")</f>
        <v>0</v>
      </c>
      <c r="N5" s="1698">
        <f>项目基本情况!C22</f>
        <v>3580.29</v>
      </c>
      <c r="O5" s="1698">
        <f>项目基本情况!C21</f>
        <v>8950.7250000000022</v>
      </c>
      <c r="P5" s="1698">
        <f ca="1">结果表!E42</f>
        <v>26766</v>
      </c>
      <c r="Q5" s="1698">
        <f ca="1">结果表!D42</f>
        <v>10706</v>
      </c>
      <c r="R5" s="1699">
        <f ca="1">结果表!C42</f>
        <v>9583</v>
      </c>
    </row>
    <row r="6" spans="1:18">
      <c r="A6" s="4109" t="str">
        <f>IF(项目基本情况!B9="市场价格","——","抵押价格")</f>
        <v>——</v>
      </c>
      <c r="B6" s="4110"/>
      <c r="C6" s="4110"/>
      <c r="D6" s="4110"/>
      <c r="E6" s="4110"/>
      <c r="F6" s="4110"/>
      <c r="G6" s="4110"/>
      <c r="H6" s="4110"/>
      <c r="I6" s="4110"/>
      <c r="J6" s="4110"/>
      <c r="K6" s="4110"/>
      <c r="L6" s="4110"/>
      <c r="M6" s="4110"/>
      <c r="N6" s="4110"/>
      <c r="O6" s="4110"/>
      <c r="P6" s="4110"/>
      <c r="Q6" s="4111"/>
      <c r="R6" s="1700" t="str">
        <f>结果表!O39</f>
        <v>——</v>
      </c>
    </row>
    <row r="7" spans="1:18">
      <c r="A7" s="4109" t="str">
        <f>IF(项目基本情况!B9="市场价格","——",IF(项目基本情况!E8="已注销及未注销","抵押担保权已注销时的抵押价格","——"))</f>
        <v>——</v>
      </c>
      <c r="B7" s="4110"/>
      <c r="C7" s="4110"/>
      <c r="D7" s="4110"/>
      <c r="E7" s="4110"/>
      <c r="F7" s="4110"/>
      <c r="G7" s="4110"/>
      <c r="H7" s="4110"/>
      <c r="I7" s="4110"/>
      <c r="J7" s="4110"/>
      <c r="K7" s="4110"/>
      <c r="L7" s="4110"/>
      <c r="M7" s="4110"/>
      <c r="N7" s="4110"/>
      <c r="O7" s="4110"/>
      <c r="P7" s="4110"/>
      <c r="Q7" s="4111"/>
      <c r="R7" s="1700" t="str">
        <f>结果表!O40</f>
        <v>——</v>
      </c>
    </row>
    <row r="8" spans="1:18">
      <c r="A8" s="4109" t="str">
        <f>IF(项目基本情况!B9="市场价格","——",项目基本情况!E9)</f>
        <v>——</v>
      </c>
      <c r="B8" s="4110"/>
      <c r="C8" s="4110"/>
      <c r="D8" s="4110"/>
      <c r="E8" s="4110"/>
      <c r="F8" s="4110"/>
      <c r="G8" s="4110"/>
      <c r="H8" s="4110"/>
      <c r="I8" s="4110"/>
      <c r="J8" s="4110"/>
      <c r="K8" s="4110"/>
      <c r="L8" s="4110"/>
      <c r="M8" s="4110"/>
      <c r="N8" s="4110"/>
      <c r="O8" s="4110"/>
      <c r="P8" s="4110"/>
      <c r="Q8" s="4111"/>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4117" t="s">
        <v>2032</v>
      </c>
      <c r="B1" s="4117"/>
      <c r="C1" s="4117"/>
      <c r="D1" s="4117"/>
    </row>
    <row r="2" spans="1:4" ht="47.25" customHeight="1">
      <c r="A2" s="4121" t="str">
        <f>"1.权利限制："&amp;项目基本情况!L24&amp;"未设定租赁等其他他项权利。"</f>
        <v>1.权利限制：根据估价对象《不动产权证书》原件、《国有土地使用权》复印件，截至估价期日，估价对象抵押权未见登记。未设定租赁等其他他项权利。</v>
      </c>
      <c r="B2" s="4121"/>
      <c r="C2" s="4121"/>
      <c r="D2" s="4121"/>
    </row>
    <row r="3" spans="1:4" ht="48" customHeight="1">
      <c r="A3" s="41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17"/>
      <c r="C3" s="4117"/>
      <c r="D3" s="4117"/>
    </row>
    <row r="4" spans="1:4" ht="36.75" customHeight="1">
      <c r="A4" s="4117" t="str">
        <f>"3.估价规划限制条件：详见"&amp;项目基本情况!E21&amp;"。"</f>
        <v>3.估价规划限制条件：详见《建设工程规划许可证》[]、《出让合同》[]。</v>
      </c>
      <c r="B4" s="4117"/>
      <c r="C4" s="4117"/>
      <c r="D4" s="4117"/>
    </row>
    <row r="5" spans="1:4">
      <c r="A5" s="4120" t="s">
        <v>2033</v>
      </c>
      <c r="B5" s="4120"/>
      <c r="C5" s="4120"/>
      <c r="D5" s="4120"/>
    </row>
    <row r="6" spans="1:4">
      <c r="A6" s="4117" t="s">
        <v>2011</v>
      </c>
      <c r="B6" s="4117"/>
      <c r="C6" s="4117"/>
      <c r="D6" s="4117"/>
    </row>
    <row r="7" spans="1:4" ht="33" customHeight="1">
      <c r="A7" s="4117" t="s">
        <v>2528</v>
      </c>
      <c r="B7" s="4117"/>
      <c r="C7" s="4117"/>
      <c r="D7" s="4117"/>
    </row>
    <row r="8" spans="1:4" ht="32.25" customHeight="1">
      <c r="A8" s="41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17"/>
      <c r="C8" s="4117"/>
      <c r="D8" s="4117"/>
    </row>
    <row r="9" spans="1:4" ht="33.75" customHeight="1">
      <c r="A9" s="4117" t="str">
        <f>IF(项目基本情况!B8="抵押","3.抵押双方在办理抵押登记手续时，应使用本公司出具的正式《土地估价报告》，特提请报告使用者注意。","——")</f>
        <v>——</v>
      </c>
      <c r="B9" s="4117"/>
      <c r="C9" s="4117"/>
      <c r="D9" s="4117"/>
    </row>
    <row r="10" spans="1:4">
      <c r="A10" s="4117" t="str">
        <f>IF(项目基本情况!B8="抵押","4.估价师所知悉的法定优先受偿款情况为：","——")</f>
        <v>——</v>
      </c>
      <c r="B10" s="4117"/>
      <c r="C10" s="4117"/>
      <c r="D10" s="4117"/>
    </row>
    <row r="11" spans="1:4" ht="37.5" customHeight="1">
      <c r="A11" s="4119" t="str">
        <f>IF(项目基本情况!B8="抵押","（1）"&amp;CONCATENATE(项目基本情况!L24,项目基本情况!L25,项目基本情况!L26),"——")</f>
        <v>——</v>
      </c>
      <c r="B11" s="4119"/>
      <c r="C11" s="4119"/>
      <c r="D11" s="4119"/>
    </row>
    <row r="12" spans="1:4" ht="168" customHeight="1">
      <c r="A12" s="4120" t="s">
        <v>2035</v>
      </c>
      <c r="B12" s="4120"/>
      <c r="C12" s="4120"/>
      <c r="D12" s="4120"/>
    </row>
    <row r="13" spans="1:4">
      <c r="A13" s="4118" t="s">
        <v>2699</v>
      </c>
      <c r="B13" s="4118"/>
      <c r="C13" s="4118"/>
      <c r="D13" s="4118"/>
    </row>
    <row r="14" spans="1:4">
      <c r="A14" s="4119" t="str">
        <f>IF(项目基本情况!B8="抵押","综上，"&amp;结果表!K47,"——")</f>
        <v>——</v>
      </c>
      <c r="B14" s="4119"/>
      <c r="C14" s="4119"/>
      <c r="D14" s="4119"/>
    </row>
    <row r="15" spans="1:4" ht="58.5" customHeight="1">
      <c r="A15" s="41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17"/>
      <c r="C15" s="4117"/>
      <c r="D15" s="4117"/>
    </row>
    <row r="16" spans="1:4" ht="70.5" customHeight="1">
      <c r="A16" s="41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17"/>
      <c r="C16" s="4117"/>
      <c r="D16" s="4117"/>
    </row>
    <row r="17" spans="1:4">
      <c r="A17" s="4117" t="s">
        <v>2655</v>
      </c>
      <c r="B17" s="4117"/>
      <c r="C17" s="4117"/>
      <c r="D17" s="4117"/>
    </row>
    <row r="18" spans="1:4">
      <c r="A18" s="4117" t="s">
        <v>2647</v>
      </c>
      <c r="B18" s="4117"/>
      <c r="C18" s="4117"/>
      <c r="D18" s="4117"/>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4117" t="s">
        <v>2652</v>
      </c>
      <c r="B23" s="4117"/>
      <c r="C23" s="4117"/>
      <c r="D23" s="4117"/>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4129" t="s">
        <v>53</v>
      </c>
      <c r="B15" s="4130" t="s">
        <v>822</v>
      </c>
      <c r="C15" s="4126"/>
    </row>
    <row r="16" spans="1:7" ht="14.25">
      <c r="A16" s="4129"/>
      <c r="B16" s="4127" t="s">
        <v>54</v>
      </c>
      <c r="C16" s="1137" t="s">
        <v>53</v>
      </c>
    </row>
    <row r="17" spans="1:3" ht="14.25">
      <c r="A17" s="4129"/>
      <c r="B17" s="4127"/>
      <c r="C17" s="1137" t="s">
        <v>55</v>
      </c>
    </row>
    <row r="18" spans="1:3" ht="14.25">
      <c r="A18" s="4129"/>
      <c r="B18" s="4127"/>
      <c r="C18" s="1137" t="s">
        <v>56</v>
      </c>
    </row>
    <row r="19" spans="1:3" ht="14.25">
      <c r="A19" s="4129"/>
      <c r="B19" s="4125" t="s">
        <v>57</v>
      </c>
      <c r="C19" s="4126"/>
    </row>
    <row r="20" spans="1:3" ht="14.25">
      <c r="A20" s="1138" t="s">
        <v>58</v>
      </c>
      <c r="B20" s="1139"/>
      <c r="C20" s="1140"/>
    </row>
    <row r="21" spans="1:3" ht="14.25">
      <c r="A21" s="4128" t="s">
        <v>59</v>
      </c>
      <c r="B21" s="4125" t="s">
        <v>60</v>
      </c>
      <c r="C21" s="4126"/>
    </row>
    <row r="22" spans="1:3" ht="14.25">
      <c r="A22" s="4128"/>
      <c r="B22" s="4125" t="s">
        <v>61</v>
      </c>
      <c r="C22" s="4126"/>
    </row>
    <row r="23" spans="1:3" ht="14.25">
      <c r="A23" s="4128"/>
      <c r="B23" s="4125" t="s">
        <v>62</v>
      </c>
      <c r="C23" s="4126"/>
    </row>
    <row r="24" spans="1:3" ht="14.25">
      <c r="A24" s="4128"/>
      <c r="B24" s="4131" t="s">
        <v>63</v>
      </c>
      <c r="C24" s="1141" t="s">
        <v>813</v>
      </c>
    </row>
    <row r="25" spans="1:3" ht="14.25">
      <c r="A25" s="4128"/>
      <c r="B25" s="4132"/>
      <c r="C25" s="1141" t="s">
        <v>814</v>
      </c>
    </row>
    <row r="26" spans="1:3" ht="14.25">
      <c r="A26" s="4128"/>
      <c r="B26" s="4132"/>
      <c r="C26" s="1141" t="s">
        <v>815</v>
      </c>
    </row>
    <row r="27" spans="1:3" ht="14.25">
      <c r="A27" s="4128"/>
      <c r="B27" s="4132"/>
      <c r="C27" s="1141" t="s">
        <v>816</v>
      </c>
    </row>
    <row r="28" spans="1:3" ht="14.25">
      <c r="A28" s="4128"/>
      <c r="B28" s="4132"/>
      <c r="C28" s="1141" t="s">
        <v>817</v>
      </c>
    </row>
    <row r="29" spans="1:3" ht="14.25">
      <c r="A29" s="4128"/>
      <c r="B29" s="4132"/>
      <c r="C29" s="1141" t="s">
        <v>818</v>
      </c>
    </row>
    <row r="30" spans="1:3" ht="14.25">
      <c r="A30" s="4128"/>
      <c r="B30" s="4132"/>
      <c r="C30" s="1141" t="s">
        <v>819</v>
      </c>
    </row>
    <row r="31" spans="1:3" ht="14.25">
      <c r="A31" s="4128"/>
      <c r="B31" s="4132"/>
      <c r="C31" s="1141" t="s">
        <v>820</v>
      </c>
    </row>
    <row r="32" spans="1:3" ht="14.25">
      <c r="A32" s="4128"/>
      <c r="B32" s="4132"/>
      <c r="C32" s="1141" t="s">
        <v>1621</v>
      </c>
    </row>
    <row r="33" spans="1:3" ht="14.25">
      <c r="A33" s="4128"/>
      <c r="B33" s="4122" t="s">
        <v>1627</v>
      </c>
      <c r="C33" s="1141" t="s">
        <v>1622</v>
      </c>
    </row>
    <row r="34" spans="1:3" ht="14.25">
      <c r="A34" s="4128"/>
      <c r="B34" s="4123"/>
      <c r="C34" s="1146" t="s">
        <v>1623</v>
      </c>
    </row>
    <row r="35" spans="1:3" ht="14.25">
      <c r="A35" s="4128"/>
      <c r="B35" s="4123"/>
      <c r="C35" s="1147" t="s">
        <v>1624</v>
      </c>
    </row>
    <row r="36" spans="1:3" ht="14.25">
      <c r="A36" s="4128"/>
      <c r="B36" s="4123"/>
      <c r="C36" s="1147" t="s">
        <v>1625</v>
      </c>
    </row>
    <row r="37" spans="1:3" ht="14.25">
      <c r="A37" s="4128"/>
      <c r="B37" s="4124"/>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1876</v>
      </c>
      <c r="B2" s="2993">
        <f ca="1">TODAY()</f>
        <v>44572</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f ca="1">IF(C10&lt;B2,"已过期",1120100036)</f>
        <v>1120100036</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4136" t="s">
        <v>1893</v>
      </c>
      <c r="B17" s="4137"/>
      <c r="C17" s="4137"/>
      <c r="D17" s="4137"/>
      <c r="E17" s="4137"/>
      <c r="F17" s="4137"/>
      <c r="G17" s="3000"/>
    </row>
    <row r="18" spans="1:7" ht="20.25" customHeight="1">
      <c r="A18" s="4133" t="s">
        <v>1894</v>
      </c>
      <c r="B18" s="4133"/>
      <c r="C18" s="4134"/>
      <c r="D18" s="4135" t="s">
        <v>1895</v>
      </c>
      <c r="E18" s="4133"/>
      <c r="F18" s="4133"/>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53" priority="149">
      <formula>AND($C5-TODAY()&lt;30,TODAY()&lt;$C5)</formula>
    </cfRule>
  </conditionalFormatting>
  <conditionalFormatting sqref="C20">
    <cfRule type="expression" dxfId="252" priority="148">
      <formula>AND($C20-TODAY()&lt;30,TODAY()&lt;$C20)</formula>
    </cfRule>
  </conditionalFormatting>
  <conditionalFormatting sqref="C20 F4 C5 C13">
    <cfRule type="cellIs" dxfId="251" priority="150" stopIfTrue="1" operator="lessThan">
      <formula>$B$2</formula>
    </cfRule>
  </conditionalFormatting>
  <conditionalFormatting sqref="F5 F7 F9">
    <cfRule type="cellIs" dxfId="250" priority="144" stopIfTrue="1" operator="lessThan">
      <formula>$B$2</formula>
    </cfRule>
  </conditionalFormatting>
  <conditionalFormatting sqref="C16:D16">
    <cfRule type="expression" dxfId="249" priority="142">
      <formula>AND($C16-TODAY()&lt;30,TODAY()&lt;$C16)</formula>
    </cfRule>
  </conditionalFormatting>
  <conditionalFormatting sqref="F6 F8 F10 C16:D16">
    <cfRule type="cellIs" dxfId="248" priority="143" stopIfTrue="1" operator="lessThan">
      <formula>$B$2</formula>
    </cfRule>
  </conditionalFormatting>
  <conditionalFormatting sqref="F14">
    <cfRule type="cellIs" dxfId="247" priority="114" stopIfTrue="1" operator="lessThan">
      <formula>$B$2</formula>
    </cfRule>
  </conditionalFormatting>
  <conditionalFormatting sqref="F13">
    <cfRule type="cellIs" dxfId="246" priority="113" stopIfTrue="1" operator="lessThan">
      <formula>$B$2</formula>
    </cfRule>
  </conditionalFormatting>
  <conditionalFormatting sqref="B4:B11 E4:E11 E13:E15 B13:B15">
    <cfRule type="cellIs" dxfId="245" priority="111" stopIfTrue="1" operator="equal">
      <formula>"已过期"</formula>
    </cfRule>
  </conditionalFormatting>
  <conditionalFormatting sqref="F20">
    <cfRule type="cellIs" dxfId="244" priority="108" stopIfTrue="1" operator="lessThan">
      <formula>$B$2</formula>
    </cfRule>
  </conditionalFormatting>
  <conditionalFormatting sqref="F20">
    <cfRule type="expression" dxfId="243" priority="152">
      <formula>AND($E20-TODAY()&lt;30,TODAY()&lt;$E20)</formula>
    </cfRule>
  </conditionalFormatting>
  <conditionalFormatting sqref="C6">
    <cfRule type="expression" dxfId="242" priority="82">
      <formula>AND($C6-TODAY()&lt;30,TODAY()&lt;$C6)</formula>
    </cfRule>
  </conditionalFormatting>
  <conditionalFormatting sqref="C6">
    <cfRule type="cellIs" dxfId="241" priority="83" stopIfTrue="1" operator="lessThan">
      <formula>$B$2</formula>
    </cfRule>
  </conditionalFormatting>
  <conditionalFormatting sqref="C11 C15">
    <cfRule type="expression" dxfId="240" priority="80">
      <formula>AND($C11-TODAY()&lt;30,TODAY()&lt;$C11)</formula>
    </cfRule>
  </conditionalFormatting>
  <conditionalFormatting sqref="C11 C15">
    <cfRule type="cellIs" dxfId="239" priority="81" stopIfTrue="1" operator="lessThan">
      <formula>$B$2</formula>
    </cfRule>
  </conditionalFormatting>
  <conditionalFormatting sqref="F11">
    <cfRule type="cellIs" dxfId="238" priority="79" stopIfTrue="1" operator="lessThan">
      <formula>$B$2</formula>
    </cfRule>
  </conditionalFormatting>
  <conditionalFormatting sqref="C14">
    <cfRule type="expression" dxfId="237" priority="60">
      <formula>AND($C14-TODAY()&lt;30,TODAY()&lt;$C14)</formula>
    </cfRule>
  </conditionalFormatting>
  <conditionalFormatting sqref="C14">
    <cfRule type="cellIs" dxfId="236" priority="61" stopIfTrue="1" operator="lessThan">
      <formula>$B$2</formula>
    </cfRule>
  </conditionalFormatting>
  <conditionalFormatting sqref="C12">
    <cfRule type="cellIs" dxfId="235" priority="54" stopIfTrue="1" operator="lessThan">
      <formula>$B$2</formula>
    </cfRule>
  </conditionalFormatting>
  <conditionalFormatting sqref="C12">
    <cfRule type="expression" dxfId="234" priority="51">
      <formula>AND($C12-TODAY()&lt;30,TODAY()&lt;$C12)</formula>
    </cfRule>
  </conditionalFormatting>
  <conditionalFormatting sqref="C12">
    <cfRule type="cellIs" dxfId="233" priority="52" stopIfTrue="1" operator="lessThan">
      <formula>$B$2</formula>
    </cfRule>
  </conditionalFormatting>
  <conditionalFormatting sqref="B12">
    <cfRule type="cellIs" dxfId="232" priority="48" stopIfTrue="1" operator="equal">
      <formula>"已过期"</formula>
    </cfRule>
  </conditionalFormatting>
  <conditionalFormatting sqref="E12">
    <cfRule type="cellIs" dxfId="231" priority="38" stopIfTrue="1" operator="equal">
      <formula>"已过期"</formula>
    </cfRule>
  </conditionalFormatting>
  <conditionalFormatting sqref="F12">
    <cfRule type="cellIs" dxfId="230" priority="37" stopIfTrue="1" operator="lessThan">
      <formula>$B$2</formula>
    </cfRule>
  </conditionalFormatting>
  <conditionalFormatting sqref="C9:C10">
    <cfRule type="expression" dxfId="229" priority="33">
      <formula>AND($C9-TODAY()&lt;30,TODAY()&lt;$C9)</formula>
    </cfRule>
  </conditionalFormatting>
  <conditionalFormatting sqref="C9:C10">
    <cfRule type="cellIs" dxfId="228" priority="34" stopIfTrue="1" operator="lessThan">
      <formula>$B$2</formula>
    </cfRule>
  </conditionalFormatting>
  <conditionalFormatting sqref="F21">
    <cfRule type="cellIs" dxfId="227" priority="13" stopIfTrue="1" operator="lessThan">
      <formula>$B$2</formula>
    </cfRule>
  </conditionalFormatting>
  <conditionalFormatting sqref="F21">
    <cfRule type="expression" dxfId="226" priority="14">
      <formula>AND($E21-TODAY()&lt;30,TODAY()&lt;$E21)</formula>
    </cfRule>
  </conditionalFormatting>
  <conditionalFormatting sqref="C7:C8">
    <cfRule type="expression" dxfId="225" priority="5">
      <formula>AND($C7-TODAY()&lt;30,TODAY()&lt;$C7)</formula>
    </cfRule>
  </conditionalFormatting>
  <conditionalFormatting sqref="C7:C8">
    <cfRule type="cellIs" dxfId="224" priority="6" stopIfTrue="1" operator="lessThan">
      <formula>$B$2</formula>
    </cfRule>
  </conditionalFormatting>
  <conditionalFormatting sqref="C7:C8">
    <cfRule type="expression" dxfId="223" priority="3">
      <formula>AND($C7-TODAY()&lt;30,TODAY()&lt;$C7)</formula>
    </cfRule>
  </conditionalFormatting>
  <conditionalFormatting sqref="C7:C8">
    <cfRule type="cellIs" dxfId="222" priority="4" stopIfTrue="1" operator="lessThan">
      <formula>$B$2</formula>
    </cfRule>
  </conditionalFormatting>
  <conditionalFormatting sqref="C4">
    <cfRule type="expression" dxfId="221" priority="1">
      <formula>AND($C4-TODAY()&lt;30,TODAY()&lt;$C4)</formula>
    </cfRule>
  </conditionalFormatting>
  <conditionalFormatting sqref="C4">
    <cfRule type="cellIs" dxfId="22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Y22" sqref="Y22"/>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3123</v>
      </c>
      <c r="C21" s="1467"/>
    </row>
    <row r="22" spans="1:3">
      <c r="A22" s="8" t="s">
        <v>123</v>
      </c>
      <c r="B22" s="3716" t="s">
        <v>3143</v>
      </c>
      <c r="C22" s="1467"/>
    </row>
    <row r="23" spans="1:3">
      <c r="A23" s="8" t="s">
        <v>124</v>
      </c>
      <c r="B23" s="8" t="s">
        <v>1616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4138"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c r="D53" s="1658"/>
      <c r="E53" s="1658"/>
    </row>
    <row r="54" spans="1:5">
      <c r="A54" s="4138"/>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4138"/>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4138"/>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4138"/>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165</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不动产收益法-商业</vt:lpstr>
      <vt:lpstr>基准地价</vt:lpstr>
      <vt:lpstr>修正</vt:lpstr>
      <vt:lpstr>区片价</vt:lpstr>
      <vt:lpstr>容积率修正</vt:lpstr>
      <vt:lpstr>因素修正幅度</vt:lpstr>
      <vt:lpstr>基准地价 （低限）</vt:lpstr>
      <vt:lpstr>级别底线</vt:lpstr>
      <vt:lpstr>比较法-商业</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'比较法-商业'!Print_Area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'不动产收益法-商业'!Print_Area</vt:lpstr>
      <vt:lpstr>成本逼近法!Print_Area</vt:lpstr>
      <vt:lpstr>估价对象房地状况!Print_Area</vt:lpstr>
      <vt:lpstr>估价师及机构信息!Print_Area</vt:lpstr>
      <vt:lpstr>基准地价!Print_Area</vt:lpstr>
      <vt:lpstr>'基准地价 （低限）'!Print_Area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（低限）'!季度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'比较法-商业'!套工交易情况</vt:lpstr>
      <vt:lpstr>套工交易情况</vt:lpstr>
      <vt:lpstr>套工开发程度</vt:lpstr>
      <vt:lpstr>套工临街等级</vt:lpstr>
      <vt:lpstr>套工土地级别</vt:lpstr>
      <vt:lpstr>套工用途</vt:lpstr>
      <vt:lpstr>套工宗地形状</vt:lpstr>
      <vt:lpstr>'比较法-商业'!套综道路等级</vt:lpstr>
      <vt:lpstr>套综道路等级</vt:lpstr>
      <vt:lpstr>'比较法-商业'!套综工程地质条件</vt:lpstr>
      <vt:lpstr>套综工程地质条件</vt:lpstr>
      <vt:lpstr>'比较法-商业'!套综交易情况</vt:lpstr>
      <vt:lpstr>套综交易情况</vt:lpstr>
      <vt:lpstr>'比较法-商业'!套综临街宽度及深度</vt:lpstr>
      <vt:lpstr>套综临街宽度及深度</vt:lpstr>
      <vt:lpstr>'比较法-商业'!套综土地级别</vt:lpstr>
      <vt:lpstr>套综土地级别</vt:lpstr>
      <vt:lpstr>'比较法-商业'!套综用途</vt:lpstr>
      <vt:lpstr>套综用途</vt:lpstr>
      <vt:lpstr>'比较法-商业'!套综宗地内开发程度</vt:lpstr>
      <vt:lpstr>套综宗地内开发程度</vt:lpstr>
      <vt:lpstr>'比较法-商业'!套综宗地形状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2022-01-11T05:29:24Z</dcterms:modified>
</cp:coreProperties>
</file>