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540" windowWidth="12120" windowHeight="729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state="hidden"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23" i="1" l="1"/>
  <c r="O21" i="1"/>
  <c r="O20" i="1"/>
  <c r="L21" i="1"/>
  <c r="L20" i="1"/>
  <c r="N22" i="1"/>
  <c r="Q22" i="1"/>
  <c r="K22" i="1"/>
  <c r="Q21" i="1"/>
  <c r="N21" i="1"/>
  <c r="K21" i="1"/>
  <c r="Q20" i="1"/>
  <c r="N20" i="1"/>
  <c r="K20" i="1"/>
  <c r="M18" i="77" l="1"/>
  <c r="M11" i="77"/>
  <c r="K22" i="77"/>
  <c r="C15" i="74" l="1"/>
  <c r="B15" i="74"/>
  <c r="F45" i="77" l="1"/>
  <c r="E46" i="77"/>
  <c r="I7" i="40" l="1"/>
  <c r="G7" i="40"/>
  <c r="E7" i="40"/>
  <c r="C34" i="40"/>
  <c r="I41" i="40"/>
  <c r="G41" i="40"/>
  <c r="E41" i="40"/>
  <c r="I34" i="40"/>
  <c r="G34" i="40"/>
  <c r="E34" i="40"/>
  <c r="I5" i="40"/>
  <c r="G5" i="40"/>
  <c r="E5" i="40"/>
  <c r="I11" i="40" l="1"/>
  <c r="E11" i="40"/>
  <c r="C11"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G9" i="80"/>
  <c r="E9" i="80"/>
  <c r="C9" i="80"/>
  <c r="C65" i="80" s="1"/>
  <c r="I7" i="80"/>
  <c r="G7" i="80"/>
  <c r="E7" i="80"/>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Q59" i="79"/>
  <c r="F59" i="79"/>
  <c r="Q58" i="79"/>
  <c r="Q51" i="79"/>
  <c r="D46" i="79"/>
  <c r="F31" i="79"/>
  <c r="M19" i="79"/>
  <c r="D24" i="79"/>
  <c r="D23" i="79"/>
  <c r="D22"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N6" i="1" s="1"/>
  <c r="N17" i="77"/>
  <c r="N16" i="77"/>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M26" i="15"/>
  <c r="D2" i="35"/>
  <c r="B11" i="76"/>
  <c r="M23" i="67"/>
  <c r="B13" i="76"/>
  <c r="F42" i="67"/>
  <c r="F38" i="67"/>
  <c r="M9" i="15"/>
  <c r="D2" i="33"/>
  <c r="D5" i="73"/>
  <c r="E7" i="76"/>
  <c r="F26" i="67"/>
  <c r="M8" i="15"/>
  <c r="F9" i="67"/>
  <c r="B9" i="76"/>
  <c r="L48" i="67"/>
  <c r="F6" i="67"/>
  <c r="E10" i="76"/>
  <c r="AO11" i="1"/>
  <c r="D3" i="73"/>
  <c r="M28" i="15"/>
  <c r="M8" i="67"/>
  <c r="D2" i="36"/>
  <c r="F8" i="15"/>
  <c r="E2" i="68"/>
  <c r="E12" i="76"/>
  <c r="D2" i="34"/>
  <c r="F40" i="15"/>
  <c r="E8" i="76"/>
  <c r="D7" i="73"/>
  <c r="M27" i="67"/>
  <c r="F5" i="73"/>
  <c r="E2" i="69"/>
  <c r="F40" i="67"/>
  <c r="F41" i="67"/>
  <c r="E9" i="76"/>
  <c r="D2" i="37"/>
  <c r="F7" i="73"/>
  <c r="F42" i="15"/>
  <c r="F6" i="15"/>
  <c r="F6" i="73"/>
  <c r="D6" i="73"/>
  <c r="C76" i="67"/>
  <c r="L47" i="15"/>
  <c r="AO13" i="1"/>
  <c r="E11" i="76"/>
  <c r="L48" i="15"/>
  <c r="J15" i="67"/>
  <c r="AO9" i="1"/>
  <c r="B12" i="76"/>
  <c r="AO12" i="1"/>
  <c r="M21" i="67"/>
  <c r="F4" i="73"/>
  <c r="AO10" i="1"/>
  <c r="D2" i="21"/>
  <c r="B7" i="76"/>
  <c r="C76" i="15"/>
  <c r="F3" i="73"/>
  <c r="D4" i="73"/>
  <c r="F20" i="31"/>
  <c r="B8" i="76"/>
  <c r="B10" i="76"/>
  <c r="M27" i="15"/>
  <c r="E13" i="76"/>
  <c r="P61" i="78" l="1"/>
  <c r="P61" i="79"/>
  <c r="P61" i="15"/>
  <c r="U36" i="40"/>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M59" i="15"/>
  <c r="L59" i="15" s="1"/>
  <c r="J57" i="67"/>
  <c r="J55" i="67" s="1"/>
  <c r="J58" i="67" s="1"/>
  <c r="Q50" i="67" s="1"/>
  <c r="I54" i="67"/>
  <c r="L56" i="67"/>
  <c r="Q71" i="67"/>
  <c r="B10" i="70"/>
  <c r="B11" i="70"/>
  <c r="F68" i="15"/>
  <c r="F51" i="15"/>
  <c r="J53" i="15"/>
  <c r="L56" i="15"/>
  <c r="J57" i="15"/>
  <c r="J55" i="15" s="1"/>
  <c r="J58" i="15" s="1"/>
  <c r="Q50" i="15" s="1"/>
  <c r="I54" i="15"/>
  <c r="L60" i="15"/>
  <c r="L57" i="15"/>
  <c r="I1" i="73"/>
  <c r="B39" i="1" s="1"/>
  <c r="E20" i="43"/>
  <c r="L47" i="67"/>
  <c r="F37" i="15"/>
  <c r="F16" i="67"/>
  <c r="F38" i="15"/>
  <c r="F37" i="67"/>
  <c r="F16" i="15"/>
  <c r="G1" i="73"/>
  <c r="M6" i="15"/>
  <c r="F35" i="67"/>
  <c r="F26" i="15"/>
  <c r="F43" i="67"/>
  <c r="F8" i="67"/>
  <c r="M24" i="15"/>
  <c r="M22" i="15"/>
  <c r="M9" i="67"/>
  <c r="F36" i="67"/>
  <c r="M28" i="67"/>
  <c r="J15" i="15"/>
  <c r="F9" i="15"/>
  <c r="M29" i="67"/>
  <c r="M26" i="67"/>
  <c r="M22" i="67"/>
  <c r="M6" i="67"/>
  <c r="F7" i="67"/>
  <c r="M23" i="15"/>
  <c r="F13" i="15"/>
  <c r="M24" i="67"/>
  <c r="F13" i="67"/>
  <c r="F36" i="15"/>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L47" i="78"/>
  <c r="F6" i="79"/>
  <c r="F36" i="78"/>
  <c r="C76" i="79"/>
  <c r="F13" i="78"/>
  <c r="F7" i="78"/>
  <c r="F40" i="79"/>
  <c r="F42" i="78"/>
  <c r="M23" i="78"/>
  <c r="M6" i="79"/>
  <c r="F26" i="78"/>
  <c r="F36" i="79"/>
  <c r="M29" i="15"/>
  <c r="M8" i="78"/>
  <c r="M9" i="78"/>
  <c r="J15" i="79"/>
  <c r="F8" i="79"/>
  <c r="F40" i="78"/>
  <c r="F9" i="78"/>
  <c r="M26" i="78"/>
  <c r="F8" i="78"/>
  <c r="M29" i="78"/>
  <c r="M28" i="79"/>
  <c r="M22" i="79"/>
  <c r="F7" i="79"/>
  <c r="F43" i="79"/>
  <c r="M8" i="79"/>
  <c r="M9" i="79"/>
  <c r="F43" i="15"/>
  <c r="L48" i="78"/>
  <c r="F37" i="79"/>
  <c r="M28" i="78"/>
  <c r="F16" i="78"/>
  <c r="F43" i="78"/>
  <c r="L48" i="79"/>
  <c r="F6" i="78"/>
  <c r="F26" i="79"/>
  <c r="M22" i="78"/>
  <c r="M26" i="79"/>
  <c r="F16" i="79"/>
  <c r="M23" i="79"/>
  <c r="F42" i="79"/>
  <c r="C16" i="67"/>
  <c r="F37" i="78"/>
  <c r="M27" i="79"/>
  <c r="M24" i="79"/>
  <c r="F13" i="79"/>
  <c r="F38" i="78"/>
  <c r="C14" i="67"/>
  <c r="M29" i="79"/>
  <c r="AE6" i="1"/>
  <c r="M27" i="78"/>
  <c r="L47" i="79"/>
  <c r="F9" i="79"/>
  <c r="F38" i="79"/>
  <c r="C17" i="67"/>
  <c r="F7" i="15"/>
  <c r="J15" i="78"/>
  <c r="C76" i="78"/>
  <c r="M6" i="78"/>
  <c r="M24" i="78"/>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s="1"/>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17" i="78"/>
  <c r="C16" i="79"/>
  <c r="F41" i="15"/>
  <c r="C16" i="78"/>
  <c r="C17" i="79"/>
  <c r="C17" i="15"/>
  <c r="C16" i="15"/>
  <c r="C48" i="67" l="1"/>
  <c r="C60" i="67" s="1"/>
  <c r="C44" i="68"/>
  <c r="D41" i="68" s="1"/>
  <c r="C44" i="11"/>
  <c r="D41" i="11" s="1"/>
  <c r="J26" i="67"/>
  <c r="J29" i="67" s="1"/>
  <c r="C26" i="69"/>
  <c r="D22" i="69" s="1"/>
  <c r="C26" i="11"/>
  <c r="D22" i="11" s="1"/>
  <c r="J24" i="67"/>
  <c r="C19" i="67"/>
  <c r="C20" i="67" s="1"/>
  <c r="C26" i="67" s="1"/>
  <c r="C24" i="68"/>
  <c r="C24" i="11"/>
  <c r="J65" i="80"/>
  <c r="I67" i="80"/>
  <c r="C49" i="78"/>
  <c r="C48" i="78" s="1"/>
  <c r="C60" i="78" s="1"/>
  <c r="T3" i="43"/>
  <c r="V3" i="43" s="1"/>
  <c r="C33" i="43"/>
  <c r="G33" i="43" s="1"/>
  <c r="I33" i="43" s="1"/>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C32" i="15"/>
  <c r="C33" i="15"/>
  <c r="C38" i="15"/>
  <c r="C66" i="67"/>
  <c r="C32" i="67"/>
  <c r="C38" i="67"/>
  <c r="AE7" i="1"/>
  <c r="C14" i="15"/>
  <c r="AE8" i="1"/>
  <c r="F35" i="79"/>
  <c r="C14" i="79"/>
  <c r="M21" i="79"/>
  <c r="C14" i="78"/>
  <c r="E33" i="43" l="1"/>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 i="74"/>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F35" i="78"/>
  <c r="F41" i="78"/>
  <c r="F41" i="79"/>
  <c r="M21" i="78"/>
  <c r="Q49" i="67" l="1"/>
  <c r="C57" i="67"/>
  <c r="C64" i="67" s="1"/>
  <c r="J14" i="67"/>
  <c r="J22" i="67" s="1"/>
  <c r="C36" i="67"/>
  <c r="J59" i="67"/>
  <c r="J60" i="67" s="1"/>
  <c r="L46" i="67" s="1"/>
  <c r="C13" i="67"/>
  <c r="Q70" i="67" s="1"/>
  <c r="C33" i="67"/>
  <c r="C31" i="67" s="1"/>
  <c r="C27" i="43"/>
  <c r="C26" i="43"/>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F34" i="68"/>
  <c r="R6" i="1"/>
  <c r="R27" i="6"/>
  <c r="C23" i="69"/>
  <c r="J13" i="67"/>
  <c r="J23" i="67" s="1"/>
  <c r="M21" i="15"/>
  <c r="F35" i="15"/>
  <c r="E6" i="76"/>
  <c r="C16" i="12" l="1"/>
  <c r="C21" i="12" s="1"/>
  <c r="C22" i="12" s="1"/>
  <c r="Q48" i="67"/>
  <c r="C37" i="67"/>
  <c r="C30" i="67" s="1"/>
  <c r="C39" i="67" s="1"/>
  <c r="C61" i="67"/>
  <c r="C59" i="67" s="1"/>
  <c r="C75" i="67"/>
  <c r="C80" i="67" s="1"/>
  <c r="C79" i="67" s="1"/>
  <c r="C56" i="67"/>
  <c r="C65" i="67" s="1"/>
  <c r="E2" i="76"/>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B6" i="76"/>
  <c r="L51" i="67"/>
  <c r="C40" i="67" l="1"/>
  <c r="Q56" i="67" s="1"/>
  <c r="Q69" i="67"/>
  <c r="Q68" i="67" s="1"/>
  <c r="C58" i="67"/>
  <c r="C67" i="67" s="1"/>
  <c r="C68" i="67" s="1"/>
  <c r="C71" i="67" s="1"/>
  <c r="B2" i="76"/>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l="1"/>
  <c r="C43" i="67"/>
  <c r="Q47" i="67"/>
  <c r="Q53" i="67" s="1"/>
  <c r="C45" i="67"/>
  <c r="C46" i="67" s="1"/>
  <c r="C83" i="67"/>
  <c r="C82" i="67" s="1"/>
  <c r="D2" i="67"/>
  <c r="B2" i="67" s="1"/>
  <c r="H9" i="80"/>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Q66" i="67"/>
  <c r="Q75" i="67" s="1"/>
  <c r="Q57" i="67"/>
  <c r="Q62" i="67" s="1"/>
  <c r="L51" i="78"/>
  <c r="L51" i="15"/>
  <c r="L51" i="79"/>
  <c r="B3" i="67" l="1"/>
  <c r="W9" i="80"/>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D8" i="12" s="1"/>
  <c r="Q56" i="78"/>
  <c r="Q62" i="78" s="1"/>
  <c r="C43" i="78"/>
  <c r="Q65" i="78"/>
  <c r="Q75" i="78" s="1"/>
  <c r="Q47" i="78"/>
  <c r="Q53" i="78" s="1"/>
  <c r="C83" i="78"/>
  <c r="C82" i="78" s="1"/>
  <c r="C43" i="15"/>
  <c r="Q47" i="15"/>
  <c r="Q53" i="15" s="1"/>
  <c r="C83" i="15"/>
  <c r="C82" i="15" s="1"/>
  <c r="B2" i="15"/>
  <c r="C8" i="12" s="1"/>
  <c r="Q65" i="15"/>
  <c r="Q75" i="15" s="1"/>
  <c r="Q56" i="15"/>
  <c r="Q62" i="15" s="1"/>
  <c r="Q65" i="79"/>
  <c r="Q75" i="79" s="1"/>
  <c r="C43" i="79"/>
  <c r="B2" i="79"/>
  <c r="E8" i="12" s="1"/>
  <c r="Q56" i="79"/>
  <c r="Q62" i="79" s="1"/>
  <c r="C83" i="79"/>
  <c r="C82" i="79" s="1"/>
  <c r="Q47" i="79"/>
  <c r="Q53" i="79" s="1"/>
  <c r="C71" i="79"/>
  <c r="C46" i="79"/>
  <c r="AO7" i="1"/>
  <c r="AO6" i="1"/>
  <c r="AO8" i="1"/>
  <c r="R43" i="40" l="1"/>
  <c r="E42" i="40"/>
  <c r="G46" i="40"/>
  <c r="H46" i="40" s="1"/>
  <c r="G47" i="40"/>
  <c r="H47" i="40" s="1"/>
  <c r="N70" i="39"/>
  <c r="O68" i="39"/>
  <c r="O70" i="39" s="1"/>
  <c r="C56" i="11"/>
  <c r="C57" i="11" s="1"/>
  <c r="B8" i="70"/>
  <c r="B7" i="70"/>
  <c r="B6" i="70"/>
  <c r="B3" i="79"/>
  <c r="E6" i="12" s="1"/>
  <c r="B3" i="78"/>
  <c r="D6" i="12" s="1"/>
  <c r="B3" i="15"/>
  <c r="C6" i="12" s="1"/>
  <c r="J7" i="39" l="1"/>
  <c r="F7" i="39"/>
  <c r="H7" i="39"/>
  <c r="I47" i="40"/>
  <c r="J47" i="40" s="1"/>
  <c r="E47" i="40"/>
  <c r="F47" i="40" s="1"/>
  <c r="E46" i="40"/>
  <c r="F46" i="40" s="1"/>
  <c r="C43" i="40"/>
  <c r="C42" i="40"/>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20" i="9"/>
  <c r="D19" i="9"/>
  <c r="B3" i="40" l="1"/>
  <c r="C6" i="68"/>
  <c r="C7" i="68" s="1"/>
  <c r="C5" i="68" s="1"/>
  <c r="E52" i="39"/>
  <c r="F52" i="39" s="1"/>
  <c r="E51" i="39"/>
  <c r="F51" i="39" s="1"/>
  <c r="C48" i="39"/>
  <c r="C47" i="39"/>
  <c r="I52" i="39"/>
  <c r="J52" i="39" s="1"/>
  <c r="D21" i="9"/>
  <c r="D102" i="9"/>
  <c r="D103" i="9"/>
  <c r="C23" i="68" l="1"/>
  <c r="C20" i="68"/>
  <c r="C25"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8" i="68" l="1"/>
  <c r="C27" i="68" s="1"/>
  <c r="C22" i="68"/>
  <c r="C31" i="68" l="1"/>
  <c r="C52" i="68" s="1"/>
  <c r="C57" i="68" s="1"/>
  <c r="C56" i="68" s="1"/>
  <c r="B2" i="68" l="1"/>
  <c r="C19" i="9"/>
  <c r="C21" i="9" l="1"/>
  <c r="C102" i="9"/>
  <c r="D22" i="9"/>
  <c r="G19" i="9"/>
  <c r="G21" i="9" s="1"/>
  <c r="B3" i="68"/>
  <c r="C20" i="9"/>
  <c r="C32" i="9" l="1"/>
  <c r="H118" i="9" s="1"/>
  <c r="H119" i="9" s="1"/>
  <c r="H5" i="52" s="1"/>
  <c r="C103" i="9"/>
  <c r="G20" i="9"/>
  <c r="D34" i="9"/>
  <c r="D35" i="9"/>
  <c r="D14" i="74" l="1"/>
  <c r="F14" i="74" s="1"/>
  <c r="C35" i="9"/>
  <c r="C34" i="9" s="1"/>
  <c r="D118" i="9" s="1"/>
  <c r="I118" i="9"/>
  <c r="C105" i="9" s="1"/>
  <c r="H101" i="9"/>
  <c r="H107" i="9" s="1"/>
  <c r="C104" i="9"/>
  <c r="H4" i="52"/>
  <c r="M48" i="9" l="1"/>
  <c r="I4" i="52"/>
  <c r="E14" i="74"/>
  <c r="D5" i="53"/>
  <c r="D6" i="53" s="1"/>
  <c r="B22" i="72" s="1"/>
  <c r="F118" i="9"/>
  <c r="D4" i="52"/>
  <c r="B47" i="72" s="1"/>
  <c r="D119" i="9"/>
  <c r="D5" i="52" s="1"/>
  <c r="B49" i="72" s="1"/>
  <c r="H102" i="9"/>
  <c r="D7" i="53" s="1"/>
  <c r="B21" i="72" s="1"/>
  <c r="D45" i="9"/>
  <c r="C93" i="9" s="1"/>
  <c r="C86" i="9" s="1"/>
  <c r="B20" i="72"/>
  <c r="M49" i="9"/>
  <c r="D122" i="9"/>
  <c r="D13" i="53"/>
  <c r="H108" i="9"/>
  <c r="D15" i="53" s="1"/>
  <c r="B31" i="72" s="1"/>
  <c r="C64" i="9" l="1"/>
  <c r="C63" i="9" s="1"/>
  <c r="C67" i="9" s="1"/>
  <c r="C68" i="9" s="1"/>
  <c r="D54" i="9" s="1"/>
  <c r="C85" i="9"/>
  <c r="C95" i="9" s="1"/>
  <c r="F119" i="9"/>
  <c r="F5" i="52" s="1"/>
  <c r="B53" i="72" s="1"/>
  <c r="F4" i="52"/>
  <c r="B51" i="72" s="1"/>
  <c r="G118" i="9"/>
  <c r="C78" i="9"/>
  <c r="C73" i="9" s="1"/>
  <c r="D52" i="9"/>
  <c r="C72" i="9"/>
  <c r="C79" i="9" s="1"/>
  <c r="C80" i="9" s="1"/>
  <c r="E80" i="9" s="1"/>
  <c r="E81" i="9" s="1"/>
  <c r="D53" i="9"/>
  <c r="D55" i="9"/>
  <c r="M53" i="9" s="1"/>
  <c r="B30" i="72"/>
  <c r="D14" i="53"/>
  <c r="B32" i="72" s="1"/>
  <c r="L67" i="9"/>
  <c r="M67" i="9" s="1"/>
  <c r="L66" i="9"/>
  <c r="M66" i="9" s="1"/>
  <c r="L65" i="9"/>
  <c r="M65" i="9" s="1"/>
  <c r="L68" i="9"/>
  <c r="M68" i="9" s="1"/>
  <c r="L63" i="9"/>
  <c r="M63" i="9" s="1"/>
  <c r="L64" i="9"/>
  <c r="M64" i="9" s="1"/>
  <c r="D8" i="52"/>
  <c r="G14" i="74"/>
  <c r="D123" i="9"/>
  <c r="D9" i="52" s="1"/>
  <c r="G4" i="52" l="1"/>
  <c r="B52" i="72" s="1"/>
  <c r="E118" i="9"/>
  <c r="E4" i="52" s="1"/>
  <c r="B48" i="72" s="1"/>
  <c r="C81" i="9"/>
  <c r="M69" i="9"/>
  <c r="N69" i="9" s="1"/>
  <c r="C96" i="9"/>
  <c r="E96" i="9" s="1"/>
  <c r="E97" i="9" s="1"/>
  <c r="C97" i="9" l="1"/>
  <c r="D58" i="9" s="1"/>
  <c r="D56" i="9" s="1"/>
  <c r="M54" i="9" s="1"/>
  <c r="N57" i="9" s="1"/>
  <c r="N58" i="9" s="1"/>
  <c r="P57" i="9" l="1"/>
  <c r="N59" i="9"/>
  <c r="N61" i="9" s="1"/>
  <c r="N60" i="9" l="1"/>
  <c r="B2" i="74"/>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5" i="80"/>
  <c r="B3" i="80"/>
  <c r="D15" i="74" l="1"/>
  <c r="E15" i="74" l="1"/>
  <c r="F15" i="74"/>
  <c r="B5" i="74"/>
  <c r="G15" i="74" l="1"/>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<sst xmlns="http://schemas.openxmlformats.org/spreadsheetml/2006/main" count="8571" uniqueCount="3308">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</sst>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6" borderId="0" xfId="0" applyNumberFormat="1" applyFont="1" applyFill="1" applyAlignment="1" applyProtection="1">
      <alignment horizontal="center" vertical="center"/>
      <protection locked="0"/>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8-1-0408-P02DYGJ2&#21271;&#20140;&#24066;&#25151;&#23665;&#21306;&#29705;&#29827;&#27827;&#38215;&#20013;&#24515;&#21306;E-07&#22320;&#22359;2&#26399;&#12289;3&#26399;&#24037;&#19994;&#29992;&#25151;&#20998;&#25674;&#20986;&#35753;&#22269;&#26377;&#24314;&#35774;&#29992;&#22320;&#20351;&#29992;&#264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cell r="G7" t="str">
            <v>北京高端制造业基地03街区R区二期工业用地项目</v>
          </cell>
          <cell r="I7" t="str">
            <v>北京高端制造业基地03街区R区一期工业用地项目</v>
          </cell>
        </row>
        <row r="9">
          <cell r="E9" t="str">
            <v>2016-11-24</v>
          </cell>
          <cell r="G9" t="str">
            <v>2016-02-01</v>
          </cell>
          <cell r="I9" t="str">
            <v>2016-01-28</v>
          </cell>
        </row>
        <row r="36">
          <cell r="C36">
            <v>117876.49</v>
          </cell>
          <cell r="E36">
            <v>32779.72</v>
          </cell>
          <cell r="G36">
            <v>32326.54</v>
          </cell>
          <cell r="I36">
            <v>31995.71</v>
          </cell>
        </row>
        <row r="43">
          <cell r="E43">
            <v>1133</v>
          </cell>
          <cell r="G43">
            <v>1081</v>
          </cell>
          <cell r="I43">
            <v>1081</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179699.02</v>
          </cell>
          <cell r="C14">
            <v>76265.56</v>
          </cell>
          <cell r="D14">
            <v>16508</v>
          </cell>
          <cell r="G14">
            <v>15973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20295</v>
      </c>
    </row>
    <row r="21" spans="1:2" s="1593" customFormat="1">
      <c r="A21" s="1591" t="s">
        <v>1235</v>
      </c>
      <c r="B21" s="1592">
        <f ca="1">'预评函-2'!D7</f>
        <v>2798</v>
      </c>
    </row>
    <row r="22" spans="1:2" s="1593" customFormat="1">
      <c r="A22" s="1591" t="s">
        <v>1236</v>
      </c>
      <c r="B22" s="1592" t="str">
        <f ca="1">'预评函-2'!D6</f>
        <v>贰亿零贰佰玖拾伍万元整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20048</v>
      </c>
    </row>
    <row r="31" spans="1:2" s="1593" customFormat="1">
      <c r="A31" s="1591" t="s">
        <v>1274</v>
      </c>
      <c r="B31" s="1592">
        <f ca="1">'预评函-2'!D15</f>
        <v>2764</v>
      </c>
    </row>
    <row r="32" spans="1:2" s="1593" customFormat="1">
      <c r="A32" s="1591" t="s">
        <v>1241</v>
      </c>
      <c r="B32" s="1592" t="str">
        <f ca="1">'预评函-2'!D14</f>
        <v>贰亿零肆拾捌万元整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6819</v>
      </c>
    </row>
    <row r="48" spans="1:2" s="1593" customFormat="1">
      <c r="A48" s="1591" t="s">
        <v>1247</v>
      </c>
      <c r="B48" s="1592">
        <f ca="1">'预评函-3'!E4</f>
        <v>940</v>
      </c>
    </row>
    <row r="49" spans="1:2" s="1593" customFormat="1">
      <c r="A49" s="1591" t="s">
        <v>1248</v>
      </c>
      <c r="B49" s="1592" t="str">
        <f ca="1">'预评函-3'!D5</f>
        <v>陆仟捌佰壹拾玖万元整</v>
      </c>
    </row>
    <row r="50" spans="1:2" s="1593" customFormat="1">
      <c r="A50" s="1591" t="s">
        <v>1272</v>
      </c>
      <c r="B50" s="1592" t="str">
        <f>'预评函-3'!F2</f>
        <v>在建建筑物价值</v>
      </c>
    </row>
    <row r="51" spans="1:2" s="1593" customFormat="1">
      <c r="A51" s="1591" t="s">
        <v>1249</v>
      </c>
      <c r="B51" s="1592">
        <f ca="1">'预评函-3'!F4</f>
        <v>13476</v>
      </c>
    </row>
    <row r="52" spans="1:2" s="1593" customFormat="1">
      <c r="A52" s="1591" t="s">
        <v>1250</v>
      </c>
      <c r="B52" s="1592">
        <f ca="1">'预评函-3'!G4</f>
        <v>1858</v>
      </c>
    </row>
    <row r="53" spans="1:2" s="1593" customFormat="1">
      <c r="A53" s="1591" t="s">
        <v>1278</v>
      </c>
      <c r="B53" s="1592" t="str">
        <f ca="1">'预评函-3'!F5</f>
        <v>壹亿叁仟肆佰柒拾陆万元整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8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2" t="s">
        <v>864</v>
      </c>
      <c r="C54" s="2019" t="s">
        <v>1281</v>
      </c>
    </row>
    <row r="55" spans="1:4">
      <c r="A55" s="3389"/>
      <c r="B55" s="2022" t="s">
        <v>865</v>
      </c>
      <c r="C55" s="2019" t="s">
        <v>1282</v>
      </c>
    </row>
    <row r="56" spans="1:4">
      <c r="A56" s="3389"/>
      <c r="B56" s="2022" t="s">
        <v>866</v>
      </c>
      <c r="C56" s="2019" t="s">
        <v>1286</v>
      </c>
    </row>
    <row r="57" spans="1:4">
      <c r="A57" s="338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9" zoomScale="90" zoomScaleNormal="100" zoomScaleSheetLayoutView="90" workbookViewId="0">
      <selection activeCell="H37" sqref="H3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1"/>
      <c r="D1" s="3391"/>
      <c r="E1" s="3391"/>
      <c r="F1" s="3391"/>
      <c r="G1" s="3391"/>
      <c r="H1" s="3391"/>
      <c r="I1" s="339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393"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394"/>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0" t="s">
        <v>3155</v>
      </c>
      <c r="C16" s="3401"/>
      <c r="D16" s="3402"/>
      <c r="E16" s="2082" t="s">
        <v>1802</v>
      </c>
      <c r="F16" s="3403" t="s">
        <v>3156</v>
      </c>
      <c r="G16" s="3404"/>
      <c r="H16" s="3404"/>
      <c r="I16" s="3405"/>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06" t="s">
        <v>3162</v>
      </c>
      <c r="F17" s="3407"/>
      <c r="G17" s="3407"/>
      <c r="H17" s="3407"/>
      <c r="I17" s="3408"/>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09" t="s">
        <v>3157</v>
      </c>
      <c r="F18" s="3410"/>
      <c r="G18" s="3410"/>
      <c r="H18" s="3410"/>
      <c r="I18" s="3411"/>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396" t="s">
        <v>1812</v>
      </c>
      <c r="C20" s="3397"/>
      <c r="D20" s="3398" t="s">
        <v>1813</v>
      </c>
      <c r="E20" s="3399"/>
      <c r="F20" s="2094" t="s">
        <v>1814</v>
      </c>
      <c r="G20" s="2042"/>
      <c r="H20" s="2042"/>
      <c r="I20" s="2042"/>
      <c r="J20" s="2042"/>
      <c r="K20" s="3395"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3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3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413"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413"/>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413"/>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414"/>
      <c r="B30" s="2035" t="s">
        <v>1829</v>
      </c>
      <c r="C30" s="3415"/>
      <c r="D30" s="341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417"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418"/>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418"/>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412" t="s">
        <v>1839</v>
      </c>
      <c r="T34" s="2131" t="str">
        <f>NUMBERSTRING(7-K34,1)&amp;"通"</f>
        <v>七通</v>
      </c>
      <c r="U34" s="2029"/>
      <c r="V34" s="2029"/>
    </row>
    <row r="35" spans="1:22" ht="18" customHeight="1">
      <c r="A35" s="2132"/>
      <c r="B35" s="3419" t="s">
        <v>1840</v>
      </c>
      <c r="C35" s="3419"/>
      <c r="D35" s="3419"/>
      <c r="E35" s="3419"/>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12"/>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I7" workbookViewId="0">
      <selection activeCell="M22" sqref="M22"/>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 min="13" max="13" width="10.37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2" t="s">
        <v>3059</v>
      </c>
      <c r="C9" s="3424" t="s">
        <v>3163</v>
      </c>
      <c r="D9" s="3425"/>
      <c r="E9" s="3425"/>
      <c r="F9" s="3426"/>
      <c r="G9" s="3422" t="s">
        <v>3164</v>
      </c>
      <c r="H9" s="2951"/>
      <c r="I9" s="2951"/>
      <c r="K9" s="2950" t="s">
        <v>3068</v>
      </c>
      <c r="L9">
        <f>B11+B29+B31</f>
        <v>12747.539999999999</v>
      </c>
      <c r="M9" s="2954">
        <v>0.7</v>
      </c>
      <c r="N9">
        <f>ROUND(L9/(L9+L10),2)</f>
        <v>0.34</v>
      </c>
      <c r="O9" s="2950" t="s">
        <v>3169</v>
      </c>
    </row>
    <row r="10" spans="1:15">
      <c r="A10" s="2951"/>
      <c r="B10" s="3422"/>
      <c r="C10" s="2952" t="s">
        <v>3061</v>
      </c>
      <c r="D10" s="2952"/>
      <c r="E10" s="2952" t="s">
        <v>3063</v>
      </c>
      <c r="F10" s="2951"/>
      <c r="G10" s="3423"/>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ROUND(M9*N9+M10*N10,2)</f>
        <v>0.44</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ROUND(M16*N16+M17*N17,2)</f>
        <v>0.74</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c r="K22">
        <f>(2500*37556.7*0.436+2500*8295.28*0.8+2000*12648.5*0.8+2000*14033.95*0.739)/10000</f>
        <v>9850.714109999999</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c r="E45">
        <v>132803</v>
      </c>
      <c r="F45">
        <f>(E45+E46)/C46</f>
        <v>1.4921663121768078</v>
      </c>
    </row>
    <row r="46" spans="1:9">
      <c r="A46" s="2950" t="s">
        <v>3096</v>
      </c>
      <c r="B46" s="2967">
        <v>251817.2</v>
      </c>
      <c r="C46">
        <v>119876.49</v>
      </c>
      <c r="E46">
        <f>C41</f>
        <v>46072.66</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31" sqref="I3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6" t="s">
        <v>1936</v>
      </c>
      <c r="B2" s="3436"/>
      <c r="C2" s="3436"/>
      <c r="D2" s="967" t="s">
        <v>1912</v>
      </c>
      <c r="E2" s="2224" t="s">
        <v>1913</v>
      </c>
      <c r="F2" s="1392"/>
      <c r="G2" s="2225"/>
      <c r="H2" s="2226"/>
      <c r="I2" s="2227" t="s">
        <v>1937</v>
      </c>
      <c r="J2" s="1392"/>
      <c r="K2" s="1392"/>
      <c r="L2" s="1392"/>
      <c r="M2" s="1392"/>
      <c r="N2" s="1427"/>
      <c r="O2" s="1392"/>
      <c r="P2" s="1392"/>
    </row>
    <row r="3" spans="1:16" ht="15.75" thickBot="1">
      <c r="A3" s="3437" t="s">
        <v>1910</v>
      </c>
      <c r="B3" s="3437"/>
      <c r="C3" s="3437"/>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8"/>
      <c r="B4" s="3439"/>
      <c r="C4" s="3440"/>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1" t="s">
        <v>1915</v>
      </c>
      <c r="C5" s="3441"/>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1" t="s">
        <v>1916</v>
      </c>
      <c r="C6" s="3441"/>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3"/>
      <c r="B7" s="3434"/>
      <c r="C7" s="3435"/>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0" t="s">
        <v>1940</v>
      </c>
      <c r="L16" s="3431"/>
      <c r="M16" s="3431"/>
      <c r="N16" s="3431"/>
      <c r="O16" s="3431"/>
      <c r="P16" s="3432"/>
    </row>
    <row r="17" spans="1:19" ht="15">
      <c r="A17" s="2239" t="s">
        <v>1941</v>
      </c>
      <c r="B17" s="2240" t="s">
        <v>1942</v>
      </c>
      <c r="C17" s="2241" t="s">
        <v>1943</v>
      </c>
      <c r="D17" s="2242" t="s">
        <v>1931</v>
      </c>
      <c r="E17" s="2243" t="s">
        <v>1932</v>
      </c>
      <c r="F17" s="2244"/>
      <c r="G17" s="2245"/>
      <c r="H17" s="2246" t="s">
        <v>1944</v>
      </c>
      <c r="I17" s="2247" t="s">
        <v>1929</v>
      </c>
      <c r="J17" s="1392"/>
      <c r="K17" s="3427" t="s">
        <v>1945</v>
      </c>
      <c r="L17" s="3428"/>
      <c r="M17" s="3429"/>
      <c r="N17" s="3427" t="s">
        <v>1946</v>
      </c>
      <c r="O17" s="3428"/>
      <c r="P17" s="3429"/>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0.44</v>
      </c>
      <c r="O6" s="74">
        <f>IF($N$5="成新度","——",ROUND(M6*N6,0))</f>
        <v>4131</v>
      </c>
      <c r="P6" s="75">
        <f>IF($N$5="成新度","——",M6-O6)</f>
        <v>5258</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0.01</v>
      </c>
      <c r="W6" s="78">
        <v>0.1</v>
      </c>
      <c r="X6" s="1261"/>
      <c r="Y6" s="79">
        <v>1</v>
      </c>
      <c r="Z6" s="80"/>
      <c r="AA6" s="73"/>
      <c r="AB6" s="73"/>
      <c r="AC6" s="1261"/>
      <c r="AD6" s="81"/>
      <c r="AE6" s="1262">
        <f ca="1">IF(AN6="",0,SUMIF(INDIRECT("'"&amp;AN6&amp;"'"&amp;"!E:E"),$AE$5,INDIRECT("'"&amp;AN6&amp;"'"&amp;"!F:F")))</f>
        <v>45.18</v>
      </c>
      <c r="AF6" s="1804"/>
      <c r="AG6" s="145">
        <f>IF(AF6="",0,AE6-AF6)</f>
        <v>0</v>
      </c>
      <c r="AH6" s="82"/>
      <c r="AI6" s="84">
        <v>365</v>
      </c>
      <c r="AJ6" s="85"/>
      <c r="AK6" s="86">
        <v>1.4999999999999999E-2</v>
      </c>
      <c r="AL6" s="87">
        <v>1.5E-3</v>
      </c>
      <c r="AM6" s="88">
        <v>0.01</v>
      </c>
      <c r="AN6" s="2305" t="s">
        <v>3134</v>
      </c>
      <c r="AO6" s="54">
        <f ca="1">SUMIF(INDIRECT("'"&amp;AN6&amp;"'"&amp;"!A:A"),"总价",INDIRECT("'"&amp;AN6&amp;"'"&amp;"!B:B"))</f>
        <v>25556</v>
      </c>
      <c r="AP6" s="2306">
        <f>IF(C6="住宅",K6*L6,0)</f>
        <v>0</v>
      </c>
      <c r="AQ6" s="54">
        <f>ROUND($L$14*$N$14*S6/10000,0)</f>
        <v>1333</v>
      </c>
      <c r="AR6" s="54">
        <f>ROUND($L$14*(1-$N$14)*S6/10000,0)</f>
        <v>469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5.0000000000000001E-3</v>
      </c>
      <c r="W7" s="78">
        <v>0.1</v>
      </c>
      <c r="X7" s="1261"/>
      <c r="Y7" s="79">
        <v>1</v>
      </c>
      <c r="Z7" s="80"/>
      <c r="AA7" s="73"/>
      <c r="AB7" s="73"/>
      <c r="AC7" s="1261"/>
      <c r="AD7" s="81"/>
      <c r="AE7" s="1262">
        <f t="shared" ref="AE7:AE13" ca="1" si="7">IF(AN7="",0,SUMIF(INDIRECT("'"&amp;AN7&amp;"'"&amp;"!E:E"),$AE$5,INDIRECT("'"&amp;AN7&amp;"'"&amp;"!F:F")))</f>
        <v>45.18</v>
      </c>
      <c r="AF7" s="1804"/>
      <c r="AG7" s="145">
        <f t="shared" ref="AG7:AG13" si="8">IF(AF7="",0,AE7-AF7)</f>
        <v>0</v>
      </c>
      <c r="AH7" s="82"/>
      <c r="AI7" s="84">
        <v>365</v>
      </c>
      <c r="AJ7" s="85"/>
      <c r="AK7" s="86">
        <v>1.4999999999999999E-2</v>
      </c>
      <c r="AL7" s="87">
        <v>1.5E-3</v>
      </c>
      <c r="AM7" s="88">
        <v>0.01</v>
      </c>
      <c r="AN7" s="2305" t="s">
        <v>3142</v>
      </c>
      <c r="AO7" s="54">
        <f t="shared" ref="AO7:AO13" ca="1" si="9">SUMIF(INDIRECT("'"&amp;AN7&amp;"'"&amp;"!A:A"),"总价",INDIRECT("'"&amp;AN7&amp;"'"&amp;"!B:B"))</f>
        <v>2662</v>
      </c>
      <c r="AP7" s="2306">
        <f t="shared" ref="AP7:AP13" si="10">IF(C7="住宅",K7*L7,0)</f>
        <v>0</v>
      </c>
      <c r="AQ7" s="54">
        <f t="shared" ref="AQ7:AQ13" si="11">ROUND($L$14*$N$14*S7/10000,0)</f>
        <v>295</v>
      </c>
      <c r="AR7" s="54">
        <f t="shared" ref="AR7:AR13" si="12">ROUND($L$14*(1-$N$14)*S7/10000,0)</f>
        <v>103</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0.9</v>
      </c>
      <c r="V8" s="803">
        <v>5.0000000000000001E-3</v>
      </c>
      <c r="W8" s="803">
        <v>0.1</v>
      </c>
      <c r="X8" s="1261"/>
      <c r="Y8" s="804">
        <v>1</v>
      </c>
      <c r="Z8" s="80"/>
      <c r="AA8" s="73"/>
      <c r="AB8" s="73"/>
      <c r="AC8" s="1261"/>
      <c r="AD8" s="81"/>
      <c r="AE8" s="1262">
        <f t="shared" ca="1" si="7"/>
        <v>45.18</v>
      </c>
      <c r="AF8" s="1804"/>
      <c r="AG8" s="145">
        <f t="shared" si="8"/>
        <v>0</v>
      </c>
      <c r="AH8" s="805"/>
      <c r="AI8" s="84">
        <v>365</v>
      </c>
      <c r="AJ8" s="85"/>
      <c r="AK8" s="806">
        <v>1.4999999999999999E-2</v>
      </c>
      <c r="AL8" s="807">
        <v>1.5E-3</v>
      </c>
      <c r="AM8" s="808">
        <v>0.01</v>
      </c>
      <c r="AN8" s="2305" t="s">
        <v>3140</v>
      </c>
      <c r="AO8" s="54">
        <f t="shared" ca="1" si="9"/>
        <v>4826</v>
      </c>
      <c r="AP8" s="2306">
        <f t="shared" si="10"/>
        <v>0</v>
      </c>
      <c r="AQ8" s="54">
        <f t="shared" si="11"/>
        <v>449</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0.74</v>
      </c>
      <c r="O14" s="74">
        <f t="shared" si="4"/>
        <v>2077</v>
      </c>
      <c r="P14" s="75">
        <f t="shared" si="5"/>
        <v>730</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0.58899999999999997</v>
      </c>
      <c r="O16" s="100">
        <f>SUM(O6:O14)</f>
        <v>9891</v>
      </c>
      <c r="P16" s="100">
        <f>SUM(P6:P14)</f>
        <v>6909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3721">
        <f>K6</f>
        <v>37556.699999999997</v>
      </c>
      <c r="L20" s="166">
        <f>ROUND(K20/K22,2)</f>
        <v>0.81</v>
      </c>
      <c r="M20" s="1581"/>
      <c r="N20" s="2269">
        <f>K7</f>
        <v>8295.2800000000007</v>
      </c>
      <c r="O20" s="166">
        <f>ROUND(N20/N22,2)</f>
        <v>0.81</v>
      </c>
      <c r="P20" s="1581"/>
      <c r="Q20" s="2269">
        <f>K8</f>
        <v>12648.5</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f>'数据-汇总表'!I19</f>
        <v>9009.66</v>
      </c>
      <c r="L21" s="166">
        <f>ROUND(K21/K22,2)</f>
        <v>0.19</v>
      </c>
      <c r="M21" s="1581"/>
      <c r="N21" s="1581">
        <f>'数据-汇总表'!I20</f>
        <v>1989.99</v>
      </c>
      <c r="O21" s="166">
        <f>ROUND(N21/N22,2)</f>
        <v>0.19</v>
      </c>
      <c r="P21" s="1581"/>
      <c r="Q21" s="1581">
        <f>'数据-汇总表'!I21</f>
        <v>3034.31</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3721">
        <f>K20+K21</f>
        <v>46566.36</v>
      </c>
      <c r="L22" s="3721"/>
      <c r="M22" s="3721"/>
      <c r="N22" s="3721">
        <f t="shared" ref="L22:Q22" si="13">N20+N21</f>
        <v>10285.27</v>
      </c>
      <c r="O22" s="3721"/>
      <c r="P22" s="3721"/>
      <c r="Q22" s="3721">
        <f t="shared" si="13"/>
        <v>15682.81</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f>L20*L6+L21*L14</f>
        <v>2405</v>
      </c>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3721"/>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2" t="s">
        <v>2082</v>
      </c>
      <c r="B1" s="3443"/>
      <c r="C1" s="3443"/>
      <c r="D1" s="3443"/>
      <c r="E1" s="3443"/>
      <c r="F1" s="3443"/>
      <c r="G1" s="344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D9" sqref="D9"/>
    </sheetView>
  </sheetViews>
  <sheetFormatPr defaultRowHeight="13.5"/>
  <cols>
    <col min="1" max="1" width="23.375" style="1738" customWidth="1"/>
    <col min="2" max="9" width="15.75" style="1738" customWidth="1"/>
    <col min="10" max="16384" width="9" style="1738"/>
  </cols>
  <sheetData>
    <row r="1" spans="1:10" ht="16.5">
      <c r="A1" s="1743" t="s">
        <v>1365</v>
      </c>
      <c r="B1" s="1743">
        <f>SUM(B14:B23)</f>
        <v>252233.46</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36803</v>
      </c>
      <c r="C5" s="1743">
        <f ca="1">ROUND(B5*10000/$B$1,0)</f>
        <v>1459</v>
      </c>
      <c r="D5" s="1743">
        <f ca="1">ROUND(B5*10000/$B$2,0)</f>
        <v>3070</v>
      </c>
      <c r="E5" s="1742"/>
      <c r="F5" s="1740"/>
      <c r="G5" s="1740"/>
    </row>
    <row r="6" spans="1:10" ht="16.5">
      <c r="A6" s="1743" t="s">
        <v>1356</v>
      </c>
      <c r="B6" s="1743">
        <f ca="1">SUM(G14:G23)</f>
        <v>36021</v>
      </c>
      <c r="C6" s="1743">
        <f ca="1">ROUND(B6*10000/$B$1,0)</f>
        <v>1428</v>
      </c>
      <c r="D6" s="1743">
        <f ca="1">ROUND(B6*10000/$B$2,0)</f>
        <v>3005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20295</v>
      </c>
      <c r="E14" s="1741">
        <f ca="1">ROUND(D14*10000/B14,0)</f>
        <v>2798</v>
      </c>
      <c r="F14" s="1741">
        <f ca="1">ROUND(D14*10000/C14,0)</f>
        <v>4654</v>
      </c>
      <c r="G14" s="1741">
        <f ca="1">结果表!D122</f>
        <v>20048</v>
      </c>
      <c r="H14" s="1741" t="str">
        <f>结果表!D124</f>
        <v>——</v>
      </c>
      <c r="I14" s="1741" t="str">
        <f>结果表!D126</f>
        <v>——</v>
      </c>
      <c r="J14" s="1740"/>
    </row>
    <row r="15" spans="1:10" ht="16.5">
      <c r="A15" s="1739" t="s">
        <v>1349</v>
      </c>
      <c r="B15" s="1746">
        <f>[2]系统读取表!$B$14</f>
        <v>179699.02</v>
      </c>
      <c r="C15" s="1746">
        <f>[2]系统读取表!$C$14</f>
        <v>76265.56</v>
      </c>
      <c r="D15" s="1746">
        <f ca="1">[2]系统读取表!$D$14</f>
        <v>16508</v>
      </c>
      <c r="E15" s="1741">
        <f t="shared" ref="E15:E23" ca="1" si="0">ROUND(D15*10000/B15,0)</f>
        <v>919</v>
      </c>
      <c r="F15" s="1741">
        <f t="shared" ref="F15:F23" ca="1" si="1">ROUND(D15*10000/C15,0)</f>
        <v>2165</v>
      </c>
      <c r="G15" s="1747">
        <f ca="1">[2]系统读取表!$G$14</f>
        <v>15973</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A124" sqref="A124:C124"/>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516" t="str">
        <f>项目基本情况!S2</f>
        <v>北京市房山区琉璃河镇中心区E-07地块1#综合厂房等3项、2#厂房等18项（中粮科技园标准厂房及配套附属设施建设项目）出让国有建设用地使用权及在建建筑物房地产</v>
      </c>
      <c r="B2" s="3517"/>
      <c r="C2" s="3517"/>
      <c r="D2" s="3517"/>
      <c r="E2" s="3517"/>
      <c r="F2" s="3517"/>
      <c r="G2" s="3517"/>
      <c r="H2" s="3517"/>
      <c r="I2" s="3518"/>
    </row>
    <row r="3" spans="1:12" ht="12.75">
      <c r="A3" s="3519" t="s">
        <v>2122</v>
      </c>
      <c r="B3" s="3520"/>
      <c r="C3" s="3520"/>
      <c r="D3" s="3520"/>
      <c r="E3" s="3520"/>
      <c r="F3" s="3520"/>
      <c r="G3" s="3520"/>
      <c r="H3" s="3520"/>
      <c r="I3" s="3520"/>
    </row>
    <row r="4" spans="1:12" ht="14.25">
      <c r="A4" s="2422" t="s">
        <v>2123</v>
      </c>
      <c r="B4" s="2423" t="s">
        <v>2124</v>
      </c>
      <c r="C4" s="2424" t="s">
        <v>3144</v>
      </c>
      <c r="D4" s="2424" t="s">
        <v>3145</v>
      </c>
      <c r="E4" s="3500" t="s">
        <v>2125</v>
      </c>
      <c r="F4" s="3513"/>
      <c r="G4" s="3513"/>
      <c r="H4" s="3513"/>
      <c r="I4" s="350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91" t="s">
        <v>2126</v>
      </c>
      <c r="B5" s="3412">
        <v>25</v>
      </c>
      <c r="C5" s="3521"/>
      <c r="D5" s="3509"/>
      <c r="E5" s="138" t="s">
        <v>2127</v>
      </c>
      <c r="F5" s="2426"/>
      <c r="G5" s="2426"/>
      <c r="H5" s="2426"/>
      <c r="I5" s="1831"/>
    </row>
    <row r="6" spans="1:12" ht="12.75">
      <c r="A6" s="3491"/>
      <c r="B6" s="3412"/>
      <c r="C6" s="3523"/>
      <c r="D6" s="3509"/>
      <c r="E6" s="138" t="s">
        <v>2128</v>
      </c>
      <c r="F6" s="2426"/>
      <c r="G6" s="2426"/>
      <c r="H6" s="2426"/>
      <c r="I6" s="1831"/>
    </row>
    <row r="7" spans="1:12" ht="12.75">
      <c r="A7" s="3491"/>
      <c r="B7" s="3412"/>
      <c r="C7" s="3522"/>
      <c r="D7" s="3509"/>
      <c r="E7" s="138" t="s">
        <v>2129</v>
      </c>
      <c r="F7" s="2426"/>
      <c r="G7" s="2426"/>
      <c r="H7" s="2426"/>
      <c r="I7" s="1831"/>
    </row>
    <row r="8" spans="1:12" ht="12.75">
      <c r="A8" s="3491" t="s">
        <v>2130</v>
      </c>
      <c r="B8" s="3412">
        <v>15</v>
      </c>
      <c r="C8" s="3521"/>
      <c r="D8" s="3509"/>
      <c r="E8" s="138" t="s">
        <v>2131</v>
      </c>
      <c r="F8" s="2426"/>
      <c r="G8" s="2426"/>
      <c r="H8" s="2426"/>
      <c r="I8" s="1831"/>
    </row>
    <row r="9" spans="1:12" ht="12.75">
      <c r="A9" s="3491"/>
      <c r="B9" s="3412"/>
      <c r="C9" s="3522"/>
      <c r="D9" s="3509"/>
      <c r="E9" s="138" t="s">
        <v>2132</v>
      </c>
      <c r="F9" s="2426"/>
      <c r="G9" s="2426"/>
      <c r="H9" s="2426"/>
      <c r="I9" s="1831"/>
    </row>
    <row r="10" spans="1:12" ht="12.75">
      <c r="A10" s="3491" t="s">
        <v>2133</v>
      </c>
      <c r="B10" s="3412">
        <v>15</v>
      </c>
      <c r="C10" s="3521"/>
      <c r="D10" s="3509"/>
      <c r="E10" s="138" t="s">
        <v>2134</v>
      </c>
      <c r="F10" s="2426"/>
      <c r="G10" s="2426"/>
      <c r="H10" s="2426"/>
      <c r="I10" s="1831"/>
    </row>
    <row r="11" spans="1:12" ht="12.75">
      <c r="A11" s="3491"/>
      <c r="B11" s="3412"/>
      <c r="C11" s="3522"/>
      <c r="D11" s="3509"/>
      <c r="E11" s="138" t="s">
        <v>2135</v>
      </c>
      <c r="F11" s="2426"/>
      <c r="G11" s="2426"/>
      <c r="H11" s="2426"/>
      <c r="I11" s="1831"/>
    </row>
    <row r="12" spans="1:12" ht="12.75">
      <c r="A12" s="3491" t="s">
        <v>2136</v>
      </c>
      <c r="B12" s="3412">
        <v>15</v>
      </c>
      <c r="C12" s="3521"/>
      <c r="D12" s="3509"/>
      <c r="E12" s="138" t="s">
        <v>2137</v>
      </c>
      <c r="F12" s="2426"/>
      <c r="G12" s="2426"/>
      <c r="H12" s="2426"/>
      <c r="I12" s="1831"/>
    </row>
    <row r="13" spans="1:12" ht="12.75">
      <c r="A13" s="3491"/>
      <c r="B13" s="3412"/>
      <c r="C13" s="3522"/>
      <c r="D13" s="3509"/>
      <c r="E13" s="138" t="s">
        <v>2138</v>
      </c>
      <c r="F13" s="2426"/>
      <c r="G13" s="2426"/>
      <c r="H13" s="2426"/>
      <c r="I13" s="1831"/>
    </row>
    <row r="14" spans="1:12" ht="12.75">
      <c r="A14" s="3491" t="s">
        <v>2139</v>
      </c>
      <c r="B14" s="3412">
        <v>30</v>
      </c>
      <c r="C14" s="3521">
        <v>5</v>
      </c>
      <c r="D14" s="3509">
        <v>5</v>
      </c>
      <c r="E14" s="138" t="s">
        <v>2140</v>
      </c>
      <c r="F14" s="2426"/>
      <c r="G14" s="2426"/>
      <c r="H14" s="2426"/>
      <c r="I14" s="1831"/>
    </row>
    <row r="15" spans="1:12" ht="12.75">
      <c r="A15" s="3491"/>
      <c r="B15" s="3412"/>
      <c r="C15" s="3523"/>
      <c r="D15" s="3509"/>
      <c r="E15" s="138" t="s">
        <v>2141</v>
      </c>
      <c r="F15" s="2426"/>
      <c r="G15" s="2426"/>
      <c r="H15" s="2426"/>
      <c r="I15" s="1831"/>
    </row>
    <row r="16" spans="1:12" ht="12.75">
      <c r="A16" s="3491"/>
      <c r="B16" s="3412"/>
      <c r="C16" s="3522"/>
      <c r="D16" s="3509"/>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21636</v>
      </c>
      <c r="D19" s="142">
        <f ca="1">SUMIF(INDIRECT("'"&amp;D4&amp;"'"&amp;"!A:A"),结果表!B19,INDIRECT("'"&amp;D4&amp;"'"&amp;"!B:B"))</f>
        <v>18954</v>
      </c>
      <c r="E19" s="2431" t="s">
        <v>2150</v>
      </c>
      <c r="F19" s="2432" t="s">
        <v>2149</v>
      </c>
      <c r="G19" s="143">
        <f ca="1">ROUND(C19*$C$18+D19*$D$18,0)</f>
        <v>20295</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2983</v>
      </c>
      <c r="D20" s="145">
        <f ca="1">SUMIF(INDIRECT("'"&amp;D4&amp;"'"&amp;"!A:A"),结果表!B20,INDIRECT("'"&amp;D4&amp;"'"&amp;"!B:B"))</f>
        <v>2613</v>
      </c>
      <c r="E20" s="2434"/>
      <c r="F20" s="1247" t="s">
        <v>2153</v>
      </c>
      <c r="G20" s="146">
        <f ca="1">ROUND(C20*$C$18+D20*$D$18,0)</f>
        <v>2798</v>
      </c>
      <c r="H20" s="980" t="s">
        <v>2154</v>
      </c>
      <c r="I20" s="136"/>
    </row>
    <row r="21" spans="1:35" ht="15" customHeight="1" thickBot="1">
      <c r="A21" s="1000"/>
      <c r="B21" s="2435" t="s">
        <v>2155</v>
      </c>
      <c r="C21" s="787">
        <f ca="1">ROUND(C19*10000/L19,0)</f>
        <v>4961</v>
      </c>
      <c r="D21" s="788">
        <f ca="1">ROUND(D19*10000/L19,0)</f>
        <v>4346</v>
      </c>
      <c r="E21" s="1000"/>
      <c r="F21" s="2435" t="s">
        <v>2155</v>
      </c>
      <c r="G21" s="147">
        <f ca="1">ROUND(G19*10000/L19,0)</f>
        <v>4654</v>
      </c>
      <c r="H21" s="2436" t="s">
        <v>2154</v>
      </c>
      <c r="I21" s="136"/>
    </row>
    <row r="22" spans="1:35" ht="15" thickBot="1">
      <c r="A22" s="2277" t="s">
        <v>2156</v>
      </c>
      <c r="B22" s="2437"/>
      <c r="C22" s="2438"/>
      <c r="D22" s="789">
        <f ca="1">IF(C19&lt;D19,D19/C19-1,C19/D19-1)</f>
        <v>0.14150047483380823</v>
      </c>
      <c r="E22" s="136"/>
      <c r="F22" s="136"/>
      <c r="G22" s="136"/>
      <c r="H22" s="136"/>
      <c r="I22" s="136"/>
    </row>
    <row r="23" spans="1:35" ht="13.5" thickBot="1">
      <c r="A23" s="2415"/>
      <c r="B23" s="2415"/>
      <c r="C23" s="2415"/>
      <c r="D23" s="2415"/>
      <c r="E23" s="136"/>
      <c r="F23" s="136"/>
      <c r="G23" s="136"/>
      <c r="H23" s="136"/>
      <c r="I23" s="136"/>
    </row>
    <row r="24" spans="1:35" ht="14.25">
      <c r="A24" s="3530" t="s">
        <v>2157</v>
      </c>
      <c r="B24" s="2432" t="s">
        <v>2149</v>
      </c>
      <c r="C24" s="143">
        <f>IF(B30=0,0,D30)</f>
        <v>0</v>
      </c>
      <c r="D24" s="2439"/>
      <c r="E24" s="136"/>
      <c r="F24" s="136"/>
      <c r="G24" s="136"/>
      <c r="H24" s="136"/>
      <c r="I24" s="136"/>
    </row>
    <row r="25" spans="1:35" ht="14.25">
      <c r="A25" s="3531"/>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20295</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6819</v>
      </c>
      <c r="D34" s="1055">
        <f ca="1">IF(C33="自定义",ROUND(C34/C32,3),IF(C33="收益比率",SUMIF(INDIRECT("'"&amp;D33&amp;"'"&amp;"!b:b"),"土地收益比率",INDIRECT("'"&amp;D33&amp;"'"&amp;"!c:c")),SUMIF(INDIRECT("'"&amp;D33&amp;"'"&amp;"!b:b"),"土地成本比率",INDIRECT("'"&amp;D33&amp;"'"&amp;"!c:c"))))</f>
        <v>0.33599999999999997</v>
      </c>
      <c r="E34" s="2454" t="s">
        <v>2168</v>
      </c>
      <c r="F34" s="1736"/>
      <c r="G34" s="136"/>
      <c r="H34" s="136"/>
      <c r="I34" s="136"/>
    </row>
    <row r="35" spans="1:15" ht="15.75" thickBot="1">
      <c r="A35" s="2455"/>
      <c r="B35" s="2456" t="s">
        <v>2169</v>
      </c>
      <c r="C35" s="1441">
        <f ca="1">IF(C33="自定义",F35,ROUND(C32*D35,0))</f>
        <v>13476</v>
      </c>
      <c r="D35" s="1442">
        <f ca="1">IF(C33="自定义",ROUND(C35/C32,3),IF(C33="收益比率",SUMIF(INDIRECT("'"&amp;D33&amp;"'"&amp;"!b:b"),"建筑物收益比率",INDIRECT("'"&amp;D33&amp;"'"&amp;"!c:c")),SUMIF(INDIRECT("'"&amp;D33&amp;"'"&amp;"!b:b"),"建筑物成本比率",INDIRECT("'"&amp;D33&amp;"'"&amp;"!c:c"))))</f>
        <v>0.66400000000000003</v>
      </c>
      <c r="E35" s="2457" t="s">
        <v>2170</v>
      </c>
      <c r="F35" s="161"/>
      <c r="G35" s="136"/>
      <c r="H35" s="136"/>
      <c r="I35" s="136"/>
    </row>
    <row r="36" spans="1:15" ht="15.75" thickBot="1">
      <c r="A36" s="3510" t="s">
        <v>2171</v>
      </c>
      <c r="B36" s="2458" t="s">
        <v>2172</v>
      </c>
      <c r="C36" s="152"/>
      <c r="D36" s="2459" t="s">
        <v>3165</v>
      </c>
      <c r="E36" s="2460"/>
      <c r="F36" s="2461"/>
      <c r="G36" s="136"/>
      <c r="H36" s="136"/>
      <c r="I36" s="136"/>
    </row>
    <row r="37" spans="1:15" ht="15.75" thickBot="1">
      <c r="A37" s="3511"/>
      <c r="B37" s="2263" t="s">
        <v>2173</v>
      </c>
      <c r="C37" s="154"/>
      <c r="D37" s="1392"/>
      <c r="E37" s="1392"/>
      <c r="F37" s="2461"/>
      <c r="G37" s="136"/>
      <c r="H37" s="136"/>
      <c r="I37" s="136"/>
    </row>
    <row r="38" spans="1:15" ht="15.75" thickBot="1">
      <c r="A38" s="3512"/>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27" t="s">
        <v>2185</v>
      </c>
      <c r="B45" s="3528"/>
      <c r="C45" s="3529"/>
      <c r="D45" s="162">
        <f ca="1">ROUND(H101*F45,0)</f>
        <v>20295</v>
      </c>
      <c r="E45" s="163" t="s">
        <v>2186</v>
      </c>
      <c r="F45" s="164">
        <v>1</v>
      </c>
      <c r="G45" s="165" t="s">
        <v>2187</v>
      </c>
      <c r="H45" s="136"/>
      <c r="I45" s="136"/>
      <c r="J45" s="3446" t="s">
        <v>2188</v>
      </c>
      <c r="K45" s="3446"/>
      <c r="L45" s="3446"/>
      <c r="M45" s="3446"/>
      <c r="N45" s="3446"/>
      <c r="O45" s="3446"/>
    </row>
    <row r="46" spans="1:15" ht="14.25" customHeight="1">
      <c r="A46" s="3524" t="s">
        <v>2189</v>
      </c>
      <c r="B46" s="3525"/>
      <c r="C46" s="3525"/>
      <c r="D46" s="3525"/>
      <c r="E46" s="3525"/>
      <c r="F46" s="3525"/>
      <c r="G46" s="3526"/>
      <c r="H46" s="2477"/>
      <c r="I46" s="166"/>
      <c r="J46" s="1809">
        <v>1</v>
      </c>
      <c r="K46" s="3446" t="s">
        <v>2190</v>
      </c>
      <c r="L46" s="3446"/>
      <c r="M46" s="3447"/>
      <c r="N46" s="3447"/>
      <c r="O46" s="3447"/>
    </row>
    <row r="47" spans="1:15" ht="12" customHeight="1">
      <c r="A47" s="167" t="s">
        <v>2191</v>
      </c>
      <c r="B47" s="168"/>
      <c r="C47" s="169"/>
      <c r="D47" s="170" t="s">
        <v>2192</v>
      </c>
      <c r="E47" s="23" t="s">
        <v>2193</v>
      </c>
      <c r="F47" s="171" t="s">
        <v>2194</v>
      </c>
      <c r="G47" s="172" t="s">
        <v>2195</v>
      </c>
      <c r="H47" s="2477"/>
      <c r="I47" s="166"/>
      <c r="J47" s="1809">
        <v>2</v>
      </c>
      <c r="K47" s="3446" t="s">
        <v>2196</v>
      </c>
      <c r="L47" s="3446"/>
      <c r="M47" s="3448">
        <f>'数据-取费表'!B2</f>
        <v>43251</v>
      </c>
      <c r="N47" s="3448"/>
      <c r="O47" s="3448"/>
    </row>
    <row r="48" spans="1:15" ht="25.5">
      <c r="A48" s="3514" t="s">
        <v>2197</v>
      </c>
      <c r="B48" s="3515"/>
      <c r="C48" s="3515"/>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446" t="s">
        <v>2200</v>
      </c>
      <c r="L48" s="3446"/>
      <c r="M48" s="3449">
        <f ca="1">H101</f>
        <v>20295</v>
      </c>
      <c r="N48" s="3449"/>
      <c r="O48" s="3449"/>
    </row>
    <row r="49" spans="1:35" ht="25.5" customHeight="1">
      <c r="A49" s="174" t="s">
        <v>2201</v>
      </c>
      <c r="B49" s="3494" t="s">
        <v>2202</v>
      </c>
      <c r="C49" s="3494"/>
      <c r="D49" s="175">
        <v>0</v>
      </c>
      <c r="E49" s="22" t="s">
        <v>2203</v>
      </c>
      <c r="F49" s="27" t="s">
        <v>34</v>
      </c>
      <c r="G49" s="3475"/>
      <c r="H49" s="136"/>
      <c r="I49" s="2480"/>
      <c r="J49" s="1809">
        <v>4</v>
      </c>
      <c r="K49" s="3446" t="str">
        <f>IF(项目基本情况!E8="房地产抵押价值","房地产抵押价值","抵押担保权已注销时的房地产抵押价值")</f>
        <v>房地产抵押价值</v>
      </c>
      <c r="L49" s="3446"/>
      <c r="M49" s="3449">
        <f ca="1">IF(项目基本情况!E8="房地产抵押价值",H107,H109)</f>
        <v>20048</v>
      </c>
      <c r="N49" s="3449"/>
      <c r="O49" s="3449"/>
    </row>
    <row r="50" spans="1:35" ht="25.5" customHeight="1">
      <c r="A50" s="176"/>
      <c r="B50" s="3494" t="s">
        <v>2204</v>
      </c>
      <c r="C50" s="3494"/>
      <c r="D50" s="177"/>
      <c r="E50" s="30"/>
      <c r="F50" s="178"/>
      <c r="G50" s="3476"/>
      <c r="H50" s="136"/>
      <c r="I50" s="2480"/>
      <c r="J50" s="3446" t="s">
        <v>2205</v>
      </c>
      <c r="K50" s="3446"/>
      <c r="L50" s="3446"/>
      <c r="M50" s="3446"/>
      <c r="N50" s="3446"/>
      <c r="O50" s="3446"/>
    </row>
    <row r="51" spans="1:35" ht="12" customHeight="1">
      <c r="A51" s="179"/>
      <c r="B51" s="3494" t="s">
        <v>2206</v>
      </c>
      <c r="C51" s="3494"/>
      <c r="D51" s="180"/>
      <c r="E51" s="29"/>
      <c r="F51" s="178"/>
      <c r="G51" s="3477"/>
      <c r="H51" s="136"/>
      <c r="I51" s="2480"/>
      <c r="J51" s="2481" t="s">
        <v>2207</v>
      </c>
      <c r="K51" s="3446" t="s">
        <v>2208</v>
      </c>
      <c r="L51" s="3446"/>
      <c r="M51" s="2481" t="s">
        <v>2209</v>
      </c>
      <c r="N51" s="2481" t="s">
        <v>2210</v>
      </c>
      <c r="O51" s="2481" t="s">
        <v>2211</v>
      </c>
    </row>
    <row r="52" spans="1:35" ht="24" customHeight="1">
      <c r="A52" s="181" t="s">
        <v>2212</v>
      </c>
      <c r="B52" s="3494" t="s">
        <v>2213</v>
      </c>
      <c r="C52" s="3494"/>
      <c r="D52" s="180">
        <f ca="1">ROUND(D45*'数据-取费表'!B41/(1+'数据-取费表'!C42),0)</f>
        <v>1063</v>
      </c>
      <c r="E52" s="11" t="s">
        <v>2214</v>
      </c>
      <c r="F52" s="182">
        <f>'数据-取费表'!B41</f>
        <v>5.5000000000000007E-2</v>
      </c>
      <c r="G52" s="2482"/>
      <c r="H52" s="136"/>
      <c r="I52" s="2480"/>
      <c r="J52" s="1809">
        <v>1</v>
      </c>
      <c r="K52" s="3469" t="s">
        <v>2215</v>
      </c>
      <c r="L52" s="3469"/>
      <c r="M52" s="1751">
        <f>D48</f>
        <v>0</v>
      </c>
      <c r="N52" s="1809" t="str">
        <f>E48</f>
        <v>销售额×税（费）率</v>
      </c>
      <c r="O52" s="1752" t="str">
        <f>F48</f>
        <v>免征</v>
      </c>
    </row>
    <row r="53" spans="1:35" ht="12" customHeight="1">
      <c r="A53" s="181" t="s">
        <v>2216</v>
      </c>
      <c r="B53" s="3495" t="s">
        <v>2217</v>
      </c>
      <c r="C53" s="3496"/>
      <c r="D53" s="180">
        <f ca="1">ROUND(D45*'数据-取费表'!B41/(1+'数据-取费表'!C42),0)</f>
        <v>1063</v>
      </c>
      <c r="E53" s="11" t="s">
        <v>2214</v>
      </c>
      <c r="F53" s="182">
        <f>'数据-取费表'!B41</f>
        <v>5.5000000000000007E-2</v>
      </c>
      <c r="G53" s="2482"/>
      <c r="H53" s="136"/>
      <c r="I53" s="2480"/>
      <c r="J53" s="1809">
        <v>2</v>
      </c>
      <c r="K53" s="3469" t="s">
        <v>2218</v>
      </c>
      <c r="L53" s="3469"/>
      <c r="M53" s="1751">
        <f t="shared" ref="M53:O54" ca="1" si="0">D55</f>
        <v>10</v>
      </c>
      <c r="N53" s="1809" t="str">
        <f t="shared" si="0"/>
        <v>销售额×税（费）率</v>
      </c>
      <c r="O53" s="1752">
        <f t="shared" si="0"/>
        <v>5.0000000000000001E-4</v>
      </c>
    </row>
    <row r="54" spans="1:35" ht="12" customHeight="1">
      <c r="A54" s="181" t="s">
        <v>2219</v>
      </c>
      <c r="B54" s="3495" t="s">
        <v>2220</v>
      </c>
      <c r="C54" s="3496"/>
      <c r="D54" s="180">
        <f ca="1">C68</f>
        <v>1063</v>
      </c>
      <c r="E54" s="29" t="s">
        <v>2221</v>
      </c>
      <c r="F54" s="182">
        <f>'数据-取费表'!B41</f>
        <v>5.5000000000000007E-2</v>
      </c>
      <c r="G54" s="2482"/>
      <c r="H54" s="2483"/>
      <c r="I54" s="2480"/>
      <c r="J54" s="1809">
        <v>3</v>
      </c>
      <c r="K54" s="3469" t="s">
        <v>2222</v>
      </c>
      <c r="L54" s="3469"/>
      <c r="M54" s="1751">
        <f t="shared" ca="1" si="0"/>
        <v>11505</v>
      </c>
      <c r="N54" s="1809" t="str">
        <f t="shared" si="0"/>
        <v>增值额×税（费）率</v>
      </c>
      <c r="O54" s="1753" t="str">
        <f t="shared" si="0"/>
        <v>——</v>
      </c>
    </row>
    <row r="55" spans="1:35" ht="24" customHeight="1">
      <c r="A55" s="3533" t="s">
        <v>2223</v>
      </c>
      <c r="B55" s="3515"/>
      <c r="C55" s="3515"/>
      <c r="D55" s="183">
        <f ca="1">IF(H55="个人住宅",0,ROUND(D45*I55,0))</f>
        <v>10</v>
      </c>
      <c r="E55" s="11" t="s">
        <v>2224</v>
      </c>
      <c r="F55" s="182">
        <f>IF(H55="正常",I55,"免征")</f>
        <v>5.0000000000000001E-4</v>
      </c>
      <c r="G55" s="2482"/>
      <c r="H55" s="2479" t="s">
        <v>2225</v>
      </c>
      <c r="I55" s="184">
        <f>'数据-取费表'!B49</f>
        <v>5.0000000000000001E-4</v>
      </c>
      <c r="J55" s="1809" t="str">
        <f>IF(H59="非个人房产","",4)</f>
        <v/>
      </c>
      <c r="K55" s="3469" t="str">
        <f>IF(H59="非个人房产","——","个人所得税")</f>
        <v>——</v>
      </c>
      <c r="L55" s="3469"/>
      <c r="M55" s="1754" t="str">
        <f>D59</f>
        <v>——</v>
      </c>
      <c r="N55" s="1807" t="str">
        <f>E59</f>
        <v>——</v>
      </c>
      <c r="O55" s="1755" t="str">
        <f>F59</f>
        <v>——</v>
      </c>
    </row>
    <row r="56" spans="1:35" ht="24.75">
      <c r="A56" s="3533" t="s">
        <v>2226</v>
      </c>
      <c r="B56" s="3515"/>
      <c r="C56" s="3515"/>
      <c r="D56" s="183">
        <f ca="1">IF(H56="个人住宅",D57,D58)</f>
        <v>11505</v>
      </c>
      <c r="E56" s="11" t="s">
        <v>2227</v>
      </c>
      <c r="F56" s="182" t="str">
        <f>IF(H56="正常",F58,"免征")</f>
        <v>——</v>
      </c>
      <c r="G56" s="2484" t="s">
        <v>2228</v>
      </c>
      <c r="H56" s="2485" t="s">
        <v>2225</v>
      </c>
      <c r="I56" s="2486"/>
      <c r="J56" s="1809" t="str">
        <f>IF(项目基本情况!K6="上海银行",IF(J55="",4,J55+1),"")</f>
        <v/>
      </c>
      <c r="K56" s="3452" t="str">
        <f>IF(项目基本情况!K6="上海银行","其他处置费用","")</f>
        <v/>
      </c>
      <c r="L56" s="3453"/>
      <c r="M56" s="1751" t="str">
        <f>IF(项目基本情况!K6="上海银行",M69,"")</f>
        <v/>
      </c>
      <c r="N56" s="3455" t="str">
        <f>IF(项目基本情况!K6="上海银行","包含处置中涉及的律师、诉讼、拍卖、评估等费用","")</f>
        <v/>
      </c>
      <c r="O56" s="3456"/>
    </row>
    <row r="57" spans="1:35" ht="12.75">
      <c r="A57" s="181" t="s">
        <v>2201</v>
      </c>
      <c r="B57" s="3500" t="s">
        <v>2229</v>
      </c>
      <c r="C57" s="3501"/>
      <c r="D57" s="185">
        <v>0</v>
      </c>
      <c r="E57" s="22" t="s">
        <v>2203</v>
      </c>
      <c r="F57" s="153"/>
      <c r="G57" s="2482"/>
      <c r="H57" s="2486"/>
      <c r="I57" s="2486"/>
      <c r="J57" s="3469">
        <f>IF(AND(J55="",J56=""),4,IF(项目基本情况!K6="上海银行",结果表!J56+1,结果表!J55+1))</f>
        <v>4</v>
      </c>
      <c r="K57" s="3469" t="s">
        <v>2230</v>
      </c>
      <c r="L57" s="2487" t="s">
        <v>2231</v>
      </c>
      <c r="M57" s="1756"/>
      <c r="N57" s="1757">
        <f ca="1">SUMIF(M52:M56,"&lt;9e307")</f>
        <v>11515</v>
      </c>
      <c r="O57" s="2488"/>
      <c r="P57" s="1750">
        <f ca="1">N57/M49</f>
        <v>0.57437150837988826</v>
      </c>
    </row>
    <row r="58" spans="1:35" ht="24.75">
      <c r="A58" s="181" t="s">
        <v>2212</v>
      </c>
      <c r="B58" s="3500" t="s">
        <v>2232</v>
      </c>
      <c r="C58" s="3513"/>
      <c r="D58" s="183">
        <f ca="1">IF(H58="转让取得",C81,C97)</f>
        <v>11505</v>
      </c>
      <c r="E58" s="11" t="s">
        <v>2227</v>
      </c>
      <c r="F58" s="23" t="s">
        <v>34</v>
      </c>
      <c r="G58" s="2482"/>
      <c r="H58" s="2485" t="s">
        <v>2233</v>
      </c>
      <c r="I58" s="2486"/>
      <c r="J58" s="3469"/>
      <c r="K58" s="3469"/>
      <c r="L58" s="2487" t="s">
        <v>2234</v>
      </c>
      <c r="M58" s="1758"/>
      <c r="N58" s="2489" t="str">
        <f ca="1">NUMBERSTRING(INT(N57*10000),2)&amp;"元整"</f>
        <v>壹亿壹仟伍佰壹拾伍万元整</v>
      </c>
      <c r="O58" s="2490"/>
    </row>
    <row r="59" spans="1:35" ht="24.75" thickBot="1">
      <c r="A59" s="3473" t="s">
        <v>2235</v>
      </c>
      <c r="B59" s="3474"/>
      <c r="C59" s="3474"/>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471">
        <f>J57+1</f>
        <v>5</v>
      </c>
      <c r="K59" s="3469" t="s">
        <v>2237</v>
      </c>
      <c r="L59" s="1809" t="s">
        <v>2231</v>
      </c>
      <c r="M59" s="1759"/>
      <c r="N59" s="1760">
        <f ca="1">M49-N57</f>
        <v>8533</v>
      </c>
      <c r="O59" s="2492"/>
    </row>
    <row r="60" spans="1:35" ht="12" customHeight="1">
      <c r="A60" s="2493"/>
      <c r="B60" s="2415"/>
      <c r="C60" s="2415"/>
      <c r="D60" s="2415"/>
      <c r="E60" s="2163"/>
      <c r="F60" s="2486"/>
      <c r="G60" s="2486"/>
      <c r="H60" s="2494"/>
      <c r="I60" s="136"/>
      <c r="J60" s="3472"/>
      <c r="K60" s="3469"/>
      <c r="L60" s="2487" t="s">
        <v>2234</v>
      </c>
      <c r="M60" s="1758"/>
      <c r="N60" s="2489" t="str">
        <f ca="1">NUMBERSTRING(INT(N59*10000),2)&amp;"元整"</f>
        <v>捌仟伍佰叁拾叁万元整</v>
      </c>
      <c r="O60" s="2490"/>
    </row>
    <row r="61" spans="1:35" ht="13.5" thickBot="1">
      <c r="A61" s="3532" t="s">
        <v>2238</v>
      </c>
      <c r="B61" s="3532"/>
      <c r="C61" s="3532"/>
      <c r="D61" s="3532"/>
      <c r="E61" s="3532"/>
      <c r="F61" s="2486"/>
      <c r="G61" s="2486"/>
      <c r="H61" s="2494"/>
      <c r="I61" s="136"/>
      <c r="J61" s="1809">
        <f>J59+1</f>
        <v>6</v>
      </c>
      <c r="K61" s="3469" t="s">
        <v>2239</v>
      </c>
      <c r="L61" s="3469"/>
      <c r="M61" s="1761"/>
      <c r="N61" s="1762">
        <f ca="1">ROUND(N59*10000/'数据-汇总表'!E3,0)</f>
        <v>1176</v>
      </c>
      <c r="O61" s="2495"/>
    </row>
    <row r="62" spans="1:35" ht="12.75">
      <c r="A62" s="3489" t="s">
        <v>2240</v>
      </c>
      <c r="B62" s="3490"/>
      <c r="C62" s="1801"/>
      <c r="D62" s="1801" t="s">
        <v>2241</v>
      </c>
      <c r="E62" s="190" t="s">
        <v>2242</v>
      </c>
      <c r="F62" s="2486"/>
      <c r="G62" s="2486"/>
      <c r="H62" s="2494"/>
      <c r="I62" s="136"/>
    </row>
    <row r="63" spans="1:35" ht="12.75">
      <c r="A63" s="201" t="s">
        <v>775</v>
      </c>
      <c r="B63" s="191" t="s">
        <v>2243</v>
      </c>
      <c r="C63" s="192">
        <f ca="1">ROUND((C64+C65)/(1+'数据-取费表'!C42),0)</f>
        <v>19329</v>
      </c>
      <c r="D63" s="193"/>
      <c r="E63" s="194"/>
      <c r="F63" s="2486"/>
      <c r="G63" s="2486"/>
      <c r="H63" s="2494"/>
      <c r="I63" s="136"/>
      <c r="J63" s="3454" t="s">
        <v>2244</v>
      </c>
      <c r="K63" s="2496" t="s">
        <v>2245</v>
      </c>
      <c r="L63" s="1749">
        <f ca="1">IF(M49&gt;10000,M49*0.5%,IF(AND(M49&gt;1000,M49&lt;=10000),M49*1%,IF(AND(M49&gt;100,M49&lt;=1000),M49*3%,IF(AND(M49&gt;10,M49&lt;=100),M49*5%,M49*8%))))</f>
        <v>100.24000000000001</v>
      </c>
      <c r="M63" s="23">
        <f ca="1">ROUND(L63,1)</f>
        <v>100.2</v>
      </c>
      <c r="Z63" s="2420"/>
      <c r="AI63" s="2421"/>
    </row>
    <row r="64" spans="1:35" ht="14.25" customHeight="1">
      <c r="A64" s="195" t="s">
        <v>770</v>
      </c>
      <c r="B64" s="196" t="s">
        <v>2246</v>
      </c>
      <c r="C64" s="197">
        <f ca="1">D45</f>
        <v>20295</v>
      </c>
      <c r="D64" s="198" t="s">
        <v>32</v>
      </c>
      <c r="E64" s="199"/>
      <c r="F64" s="2486"/>
      <c r="G64" s="2486"/>
      <c r="H64" s="2494"/>
      <c r="I64" s="136"/>
      <c r="J64" s="3454"/>
      <c r="K64" s="2496" t="s">
        <v>2247</v>
      </c>
      <c r="L64" s="1749">
        <f ca="1">IF(M49&gt;2000,M49*0.5%,IF(AND(M49&gt;1000,M49&lt;=2000),M49*0.6%,IF(AND(M49&gt;500,M49&lt;=1000),M49*0.7%,IF(AND(M49&gt;200,M49&lt;=500),M49*0.8%,IF(AND(M49&gt;100,M49&lt;=200),M49*0.9%,IF(AND(M49&gt;50,M49&lt;=100),M49*1%,IF(AND(M49&gt;20,M49&lt;=50),M49*1.5%,IF(AND(M49&gt;10,M49&lt;=20),M49*2%,IF(AND(M49&gt;1,M49&lt;=10),M49*2.5%)))))))))</f>
        <v>100.24000000000001</v>
      </c>
      <c r="M64" s="23">
        <f t="shared" ref="M64:M65" ca="1" si="1">ROUND(L64,1)</f>
        <v>100.2</v>
      </c>
      <c r="N64" s="136" t="s">
        <v>2248</v>
      </c>
      <c r="Z64" s="2420"/>
      <c r="AI64" s="2421"/>
    </row>
    <row r="65" spans="1:35" ht="14.25" customHeight="1">
      <c r="A65" s="195" t="s">
        <v>771</v>
      </c>
      <c r="B65" s="196" t="s">
        <v>2249</v>
      </c>
      <c r="C65" s="200"/>
      <c r="D65" s="198"/>
      <c r="E65" s="199"/>
      <c r="F65" s="2486"/>
      <c r="G65" s="2486"/>
      <c r="H65" s="2494"/>
      <c r="I65" s="136"/>
      <c r="J65" s="3454"/>
      <c r="K65" s="2496" t="s">
        <v>2250</v>
      </c>
      <c r="L65" s="1749">
        <f ca="1">IF(M49&gt;1000,M49*0.1%,IF(AND(M49&gt;500,M49&lt;=1000),M49*0.5%,IF(AND(M49&gt;50,M49&lt;=500),M49*1%,IF(AND(M49&gt;1,M49&lt;=50),M49*1.5%))))</f>
        <v>20.048000000000002</v>
      </c>
      <c r="M65" s="23">
        <f t="shared" ca="1" si="1"/>
        <v>20</v>
      </c>
      <c r="N65" s="136" t="s">
        <v>2248</v>
      </c>
      <c r="Z65" s="2420"/>
      <c r="AI65" s="2421"/>
    </row>
    <row r="66" spans="1:35" ht="14.25" customHeight="1">
      <c r="A66" s="201" t="s">
        <v>772</v>
      </c>
      <c r="B66" s="202" t="s">
        <v>2251</v>
      </c>
      <c r="C66" s="203"/>
      <c r="D66" s="204" t="s">
        <v>32</v>
      </c>
      <c r="E66" s="1773" t="s">
        <v>1371</v>
      </c>
      <c r="F66" s="2486"/>
      <c r="G66" s="2486"/>
      <c r="H66" s="2494"/>
      <c r="I66" s="136"/>
      <c r="J66" s="3454"/>
      <c r="K66" s="2496" t="s">
        <v>2252</v>
      </c>
      <c r="L66" s="1749">
        <f ca="1">M49*0.5%</f>
        <v>100.24000000000001</v>
      </c>
      <c r="M66" s="23">
        <f ca="1">IF(L66&gt;0.5,0.5,ROUND(L66,0))</f>
        <v>0.5</v>
      </c>
      <c r="N66" s="136" t="s">
        <v>2253</v>
      </c>
      <c r="Z66" s="2420"/>
      <c r="AI66" s="2421"/>
    </row>
    <row r="67" spans="1:35" ht="14.25" customHeight="1">
      <c r="A67" s="201" t="s">
        <v>773</v>
      </c>
      <c r="B67" s="202" t="s">
        <v>2254</v>
      </c>
      <c r="C67" s="205">
        <f ca="1">C63-C66</f>
        <v>19329</v>
      </c>
      <c r="D67" s="198" t="s">
        <v>32</v>
      </c>
      <c r="E67" s="199"/>
      <c r="F67" s="2486"/>
      <c r="G67" s="2486"/>
      <c r="H67" s="2494"/>
      <c r="I67" s="136"/>
      <c r="J67" s="3454"/>
      <c r="K67" s="2496" t="s">
        <v>2255</v>
      </c>
      <c r="L67" s="1749">
        <f ca="1">IF(M49&gt;=10000,(8.25+(M49-10000)*0.01%),IF(AND(M49&gt;=8000,M49&lt;10000),(7.85+(M49-8000)*0.02%),IF(AND(M49&gt;=5000,M49&lt;8000),(6.65+(M49-5000)*0.04%),IF(AND(M49&gt;=2000,M49&lt;5000),(4.25+(PM49-2000)*0.08%),IF(AND(M49&gt;=1000,M49&lt;2000),(2.75+(M49-1000)*0.15%),IF(AND(M49&gt;=100,M49&lt;1000),(0.5+(M49-100)*0.25%),IF(AND(M49&gt;0,M49&lt;100),M49*0.5%)))))))</f>
        <v>9.2547999999999995</v>
      </c>
      <c r="M67" s="23">
        <f ca="1">ROUND(L67*0.9,1)</f>
        <v>8.3000000000000007</v>
      </c>
      <c r="Z67" s="2420"/>
      <c r="AI67" s="2421"/>
    </row>
    <row r="68" spans="1:35" ht="14.25" customHeight="1" thickBot="1">
      <c r="A68" s="206" t="s">
        <v>774</v>
      </c>
      <c r="B68" s="207" t="s">
        <v>2256</v>
      </c>
      <c r="C68" s="208">
        <f ca="1">IF(C67&lt;=0,0,ROUND(C67*D68,0))</f>
        <v>1063</v>
      </c>
      <c r="D68" s="209">
        <f>'数据-取费表'!B41</f>
        <v>5.5000000000000007E-2</v>
      </c>
      <c r="E68" s="210"/>
      <c r="F68" s="2486"/>
      <c r="G68" s="2486"/>
      <c r="H68" s="2494"/>
      <c r="I68" s="136"/>
      <c r="J68" s="3454"/>
      <c r="K68" s="2496" t="s">
        <v>2257</v>
      </c>
      <c r="L68" s="1749">
        <f ca="1">IF(M49&gt;10000,M49*0.5%,IF(AND(M49&gt;5000,M49&lt;=10000),M49*1%,IF(AND(M49&gt;1000,M49&lt;=5000),M49*2%,IF(AND(M49&gt;200,M49&lt;=1000),M49*3%,M49*5%))))</f>
        <v>100.24000000000001</v>
      </c>
      <c r="M68" s="23">
        <f ca="1">ROUND(L68,1)</f>
        <v>100.2</v>
      </c>
      <c r="Z68" s="2420"/>
      <c r="AI68" s="2421"/>
    </row>
    <row r="69" spans="1:35" s="2443" customFormat="1" ht="16.5" customHeight="1">
      <c r="A69" s="2497"/>
      <c r="B69" s="2498"/>
      <c r="C69" s="2499"/>
      <c r="D69" s="2500"/>
      <c r="E69" s="2501"/>
      <c r="F69" s="2163"/>
      <c r="G69" s="2163"/>
      <c r="H69" s="2162"/>
      <c r="I69" s="2415"/>
      <c r="J69" s="3454"/>
      <c r="K69" s="2496" t="s">
        <v>2258</v>
      </c>
      <c r="L69" s="2502"/>
      <c r="M69" s="23">
        <f ca="1">ROUND(SUM(M63:M68),0)</f>
        <v>329</v>
      </c>
      <c r="N69" s="1750">
        <f ca="1">M69/M49</f>
        <v>1.6410614525139665E-2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8" t="s">
        <v>2259</v>
      </c>
      <c r="B70" s="3499"/>
      <c r="C70" s="3499"/>
      <c r="D70" s="3499"/>
      <c r="E70" s="3499"/>
      <c r="F70" s="3499"/>
      <c r="G70" s="3499"/>
      <c r="H70" s="349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89" t="s">
        <v>2240</v>
      </c>
      <c r="B71" s="3490"/>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19329</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97</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95" t="s">
        <v>2268</v>
      </c>
      <c r="F76" s="3494"/>
      <c r="G76" s="3494"/>
      <c r="H76" s="349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97</v>
      </c>
      <c r="D78" s="224">
        <f>'数据-取费表'!B43</f>
        <v>5.000000000000001E-3</v>
      </c>
      <c r="E78" s="3486" t="s">
        <v>2273</v>
      </c>
      <c r="F78" s="3487"/>
      <c r="G78" s="3487"/>
      <c r="H78" s="348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19232</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198.26804123711341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11505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8" t="s">
        <v>2277</v>
      </c>
      <c r="B83" s="3499"/>
      <c r="C83" s="3499"/>
      <c r="D83" s="3499"/>
      <c r="E83" s="3499"/>
      <c r="F83" s="3499"/>
      <c r="G83" s="3499"/>
      <c r="H83" s="349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89" t="s">
        <v>2240</v>
      </c>
      <c r="B84" s="3490"/>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19329</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97</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86" t="s">
        <v>2286</v>
      </c>
      <c r="F91" s="3487"/>
      <c r="G91" s="3487"/>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86" t="s">
        <v>2290</v>
      </c>
      <c r="F92" s="3487"/>
      <c r="G92" s="3487"/>
      <c r="H92" s="348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97</v>
      </c>
      <c r="D93" s="224">
        <f>'数据-取费表'!B43</f>
        <v>5.000000000000001E-3</v>
      </c>
      <c r="E93" s="3486" t="s">
        <v>2273</v>
      </c>
      <c r="F93" s="3487"/>
      <c r="G93" s="3487"/>
      <c r="H93" s="348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534" t="s">
        <v>2294</v>
      </c>
      <c r="F94" s="3535"/>
      <c r="G94" s="3535"/>
      <c r="H94" s="353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19232</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198.26804123711341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11505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8" t="s">
        <v>2296</v>
      </c>
      <c r="B100" s="3439"/>
      <c r="C100" s="3439"/>
      <c r="D100" s="3470"/>
      <c r="E100" s="3439" t="s">
        <v>2297</v>
      </c>
      <c r="F100" s="3439"/>
      <c r="G100" s="3439"/>
      <c r="H100" s="3470"/>
      <c r="I100" s="136"/>
    </row>
    <row r="101" spans="1:35" ht="18.75" customHeight="1">
      <c r="A101" s="3478" t="s">
        <v>2298</v>
      </c>
      <c r="B101" s="3479"/>
      <c r="C101" s="734" t="str">
        <f>C4</f>
        <v>成本法</v>
      </c>
      <c r="D101" s="735" t="str">
        <f>D4</f>
        <v>假设开发法</v>
      </c>
      <c r="E101" s="3450" t="s">
        <v>2299</v>
      </c>
      <c r="F101" s="3451"/>
      <c r="G101" s="2517" t="s">
        <v>2300</v>
      </c>
      <c r="H101" s="1045">
        <f ca="1">H118</f>
        <v>20295</v>
      </c>
      <c r="I101" s="136"/>
    </row>
    <row r="102" spans="1:35" ht="18.75" customHeight="1">
      <c r="A102" s="3480" t="s">
        <v>2301</v>
      </c>
      <c r="B102" s="2517" t="s">
        <v>2300</v>
      </c>
      <c r="C102" s="734">
        <f ca="1">C19</f>
        <v>21636</v>
      </c>
      <c r="D102" s="735">
        <f ca="1">D19</f>
        <v>18954</v>
      </c>
      <c r="E102" s="3450"/>
      <c r="F102" s="3451"/>
      <c r="G102" s="2517" t="s">
        <v>2302</v>
      </c>
      <c r="H102" s="369">
        <f ca="1">I118</f>
        <v>2798</v>
      </c>
      <c r="I102" s="136"/>
    </row>
    <row r="103" spans="1:35" ht="42.75" customHeight="1">
      <c r="A103" s="3480"/>
      <c r="B103" s="2517" t="s">
        <v>2302</v>
      </c>
      <c r="C103" s="736">
        <f ca="1">C20</f>
        <v>2983</v>
      </c>
      <c r="D103" s="737">
        <f ca="1">D20</f>
        <v>2613</v>
      </c>
      <c r="E103" s="3444" t="s">
        <v>2303</v>
      </c>
      <c r="F103" s="3445"/>
      <c r="G103" s="2518" t="s">
        <v>2304</v>
      </c>
      <c r="H103" s="1045">
        <f>IF(D36="正常操作",H104+H105+H106,H105+H106)</f>
        <v>247</v>
      </c>
      <c r="I103" s="136"/>
    </row>
    <row r="104" spans="1:35" ht="18.75" customHeight="1">
      <c r="A104" s="3480" t="s">
        <v>2305</v>
      </c>
      <c r="B104" s="2519" t="s">
        <v>2300</v>
      </c>
      <c r="C104" s="738">
        <f ca="1">H118</f>
        <v>20295</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92"/>
      <c r="B105" s="2520" t="s">
        <v>2302</v>
      </c>
      <c r="C105" s="740">
        <f ca="1">I118</f>
        <v>2798</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1" t="str">
        <f>IF(项目基本情况!E8="已注销","——","3.房地产抵押价值")</f>
        <v>3.房地产抵押价值</v>
      </c>
      <c r="F107" s="3451"/>
      <c r="G107" s="2517" t="s">
        <v>2300</v>
      </c>
      <c r="H107" s="1045">
        <f ca="1">IF(E107="——","——",H101-H103)</f>
        <v>20048</v>
      </c>
      <c r="I107" s="136"/>
    </row>
    <row r="108" spans="1:35" ht="18.75" customHeight="1">
      <c r="A108" s="136"/>
      <c r="B108" s="136"/>
      <c r="C108" s="136"/>
      <c r="D108" s="136"/>
      <c r="E108" s="3481"/>
      <c r="F108" s="3451"/>
      <c r="G108" s="2517" t="s">
        <v>2302</v>
      </c>
      <c r="H108" s="369">
        <f ca="1">ROUND(H107*10000/'数据-汇总表'!E3,0)</f>
        <v>2764</v>
      </c>
      <c r="I108" s="136"/>
    </row>
    <row r="109" spans="1:35" ht="18.75" customHeight="1">
      <c r="A109" s="136"/>
      <c r="B109" s="136"/>
      <c r="C109" s="136"/>
      <c r="D109" s="136"/>
      <c r="E109" s="3481" t="str">
        <f>IF(项目基本情况!E8="已注销及未注销","4.抵押担保权已注销时的房地产抵押价值",IF(项目基本情况!E8="已注销","3.抵押担保权已注销时的房地产抵押价值","——"))</f>
        <v>——</v>
      </c>
      <c r="F109" s="3451"/>
      <c r="G109" s="2517" t="s">
        <v>2300</v>
      </c>
      <c r="H109" s="346" t="str">
        <f>IF(E109="——","——",H101-H105-H106)</f>
        <v>——</v>
      </c>
      <c r="I109" s="136"/>
    </row>
    <row r="110" spans="1:35" ht="18.75" customHeight="1">
      <c r="A110" s="136"/>
      <c r="B110" s="136"/>
      <c r="C110" s="136"/>
      <c r="D110" s="136"/>
      <c r="E110" s="3481"/>
      <c r="F110" s="3451"/>
      <c r="G110" s="2517" t="s">
        <v>2302</v>
      </c>
      <c r="H110" s="369" t="str">
        <f>IF(H109="——","——",ROUND(H109*10000/'数据-汇总表'!E3,0))</f>
        <v>——</v>
      </c>
      <c r="I110" s="136"/>
    </row>
    <row r="111" spans="1:35" ht="18.75" customHeight="1">
      <c r="A111" s="136"/>
      <c r="B111" s="136"/>
      <c r="C111" s="136"/>
      <c r="D111" s="136"/>
      <c r="E111" s="3482" t="str">
        <f>IF(项目基本情况!E9="抵押净值",IF(OR(项目基本情况!E8="已注销",项目基本情况!E8="房地产抵押价值"),"4.抵押净值","5.抵押净值"),"——")</f>
        <v>——</v>
      </c>
      <c r="F111" s="3483"/>
      <c r="G111" s="2517" t="s">
        <v>2300</v>
      </c>
      <c r="H111" s="1045" t="str">
        <f>IF(E111="——","——",N59)</f>
        <v>——</v>
      </c>
      <c r="I111" s="136"/>
    </row>
    <row r="112" spans="1:35" ht="18.75" customHeight="1" thickBot="1">
      <c r="A112" s="136"/>
      <c r="B112" s="136"/>
      <c r="C112" s="136"/>
      <c r="D112" s="136"/>
      <c r="E112" s="3484"/>
      <c r="F112" s="3485"/>
      <c r="G112" s="2522" t="s">
        <v>2302</v>
      </c>
      <c r="H112" s="788" t="str">
        <f>IF(E111="——","——",N61)</f>
        <v>——</v>
      </c>
      <c r="I112" s="136"/>
    </row>
    <row r="113" spans="1:11" ht="18.75" customHeight="1">
      <c r="A113" s="136"/>
      <c r="B113" s="136"/>
      <c r="C113" s="136"/>
      <c r="D113" s="136"/>
      <c r="E113" s="3493" t="s">
        <v>2308</v>
      </c>
      <c r="F113" s="3493"/>
      <c r="G113" s="3493"/>
      <c r="H113" s="3493"/>
      <c r="I113" s="136"/>
    </row>
    <row r="114" spans="1:11" ht="3.75" customHeight="1">
      <c r="A114" s="2415"/>
      <c r="B114" s="2415"/>
      <c r="C114" s="2415"/>
      <c r="D114" s="2415"/>
      <c r="E114" s="2493"/>
      <c r="F114" s="2493"/>
      <c r="G114" s="2493"/>
      <c r="H114" s="2493"/>
      <c r="I114" s="2415"/>
    </row>
    <row r="115" spans="1:11" ht="18.75" customHeight="1">
      <c r="A115" s="3506" t="s">
        <v>2310</v>
      </c>
      <c r="B115" s="3507"/>
      <c r="C115" s="3507"/>
      <c r="D115" s="3507"/>
      <c r="E115" s="3507"/>
      <c r="F115" s="3507"/>
      <c r="G115" s="3507"/>
      <c r="H115" s="3507"/>
      <c r="I115" s="3508"/>
    </row>
    <row r="116" spans="1:11" ht="27" customHeight="1">
      <c r="A116" s="3412" t="s">
        <v>2311</v>
      </c>
      <c r="B116" s="3460" t="s">
        <v>2312</v>
      </c>
      <c r="C116" s="3460" t="s">
        <v>2313</v>
      </c>
      <c r="D116" s="3466" t="s">
        <v>2314</v>
      </c>
      <c r="E116" s="3467"/>
      <c r="F116" s="3502" t="s">
        <v>2315</v>
      </c>
      <c r="G116" s="3502"/>
      <c r="H116" s="3412" t="s">
        <v>2316</v>
      </c>
      <c r="I116" s="3412"/>
    </row>
    <row r="117" spans="1:11" ht="18.75" customHeight="1">
      <c r="A117" s="3412"/>
      <c r="B117" s="3461"/>
      <c r="C117" s="3461"/>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6819</v>
      </c>
      <c r="E118" s="1795">
        <f ca="1">ROUND(IF(C33="自定义",IF(D32="楼面单价",C34,D118*10000/B118),I118-G118),0)</f>
        <v>940</v>
      </c>
      <c r="F118" s="1795">
        <f ca="1">ROUND(IF(D32="总价",C35,G118*B118/10000),0)</f>
        <v>13476</v>
      </c>
      <c r="G118" s="1795">
        <f ca="1">ROUND(IF(D32="楼面单价",C35,F118*10000/B118),0)</f>
        <v>1858</v>
      </c>
      <c r="H118" s="1795">
        <f ca="1">ROUND(IF(D32="总价",C32,I118*B118/10000),0)</f>
        <v>20295</v>
      </c>
      <c r="I118" s="1795">
        <f ca="1">ROUND(IF(D32="楼面单价",C32,H118*10000/B118),0)</f>
        <v>2798</v>
      </c>
    </row>
    <row r="119" spans="1:11" ht="18.75" customHeight="1">
      <c r="A119" s="3412" t="s">
        <v>2320</v>
      </c>
      <c r="B119" s="3412"/>
      <c r="C119" s="3412"/>
      <c r="D119" s="3462" t="str">
        <f ca="1">NUMBERSTRING(INT(D118*10000),2)&amp;"元整"</f>
        <v>陆仟捌佰壹拾玖万元整</v>
      </c>
      <c r="E119" s="3463"/>
      <c r="F119" s="3462" t="str">
        <f ca="1">NUMBERSTRING(INT(F118*10000),2)&amp;"元整"</f>
        <v>壹亿叁仟肆佰柒拾陆万元整</v>
      </c>
      <c r="G119" s="3463"/>
      <c r="H119" s="3462" t="str">
        <f ca="1">NUMBERSTRING(INT(H118*10000),2)&amp;"元整"</f>
        <v>贰亿零贰佰玖拾伍万元整</v>
      </c>
      <c r="I119" s="3463"/>
    </row>
    <row r="120" spans="1:11" ht="18.75" customHeight="1">
      <c r="A120" s="3457" t="str">
        <f>IF(项目基本情况!B9="房地产市场价值","",MID(E103,3,LEN(E103)-2))</f>
        <v>估价师知悉的法定优先受偿款</v>
      </c>
      <c r="B120" s="3458"/>
      <c r="C120" s="3459"/>
      <c r="D120" s="3457">
        <f>H103</f>
        <v>247</v>
      </c>
      <c r="E120" s="3458"/>
      <c r="F120" s="3458"/>
      <c r="G120" s="3458"/>
      <c r="H120" s="3458"/>
      <c r="I120" s="3459"/>
      <c r="K120" s="2420" t="str">
        <f>IF(D120=0,"故，本次评估不存在"&amp;A120,"故，本次评估"&amp;A120&amp;"为人民币"&amp;D120&amp;"万元整。")</f>
        <v>故，本次评估估价师知悉的法定优先受偿款为人民币247万元整。</v>
      </c>
    </row>
    <row r="121" spans="1:11" ht="18.75" customHeight="1">
      <c r="A121" s="3503" t="s">
        <v>2320</v>
      </c>
      <c r="B121" s="3504"/>
      <c r="C121" s="3505"/>
      <c r="D121" s="3462" t="str">
        <f>IF(D120=0,"零元整",NUMBERSTRING(INT(D120*10000),2)&amp;"元整")</f>
        <v>贰佰肆拾柒万元整</v>
      </c>
      <c r="E121" s="3464"/>
      <c r="F121" s="3464"/>
      <c r="G121" s="3464"/>
      <c r="H121" s="3464"/>
      <c r="I121" s="3463"/>
    </row>
    <row r="122" spans="1:11" ht="18.75" customHeight="1">
      <c r="A122" s="3468" t="str">
        <f>IF(项目基本情况!B9="房地产市场价值","",MID(E107,3,LEN(E107)-2))</f>
        <v>房地产抵押价值</v>
      </c>
      <c r="B122" s="3468"/>
      <c r="C122" s="3468"/>
      <c r="D122" s="3457">
        <f ca="1">H107</f>
        <v>20048</v>
      </c>
      <c r="E122" s="3458"/>
      <c r="F122" s="3458"/>
      <c r="G122" s="3458"/>
      <c r="H122" s="3458"/>
      <c r="I122" s="3459"/>
    </row>
    <row r="123" spans="1:11" ht="18.75" customHeight="1">
      <c r="A123" s="3412" t="s">
        <v>2320</v>
      </c>
      <c r="B123" s="3412"/>
      <c r="C123" s="3412"/>
      <c r="D123" s="3462" t="str">
        <f ca="1">NUMBERSTRING(INT(D122*10000),2)&amp;"元整"</f>
        <v>贰亿零肆拾捌万元整</v>
      </c>
      <c r="E123" s="3464"/>
      <c r="F123" s="3464"/>
      <c r="G123" s="3464"/>
      <c r="H123" s="3464"/>
      <c r="I123" s="3463"/>
    </row>
    <row r="124" spans="1:11" ht="18.75" customHeight="1">
      <c r="A124" s="3468" t="str">
        <f>IF(项目基本情况!B9="房地产市场价值","",MID(E109,3,LEN(E109)-2))</f>
        <v/>
      </c>
      <c r="B124" s="3468"/>
      <c r="C124" s="3468"/>
      <c r="D124" s="3457" t="str">
        <f>H109</f>
        <v>——</v>
      </c>
      <c r="E124" s="3458"/>
      <c r="F124" s="3458"/>
      <c r="G124" s="3458"/>
      <c r="H124" s="3458"/>
      <c r="I124" s="3459"/>
    </row>
    <row r="125" spans="1:11" ht="18.75" customHeight="1">
      <c r="A125" s="3412" t="s">
        <v>2320</v>
      </c>
      <c r="B125" s="3412"/>
      <c r="C125" s="3412"/>
      <c r="D125" s="3462" t="e">
        <f>NUMBERSTRING(INT(D124*10000),2)&amp;"元整"</f>
        <v>#VALUE!</v>
      </c>
      <c r="E125" s="3464"/>
      <c r="F125" s="3464"/>
      <c r="G125" s="3464"/>
      <c r="H125" s="3464"/>
      <c r="I125" s="3463"/>
    </row>
    <row r="126" spans="1:11" ht="18.75" customHeight="1">
      <c r="A126" s="3468" t="str">
        <f>IF(项目基本情况!B9="房地产市场价值","",MID(E111,3,LEN(E111)-2))</f>
        <v/>
      </c>
      <c r="B126" s="3468"/>
      <c r="C126" s="3468"/>
      <c r="D126" s="3457" t="str">
        <f>H111</f>
        <v>——</v>
      </c>
      <c r="E126" s="3458"/>
      <c r="F126" s="3458"/>
      <c r="G126" s="3458"/>
      <c r="H126" s="3458"/>
      <c r="I126" s="3459"/>
    </row>
    <row r="127" spans="1:11" ht="18.75" customHeight="1">
      <c r="A127" s="3412" t="s">
        <v>2320</v>
      </c>
      <c r="B127" s="3412"/>
      <c r="C127" s="3412"/>
      <c r="D127" s="3462" t="e">
        <f>NUMBERSTRING(INT(D126*10000),2)&amp;"元整"</f>
        <v>#VALUE!</v>
      </c>
      <c r="E127" s="3464"/>
      <c r="F127" s="3464"/>
      <c r="G127" s="3464"/>
      <c r="H127" s="3464"/>
      <c r="I127" s="3463"/>
    </row>
    <row r="128" spans="1:11" ht="21.75" customHeight="1">
      <c r="A128" s="3465" t="s">
        <v>2321</v>
      </c>
      <c r="B128" s="3465"/>
      <c r="C128" s="3465"/>
      <c r="D128" s="3465"/>
      <c r="E128" s="3465"/>
      <c r="F128" s="3465"/>
      <c r="G128" s="3465"/>
      <c r="H128" s="3465"/>
      <c r="I128" s="346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zoomScale="80" zoomScaleNormal="80" workbookViewId="0">
      <selection activeCell="C46" sqref="C4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21636</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2983</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5818</v>
      </c>
      <c r="D5" s="253" t="s">
        <v>2337</v>
      </c>
      <c r="E5" s="254" t="s">
        <v>2338</v>
      </c>
      <c r="F5" s="254" t="s">
        <v>2339</v>
      </c>
      <c r="G5" s="255"/>
    </row>
    <row r="6" spans="1:9" s="256" customFormat="1" ht="13.5" customHeight="1">
      <c r="A6" s="949" t="s">
        <v>2340</v>
      </c>
      <c r="B6" s="257" t="s">
        <v>2341</v>
      </c>
      <c r="C6" s="258">
        <f>'土地比较法-工业'!B2</f>
        <v>4309</v>
      </c>
      <c r="D6" s="259"/>
      <c r="E6" s="260"/>
      <c r="F6" s="260"/>
      <c r="G6" s="261"/>
    </row>
    <row r="7" spans="1:9" s="256" customFormat="1" ht="13.5" customHeight="1">
      <c r="A7" s="949" t="s">
        <v>2342</v>
      </c>
      <c r="B7" s="257" t="s">
        <v>2343</v>
      </c>
      <c r="C7" s="262">
        <f>ROUND(C6*F7,0)</f>
        <v>131</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116</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279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276</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514</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514</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7269</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11289</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9891</v>
      </c>
      <c r="D34" s="259"/>
      <c r="E34" s="262"/>
      <c r="F34" s="299">
        <f ca="1">IF('数据-取费表'!B24=0,1,IF(B1="",'数据-取费表'!N16,INDIRECT("'数据-取费表'!n"&amp;$G$1)))</f>
        <v>0.58899999999999997</v>
      </c>
      <c r="G34" s="261" t="s">
        <v>2394</v>
      </c>
    </row>
    <row r="35" spans="1:7" ht="13.5" customHeight="1">
      <c r="A35" s="951" t="s">
        <v>796</v>
      </c>
      <c r="B35" s="257" t="s">
        <v>2395</v>
      </c>
      <c r="C35" s="262">
        <f ca="1">ROUND(C34*F35,0)</f>
        <v>396</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854</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226</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270</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265</v>
      </c>
      <c r="D42" s="280"/>
      <c r="E42" s="280"/>
      <c r="F42" s="281"/>
      <c r="G42" s="3537" t="s">
        <v>2412</v>
      </c>
    </row>
    <row r="43" spans="1:7" ht="13.5" customHeight="1">
      <c r="A43" s="951" t="s">
        <v>792</v>
      </c>
      <c r="B43" s="257" t="s">
        <v>2413</v>
      </c>
      <c r="C43" s="280">
        <f ca="1">ROUND(IF('数据-取费表'!B22&lt;=1,C39*F22*'数据-取费表'!B21/2,C39*(POWER((1+F22),'数据-取费表'!B21/2)-1)),0)</f>
        <v>5</v>
      </c>
      <c r="D43" s="280"/>
      <c r="E43" s="280"/>
      <c r="F43" s="281"/>
      <c r="G43" s="3538"/>
    </row>
    <row r="44" spans="1:7" ht="13.5" customHeight="1">
      <c r="A44" s="951" t="s">
        <v>793</v>
      </c>
      <c r="B44" s="257" t="s">
        <v>2414</v>
      </c>
      <c r="C44" s="280">
        <f ca="1">ROUND(IF('数据-取费表'!B22&lt;=1,C40*F22*'数据-取费表'!B21/2,C40*(POWER((1+F22),'数据-取费表'!B21/2)-1)),4)</f>
        <v>5.0000000000000001E-4</v>
      </c>
      <c r="D44" s="280"/>
      <c r="E44" s="280"/>
      <c r="F44" s="281"/>
      <c r="G44" s="3539"/>
    </row>
    <row r="45" spans="1:7" s="256" customFormat="1" ht="13.5" customHeight="1">
      <c r="A45" s="297" t="s">
        <v>2415</v>
      </c>
      <c r="B45" s="286" t="s">
        <v>2381</v>
      </c>
      <c r="C45" s="287">
        <f ca="1">C46</f>
        <v>1497</v>
      </c>
      <c r="D45" s="277">
        <f ca="1">C47</f>
        <v>2.5999999999999999E-3</v>
      </c>
      <c r="E45" s="278" t="s">
        <v>2407</v>
      </c>
      <c r="F45" s="288"/>
      <c r="G45" s="289" t="s">
        <v>2416</v>
      </c>
    </row>
    <row r="46" spans="1:7" s="256" customFormat="1" ht="13.5" customHeight="1">
      <c r="A46" s="951" t="s">
        <v>791</v>
      </c>
      <c r="B46" s="290" t="s">
        <v>2417</v>
      </c>
      <c r="C46" s="291">
        <f ca="1">ROUND((C33+C39)*F27,0)</f>
        <v>1497</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14367</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14367</v>
      </c>
      <c r="D51" s="274"/>
      <c r="E51" s="274"/>
      <c r="F51" s="306"/>
      <c r="G51" s="276" t="s">
        <v>2428</v>
      </c>
    </row>
    <row r="52" spans="1:7" s="250" customFormat="1" ht="16.5" thickBot="1">
      <c r="A52" s="307" t="s">
        <v>2429</v>
      </c>
      <c r="B52" s="308"/>
      <c r="C52" s="309">
        <f ca="1">C31+C51</f>
        <v>21636</v>
      </c>
      <c r="D52" s="308"/>
      <c r="E52" s="308"/>
      <c r="F52" s="308"/>
      <c r="G52" s="310"/>
    </row>
    <row r="55" spans="1:7" ht="15">
      <c r="B55" s="312" t="s">
        <v>2430</v>
      </c>
      <c r="C55" s="313"/>
    </row>
    <row r="56" spans="1:7">
      <c r="B56" s="315" t="s">
        <v>1513</v>
      </c>
      <c r="C56" s="317">
        <f ca="1">1-C57</f>
        <v>0.33599999999999997</v>
      </c>
    </row>
    <row r="57" spans="1:7">
      <c r="B57" s="315" t="s">
        <v>1514</v>
      </c>
      <c r="C57" s="316">
        <f ca="1">ROUND(C51/C52,3)</f>
        <v>0.66400000000000003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7" t="s">
        <v>2459</v>
      </c>
    </row>
    <row r="43" spans="1:7" ht="13.5" customHeight="1">
      <c r="A43" s="951" t="s">
        <v>792</v>
      </c>
      <c r="B43" s="257" t="s">
        <v>2413</v>
      </c>
      <c r="C43" s="280">
        <f ca="1">ROUND(IF('数据-取费表'!B22&lt;=1,C39*F22*'数据-取费表'!B20/2,C39*(POWER((1+F22),'数据-取费表'!B20/2)-1)),0)</f>
        <v>135820</v>
      </c>
      <c r="D43" s="280"/>
      <c r="E43" s="280"/>
      <c r="F43" s="281"/>
      <c r="G43" s="3538"/>
    </row>
    <row r="44" spans="1:7" ht="13.5" customHeight="1">
      <c r="A44" s="951" t="s">
        <v>793</v>
      </c>
      <c r="B44" s="257" t="s">
        <v>2414</v>
      </c>
      <c r="C44" s="280">
        <f ca="1">ROUND(IF('数据-取费表'!B22&lt;=1,C40*F22*'数据-取费表'!B20/2,C40*(POWER((1+F22),'数据-取费表'!B20/2)-1)),4)</f>
        <v>6.9999999999999999E-4</v>
      </c>
      <c r="D44" s="280"/>
      <c r="E44" s="280"/>
      <c r="F44" s="281"/>
      <c r="G44" s="3539"/>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72" t="s">
        <v>2560</v>
      </c>
      <c r="Q15" s="1810" t="str">
        <f t="shared" si="6"/>
        <v>产业集聚程度</v>
      </c>
      <c r="R15" s="772" t="s">
        <v>17</v>
      </c>
      <c r="S15" s="773">
        <f t="shared" si="0"/>
        <v>100</v>
      </c>
      <c r="T15" s="772" t="s">
        <v>17</v>
      </c>
      <c r="U15" s="773">
        <f t="shared" si="1"/>
        <v>100</v>
      </c>
      <c r="V15" s="772" t="s">
        <v>17</v>
      </c>
      <c r="W15" s="773">
        <f t="shared" si="2"/>
        <v>100</v>
      </c>
      <c r="X15" s="1813"/>
      <c r="Y15" s="3572"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73"/>
      <c r="Q18" s="1810"/>
      <c r="R18" s="772"/>
      <c r="S18" s="773"/>
      <c r="T18" s="772"/>
      <c r="U18" s="773"/>
      <c r="V18" s="772"/>
      <c r="W18" s="773"/>
      <c r="X18" s="1813"/>
      <c r="Y18" s="3573"/>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73"/>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73"/>
      <c r="Q20" s="1810"/>
      <c r="R20" s="772"/>
      <c r="S20" s="773"/>
      <c r="T20" s="772"/>
      <c r="U20" s="773"/>
      <c r="V20" s="772"/>
      <c r="W20" s="773"/>
      <c r="X20" s="1813"/>
      <c r="Y20" s="3573"/>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73"/>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73"/>
      <c r="Q22" s="1810"/>
      <c r="R22" s="772"/>
      <c r="S22" s="773"/>
      <c r="T22" s="772"/>
      <c r="U22" s="773"/>
      <c r="V22" s="772"/>
      <c r="W22" s="773"/>
      <c r="X22" s="1813"/>
      <c r="Y22" s="3573"/>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73"/>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73"/>
      <c r="Q24" s="1810"/>
      <c r="R24" s="772"/>
      <c r="S24" s="773"/>
      <c r="T24" s="772"/>
      <c r="U24" s="773"/>
      <c r="V24" s="772"/>
      <c r="W24" s="773"/>
      <c r="X24" s="1813"/>
      <c r="Y24" s="3573"/>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73"/>
      <c r="Q25" s="1810">
        <f>B25</f>
        <v>111</v>
      </c>
      <c r="R25" s="772" t="s">
        <v>17</v>
      </c>
      <c r="S25" s="773">
        <f>F25</f>
        <v>100</v>
      </c>
      <c r="T25" s="772" t="s">
        <v>17</v>
      </c>
      <c r="U25" s="773">
        <f>H25</f>
        <v>100</v>
      </c>
      <c r="V25" s="772" t="s">
        <v>17</v>
      </c>
      <c r="W25" s="773">
        <f>J25</f>
        <v>100</v>
      </c>
      <c r="X25" s="1813"/>
      <c r="Y25" s="3573"/>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73"/>
      <c r="Q26" s="1810">
        <f t="shared" ref="Q26:Q40" si="11">B26</f>
        <v>111</v>
      </c>
      <c r="R26" s="772" t="s">
        <v>17</v>
      </c>
      <c r="S26" s="773">
        <f>F26</f>
        <v>100</v>
      </c>
      <c r="T26" s="772" t="s">
        <v>17</v>
      </c>
      <c r="U26" s="773">
        <f>H26</f>
        <v>100</v>
      </c>
      <c r="V26" s="772" t="s">
        <v>17</v>
      </c>
      <c r="W26" s="773">
        <f>J26</f>
        <v>100</v>
      </c>
      <c r="X26" s="1813"/>
      <c r="Y26" s="3573"/>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73"/>
      <c r="Q27" s="1795">
        <f t="shared" si="11"/>
        <v>111</v>
      </c>
      <c r="R27" s="768" t="s">
        <v>17</v>
      </c>
      <c r="S27" s="769">
        <f>F27</f>
        <v>100</v>
      </c>
      <c r="T27" s="768" t="s">
        <v>17</v>
      </c>
      <c r="U27" s="769">
        <f>H27</f>
        <v>100</v>
      </c>
      <c r="V27" s="768" t="s">
        <v>17</v>
      </c>
      <c r="W27" s="769">
        <f>J27</f>
        <v>100</v>
      </c>
      <c r="X27" s="770"/>
      <c r="Y27" s="3573"/>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73"/>
      <c r="Q28" s="1810">
        <f t="shared" si="11"/>
        <v>111</v>
      </c>
      <c r="R28" s="772" t="s">
        <v>17</v>
      </c>
      <c r="S28" s="773">
        <f t="shared" ref="S28:S40" si="12">F28</f>
        <v>100</v>
      </c>
      <c r="T28" s="772" t="s">
        <v>17</v>
      </c>
      <c r="U28" s="773">
        <f t="shared" ref="U28:U40" si="13">H28</f>
        <v>100</v>
      </c>
      <c r="V28" s="772" t="s">
        <v>17</v>
      </c>
      <c r="W28" s="773">
        <f t="shared" ref="W28:W40" si="14">J28</f>
        <v>100</v>
      </c>
      <c r="X28" s="1813"/>
      <c r="Y28" s="3573"/>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74" t="s">
        <v>2565</v>
      </c>
      <c r="Q29" s="1810" t="str">
        <f t="shared" si="11"/>
        <v>建筑类型</v>
      </c>
      <c r="R29" s="772" t="s">
        <v>17</v>
      </c>
      <c r="S29" s="773">
        <f t="shared" si="12"/>
        <v>100</v>
      </c>
      <c r="T29" s="772" t="s">
        <v>17</v>
      </c>
      <c r="U29" s="773">
        <f t="shared" si="13"/>
        <v>100</v>
      </c>
      <c r="V29" s="772" t="s">
        <v>17</v>
      </c>
      <c r="W29" s="773">
        <f t="shared" si="14"/>
        <v>100</v>
      </c>
      <c r="X29" s="1813"/>
      <c r="Y29" s="3575"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75"/>
      <c r="Q30" s="774" t="str">
        <f t="shared" si="11"/>
        <v>项目建筑规模</v>
      </c>
      <c r="R30" s="775" t="s">
        <v>17</v>
      </c>
      <c r="S30" s="776" t="e">
        <f t="shared" si="12"/>
        <v>#N/A</v>
      </c>
      <c r="T30" s="775" t="s">
        <v>17</v>
      </c>
      <c r="U30" s="776" t="e">
        <f t="shared" si="13"/>
        <v>#N/A</v>
      </c>
      <c r="V30" s="775" t="s">
        <v>17</v>
      </c>
      <c r="W30" s="776" t="e">
        <f t="shared" si="14"/>
        <v>#N/A</v>
      </c>
      <c r="X30" s="777"/>
      <c r="Y30" s="3575"/>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75"/>
      <c r="Q31" s="1810" t="str">
        <f t="shared" si="11"/>
        <v>建筑结构</v>
      </c>
      <c r="R31" s="772" t="s">
        <v>17</v>
      </c>
      <c r="S31" s="773">
        <f t="shared" si="12"/>
        <v>100</v>
      </c>
      <c r="T31" s="772" t="s">
        <v>17</v>
      </c>
      <c r="U31" s="773">
        <f t="shared" si="13"/>
        <v>100</v>
      </c>
      <c r="V31" s="772" t="s">
        <v>17</v>
      </c>
      <c r="W31" s="773">
        <f t="shared" si="14"/>
        <v>100</v>
      </c>
      <c r="X31" s="1813"/>
      <c r="Y31" s="3575"/>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75"/>
      <c r="Q32" s="1810" t="str">
        <f t="shared" si="11"/>
        <v>公共部分装修</v>
      </c>
      <c r="R32" s="772" t="s">
        <v>17</v>
      </c>
      <c r="S32" s="773">
        <f t="shared" si="12"/>
        <v>100</v>
      </c>
      <c r="T32" s="772" t="s">
        <v>17</v>
      </c>
      <c r="U32" s="773">
        <f t="shared" si="13"/>
        <v>100</v>
      </c>
      <c r="V32" s="772" t="s">
        <v>17</v>
      </c>
      <c r="W32" s="773">
        <f t="shared" si="14"/>
        <v>100</v>
      </c>
      <c r="X32" s="1813"/>
      <c r="Y32" s="3575"/>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75"/>
      <c r="Q33" s="1810" t="str">
        <f t="shared" si="11"/>
        <v>成新度</v>
      </c>
      <c r="R33" s="772" t="s">
        <v>17</v>
      </c>
      <c r="S33" s="773" t="e">
        <f t="shared" si="12"/>
        <v>#N/A</v>
      </c>
      <c r="T33" s="772" t="s">
        <v>17</v>
      </c>
      <c r="U33" s="773" t="e">
        <f t="shared" si="13"/>
        <v>#N/A</v>
      </c>
      <c r="V33" s="772" t="s">
        <v>17</v>
      </c>
      <c r="W33" s="773" t="e">
        <f t="shared" si="14"/>
        <v>#N/A</v>
      </c>
      <c r="X33" s="1813"/>
      <c r="Y33" s="3575"/>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75"/>
      <c r="Q34" s="1795" t="str">
        <f t="shared" si="11"/>
        <v>物业管理</v>
      </c>
      <c r="R34" s="768" t="s">
        <v>17</v>
      </c>
      <c r="S34" s="769">
        <f t="shared" si="12"/>
        <v>100</v>
      </c>
      <c r="T34" s="768" t="s">
        <v>17</v>
      </c>
      <c r="U34" s="769">
        <f t="shared" si="13"/>
        <v>100</v>
      </c>
      <c r="V34" s="768" t="s">
        <v>17</v>
      </c>
      <c r="W34" s="769">
        <f t="shared" si="14"/>
        <v>100</v>
      </c>
      <c r="X34" s="770"/>
      <c r="Y34" s="3575"/>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75" t="s">
        <v>2565</v>
      </c>
      <c r="Q35" s="1810" t="str">
        <f t="shared" si="11"/>
        <v>市政基础设施</v>
      </c>
      <c r="R35" s="772" t="s">
        <v>17</v>
      </c>
      <c r="S35" s="773">
        <f t="shared" si="12"/>
        <v>100</v>
      </c>
      <c r="T35" s="772" t="s">
        <v>17</v>
      </c>
      <c r="U35" s="773">
        <f t="shared" si="13"/>
        <v>100</v>
      </c>
      <c r="V35" s="772" t="s">
        <v>17</v>
      </c>
      <c r="W35" s="773">
        <f t="shared" si="14"/>
        <v>100</v>
      </c>
      <c r="X35" s="1813"/>
      <c r="Y35" s="3575"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75"/>
      <c r="Q36" s="1810" t="str">
        <f t="shared" si="11"/>
        <v>内部装修</v>
      </c>
      <c r="R36" s="772" t="s">
        <v>17</v>
      </c>
      <c r="S36" s="773">
        <f t="shared" si="12"/>
        <v>100</v>
      </c>
      <c r="T36" s="772" t="s">
        <v>17</v>
      </c>
      <c r="U36" s="773">
        <f t="shared" si="13"/>
        <v>100</v>
      </c>
      <c r="V36" s="772" t="s">
        <v>17</v>
      </c>
      <c r="W36" s="773">
        <f t="shared" si="14"/>
        <v>100</v>
      </c>
      <c r="X36" s="1813"/>
      <c r="Y36" s="3575"/>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75"/>
      <c r="Q37" s="1810" t="str">
        <f t="shared" si="11"/>
        <v>内部装修状况</v>
      </c>
      <c r="R37" s="772" t="s">
        <v>17</v>
      </c>
      <c r="S37" s="773">
        <f t="shared" si="12"/>
        <v>100</v>
      </c>
      <c r="T37" s="772" t="s">
        <v>17</v>
      </c>
      <c r="U37" s="773">
        <f t="shared" si="13"/>
        <v>100</v>
      </c>
      <c r="V37" s="772" t="s">
        <v>17</v>
      </c>
      <c r="W37" s="773">
        <f t="shared" si="14"/>
        <v>100</v>
      </c>
      <c r="X37" s="1813"/>
      <c r="Y37" s="3575"/>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75"/>
      <c r="Q38" s="774">
        <f t="shared" si="11"/>
        <v>111</v>
      </c>
      <c r="R38" s="775" t="s">
        <v>17</v>
      </c>
      <c r="S38" s="776">
        <f t="shared" si="12"/>
        <v>100</v>
      </c>
      <c r="T38" s="775" t="s">
        <v>17</v>
      </c>
      <c r="U38" s="776">
        <f t="shared" si="13"/>
        <v>100</v>
      </c>
      <c r="V38" s="775" t="s">
        <v>17</v>
      </c>
      <c r="W38" s="776">
        <f t="shared" si="14"/>
        <v>100</v>
      </c>
      <c r="X38" s="777"/>
      <c r="Y38" s="3575"/>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75"/>
      <c r="Q39" s="1810">
        <f t="shared" si="11"/>
        <v>111</v>
      </c>
      <c r="R39" s="772" t="s">
        <v>17</v>
      </c>
      <c r="S39" s="773">
        <f t="shared" si="12"/>
        <v>100</v>
      </c>
      <c r="T39" s="772" t="s">
        <v>17</v>
      </c>
      <c r="U39" s="773">
        <f t="shared" si="13"/>
        <v>100</v>
      </c>
      <c r="V39" s="772" t="s">
        <v>17</v>
      </c>
      <c r="W39" s="773">
        <f t="shared" si="14"/>
        <v>100</v>
      </c>
      <c r="X39" s="1813"/>
      <c r="Y39" s="3575"/>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76"/>
      <c r="Q40" s="1810">
        <f t="shared" si="11"/>
        <v>111</v>
      </c>
      <c r="R40" s="772" t="s">
        <v>17</v>
      </c>
      <c r="S40" s="773">
        <f t="shared" si="12"/>
        <v>100</v>
      </c>
      <c r="T40" s="772" t="s">
        <v>17</v>
      </c>
      <c r="U40" s="773">
        <f t="shared" si="13"/>
        <v>100</v>
      </c>
      <c r="V40" s="772" t="s">
        <v>17</v>
      </c>
      <c r="W40" s="773">
        <f t="shared" si="14"/>
        <v>100</v>
      </c>
      <c r="X40" s="1813"/>
      <c r="Y40" s="3576"/>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57" t="str">
        <f>A41</f>
        <v>成交单价（元/平方米）</v>
      </c>
      <c r="Q41" s="3557"/>
      <c r="R41" s="3577">
        <f>E41</f>
        <v>0</v>
      </c>
      <c r="S41" s="3577"/>
      <c r="T41" s="3577">
        <f>G41</f>
        <v>0</v>
      </c>
      <c r="U41" s="3577"/>
      <c r="V41" s="3577">
        <f>I41</f>
        <v>0</v>
      </c>
      <c r="W41" s="3577"/>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57" t="str">
        <f>A42</f>
        <v>比较价值（元/平方米）</v>
      </c>
      <c r="Q42" s="3557"/>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78" t="str">
        <f>A43</f>
        <v>估价对象XX用房的比较价值（楼面单价，元/平方米）</v>
      </c>
      <c r="Q43" s="3579"/>
      <c r="R43" s="3580" t="e">
        <f>IF(F1="售价",ROUND(AVERAGE(R42:V42),0),ROUND(AVERAGE(R42:V42),1))</f>
        <v>#DIV/0!</v>
      </c>
      <c r="S43" s="3580"/>
      <c r="T43" s="3580"/>
      <c r="U43" s="3580"/>
      <c r="V43" s="3580"/>
      <c r="W43" s="3580"/>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57" sqref="B57"/>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4309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594</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tr">
        <f>'[1]比较法-工业'!$E$7:$F$7</f>
        <v>北京高端制造业(房山)基地03街区F区工业用地项目</v>
      </c>
      <c r="F5" s="3550"/>
      <c r="G5" s="3549" t="str">
        <f>'[1]比较法-工业'!$G$7:$H$7</f>
        <v>北京高端制造业基地03街区R区二期工业用地项目</v>
      </c>
      <c r="H5" s="3550"/>
      <c r="I5" s="3549" t="str">
        <f>'[1]比较法-工业'!$I$7:$J$7</f>
        <v>北京高端制造业基地03街区R区一期工业用地项目</v>
      </c>
      <c r="J5" s="3550"/>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86" t="s">
        <v>2797</v>
      </c>
      <c r="D6" s="3587"/>
      <c r="E6" s="3549" t="str">
        <f>'比较法-工业2'!E8:F8</f>
        <v>窦店</v>
      </c>
      <c r="F6" s="3550"/>
      <c r="G6" s="3588" t="s">
        <v>3304</v>
      </c>
      <c r="H6" s="3550"/>
      <c r="I6" s="3549" t="str">
        <f>'比较法-工业2'!I8:J8</f>
        <v>窦店</v>
      </c>
      <c r="J6" s="3550"/>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t="str">
        <f>'[1]比较法-工业'!$E$9</f>
        <v>2016-11-24</v>
      </c>
      <c r="F7" s="411">
        <f>SUMIF(65:65,YEAR(E7)&amp;"-"&amp;INT((MONTH(E7)+2)/3),66:66)</f>
        <v>94</v>
      </c>
      <c r="G7" s="2695" t="str">
        <f>'[1]比较法-工业'!$G$9</f>
        <v>2016-02-01</v>
      </c>
      <c r="H7" s="409">
        <f>SUMIF(65:65,YEAR(G7)&amp;"-"&amp;INT((MONTH(G7)+2)/3),66:66)</f>
        <v>91</v>
      </c>
      <c r="I7" s="2695" t="str">
        <f>'[1]比较法-工业'!$I$9</f>
        <v>2016-01-28</v>
      </c>
      <c r="J7" s="409">
        <f>SUMIF(65:65,YEAR(I7)&amp;"-"&amp;INT((MONTH(I7)+2)/3),66:66)</f>
        <v>91</v>
      </c>
      <c r="K7" s="609"/>
      <c r="L7" s="1132"/>
      <c r="M7" s="1133"/>
      <c r="N7" s="1133"/>
      <c r="O7" s="1133"/>
      <c r="P7" s="3543" t="s">
        <v>2549</v>
      </c>
      <c r="Q7" s="3571"/>
      <c r="R7" s="768" t="s">
        <v>17</v>
      </c>
      <c r="S7" s="769">
        <f t="shared" ref="S7:S15" si="0">F7</f>
        <v>94</v>
      </c>
      <c r="T7" s="768" t="s">
        <v>17</v>
      </c>
      <c r="U7" s="769">
        <f t="shared" ref="U7:U15" si="1">H7</f>
        <v>91</v>
      </c>
      <c r="V7" s="768" t="s">
        <v>17</v>
      </c>
      <c r="W7" s="769">
        <f t="shared" ref="W7:W15" si="2">J7</f>
        <v>91</v>
      </c>
      <c r="X7" s="770"/>
      <c r="Y7" s="3543" t="s">
        <v>2549</v>
      </c>
      <c r="Z7" s="3544"/>
      <c r="AA7" s="771">
        <f>D7/F7</f>
        <v>1.0638297872340425</v>
      </c>
      <c r="AB7" s="771">
        <f>D7/H7</f>
        <v>1.098901098901099</v>
      </c>
      <c r="AC7" s="771">
        <f>D7/J7</f>
        <v>1.098901098901099</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43" t="s">
        <v>2552</v>
      </c>
      <c r="Q8" s="3544"/>
      <c r="R8" s="768" t="s">
        <v>17</v>
      </c>
      <c r="S8" s="769">
        <f t="shared" si="0"/>
        <v>100</v>
      </c>
      <c r="T8" s="768" t="s">
        <v>17</v>
      </c>
      <c r="U8" s="769">
        <f t="shared" si="1"/>
        <v>100</v>
      </c>
      <c r="V8" s="768" t="s">
        <v>17</v>
      </c>
      <c r="W8" s="769">
        <f t="shared" si="2"/>
        <v>100</v>
      </c>
      <c r="X8" s="770"/>
      <c r="Y8" s="3543" t="s">
        <v>2552</v>
      </c>
      <c r="Z8" s="3544"/>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v>1.2</v>
      </c>
      <c r="H11" s="134">
        <f>LOOKUP(G11,75:75,76:76)-LOOKUP(C11,75:75,76:76)+100</f>
        <v>100</v>
      </c>
      <c r="I11" s="427">
        <f>'比较法-工业2'!I13</f>
        <v>1.2</v>
      </c>
      <c r="J11" s="134">
        <f>LOOKUP(I11,75:75,76:76)-LOOKUP(C11,75:75,76:76)+100</f>
        <v>100</v>
      </c>
      <c r="K11" s="671"/>
      <c r="L11" s="1138"/>
      <c r="M11" s="1131"/>
      <c r="N11" s="1131"/>
      <c r="O11" s="1139"/>
      <c r="P11" s="3557"/>
      <c r="Q11" s="1795" t="str">
        <f t="shared" si="6"/>
        <v>容积率</v>
      </c>
      <c r="R11" s="768" t="s">
        <v>17</v>
      </c>
      <c r="S11" s="769">
        <f t="shared" si="0"/>
        <v>100</v>
      </c>
      <c r="T11" s="768" t="s">
        <v>17</v>
      </c>
      <c r="U11" s="769">
        <f t="shared" si="1"/>
        <v>100</v>
      </c>
      <c r="V11" s="768" t="s">
        <v>17</v>
      </c>
      <c r="W11" s="769">
        <f t="shared" si="2"/>
        <v>100</v>
      </c>
      <c r="X11" s="770"/>
      <c r="Y11" s="3412"/>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40"/>
      <c r="M15" s="1131"/>
      <c r="N15" s="1131"/>
      <c r="O15" s="1139"/>
      <c r="P15" s="3572" t="s">
        <v>2560</v>
      </c>
      <c r="Q15" s="1810" t="str">
        <f t="shared" si="6"/>
        <v>产业集聚程度</v>
      </c>
      <c r="R15" s="772" t="s">
        <v>17</v>
      </c>
      <c r="S15" s="773">
        <f t="shared" si="0"/>
        <v>110</v>
      </c>
      <c r="T15" s="772" t="s">
        <v>17</v>
      </c>
      <c r="U15" s="773">
        <f t="shared" si="1"/>
        <v>110</v>
      </c>
      <c r="V15" s="772" t="s">
        <v>17</v>
      </c>
      <c r="W15" s="773">
        <f t="shared" si="2"/>
        <v>110</v>
      </c>
      <c r="X15" s="1813"/>
      <c r="Y15" s="3572" t="s">
        <v>2560</v>
      </c>
      <c r="Z15" s="1814" t="str">
        <f t="shared" si="7"/>
        <v>产业集聚程度</v>
      </c>
      <c r="AA15" s="1811">
        <f t="shared" si="3"/>
        <v>0.90909090909090906</v>
      </c>
      <c r="AB15" s="1811">
        <f t="shared" si="4"/>
        <v>0.90909090909090906</v>
      </c>
      <c r="AC15" s="1811">
        <f t="shared" si="5"/>
        <v>0.90909090909090906</v>
      </c>
    </row>
    <row r="16" spans="1:29" ht="15">
      <c r="A16" s="426"/>
      <c r="B16" s="628"/>
      <c r="C16" s="3337" t="s">
        <v>3305</v>
      </c>
      <c r="D16" s="446"/>
      <c r="E16" s="3338" t="s">
        <v>3306</v>
      </c>
      <c r="F16" s="446"/>
      <c r="G16" s="3338" t="s">
        <v>3306</v>
      </c>
      <c r="H16" s="448"/>
      <c r="I16" s="3338" t="s">
        <v>3306</v>
      </c>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73"/>
      <c r="Q19" s="1810" t="str">
        <f t="shared" ref="Q19:Q33" si="8">B19</f>
        <v>区域土地利用方向</v>
      </c>
      <c r="R19" s="772" t="s">
        <v>17</v>
      </c>
      <c r="S19" s="773">
        <f>F19</f>
        <v>100</v>
      </c>
      <c r="T19" s="772" t="s">
        <v>17</v>
      </c>
      <c r="U19" s="773">
        <f>H19</f>
        <v>100</v>
      </c>
      <c r="V19" s="772" t="s">
        <v>17</v>
      </c>
      <c r="W19" s="773">
        <f>J19</f>
        <v>100</v>
      </c>
      <c r="X19" s="1813"/>
      <c r="Y19" s="3573"/>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73"/>
      <c r="Q20" s="1810"/>
      <c r="R20" s="772"/>
      <c r="S20" s="773"/>
      <c r="T20" s="772"/>
      <c r="U20" s="773"/>
      <c r="V20" s="772"/>
      <c r="W20" s="773"/>
      <c r="X20" s="1813"/>
      <c r="Y20" s="3573"/>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73"/>
      <c r="Q21" s="1810" t="str">
        <f t="shared" si="8"/>
        <v>环境状况</v>
      </c>
      <c r="R21" s="772" t="s">
        <v>17</v>
      </c>
      <c r="S21" s="773">
        <f>F21</f>
        <v>100</v>
      </c>
      <c r="T21" s="772" t="s">
        <v>17</v>
      </c>
      <c r="U21" s="773">
        <f>H21</f>
        <v>100</v>
      </c>
      <c r="V21" s="772" t="s">
        <v>17</v>
      </c>
      <c r="W21" s="773">
        <f>J21</f>
        <v>100</v>
      </c>
      <c r="X21" s="1813"/>
      <c r="Y21" s="3573"/>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3146</v>
      </c>
      <c r="H22" s="446"/>
      <c r="I22" s="3337" t="s">
        <v>3295</v>
      </c>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73"/>
      <c r="Q23" s="1795" t="str">
        <f t="shared" si="8"/>
        <v>公共配套设施</v>
      </c>
      <c r="R23" s="768" t="s">
        <v>17</v>
      </c>
      <c r="S23" s="769">
        <f>F23</f>
        <v>100</v>
      </c>
      <c r="T23" s="768" t="s">
        <v>17</v>
      </c>
      <c r="U23" s="769">
        <f>H23</f>
        <v>100</v>
      </c>
      <c r="V23" s="768" t="s">
        <v>17</v>
      </c>
      <c r="W23" s="769">
        <f>J23</f>
        <v>100</v>
      </c>
      <c r="X23" s="770"/>
      <c r="Y23" s="3573"/>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73"/>
      <c r="Q24" s="1795"/>
      <c r="R24" s="768"/>
      <c r="S24" s="769"/>
      <c r="T24" s="768"/>
      <c r="U24" s="769"/>
      <c r="V24" s="768"/>
      <c r="W24" s="769"/>
      <c r="X24" s="770"/>
      <c r="Y24" s="3573"/>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73"/>
      <c r="Q25" s="1795" t="str">
        <f t="shared" ref="Q25" si="9">B25</f>
        <v>基础设施水平</v>
      </c>
      <c r="R25" s="768" t="s">
        <v>17</v>
      </c>
      <c r="S25" s="769">
        <f>F25</f>
        <v>100</v>
      </c>
      <c r="T25" s="768" t="s">
        <v>17</v>
      </c>
      <c r="U25" s="769">
        <f>H25</f>
        <v>100</v>
      </c>
      <c r="V25" s="768" t="s">
        <v>17</v>
      </c>
      <c r="W25" s="769">
        <f>J25</f>
        <v>100</v>
      </c>
      <c r="X25" s="770"/>
      <c r="Y25" s="3573"/>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73"/>
      <c r="Q26" s="1795"/>
      <c r="R26" s="768"/>
      <c r="S26" s="769"/>
      <c r="T26" s="768"/>
      <c r="U26" s="769"/>
      <c r="V26" s="768"/>
      <c r="W26" s="769"/>
      <c r="X26" s="770"/>
      <c r="Y26" s="3573"/>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73"/>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73"/>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73"/>
      <c r="Q28" s="1810" t="str">
        <f t="shared" si="8"/>
        <v>毗邻道路的类型与等级</v>
      </c>
      <c r="R28" s="772" t="s">
        <v>17</v>
      </c>
      <c r="S28" s="773">
        <f t="shared" si="10"/>
        <v>100</v>
      </c>
      <c r="T28" s="772" t="s">
        <v>17</v>
      </c>
      <c r="U28" s="773">
        <f t="shared" si="11"/>
        <v>100</v>
      </c>
      <c r="V28" s="772" t="s">
        <v>17</v>
      </c>
      <c r="W28" s="773">
        <f t="shared" si="12"/>
        <v>100</v>
      </c>
      <c r="X28" s="1813"/>
      <c r="Y28" s="3573"/>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73"/>
      <c r="Q29" s="1810"/>
      <c r="R29" s="772"/>
      <c r="S29" s="773"/>
      <c r="T29" s="772"/>
      <c r="U29" s="773"/>
      <c r="V29" s="772"/>
      <c r="W29" s="773"/>
      <c r="X29" s="1813"/>
      <c r="Y29" s="3573"/>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73"/>
      <c r="Q30" s="1810" t="str">
        <f t="shared" si="8"/>
        <v>土地级别</v>
      </c>
      <c r="R30" s="772" t="s">
        <v>17</v>
      </c>
      <c r="S30" s="773">
        <f t="shared" si="10"/>
        <v>100</v>
      </c>
      <c r="T30" s="772" t="s">
        <v>17</v>
      </c>
      <c r="U30" s="773">
        <f t="shared" si="11"/>
        <v>100</v>
      </c>
      <c r="V30" s="772" t="s">
        <v>17</v>
      </c>
      <c r="W30" s="773">
        <f t="shared" si="12"/>
        <v>100</v>
      </c>
      <c r="X30" s="1813"/>
      <c r="Y30" s="3573"/>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73"/>
      <c r="Q31" s="1810">
        <f t="shared" si="8"/>
        <v>111</v>
      </c>
      <c r="R31" s="772" t="s">
        <v>17</v>
      </c>
      <c r="S31" s="773">
        <f t="shared" si="10"/>
        <v>100</v>
      </c>
      <c r="T31" s="772" t="s">
        <v>17</v>
      </c>
      <c r="U31" s="773">
        <f t="shared" si="11"/>
        <v>100</v>
      </c>
      <c r="V31" s="772" t="s">
        <v>17</v>
      </c>
      <c r="W31" s="773">
        <f t="shared" si="12"/>
        <v>100</v>
      </c>
      <c r="X31" s="1813"/>
      <c r="Y31" s="3573"/>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74" t="s">
        <v>2565</v>
      </c>
      <c r="Q32" s="1810">
        <f t="shared" si="8"/>
        <v>111</v>
      </c>
      <c r="R32" s="772" t="s">
        <v>17</v>
      </c>
      <c r="S32" s="773">
        <f t="shared" si="10"/>
        <v>100</v>
      </c>
      <c r="T32" s="772" t="s">
        <v>17</v>
      </c>
      <c r="U32" s="773">
        <f t="shared" si="11"/>
        <v>100</v>
      </c>
      <c r="V32" s="772" t="s">
        <v>17</v>
      </c>
      <c r="W32" s="773">
        <f t="shared" si="12"/>
        <v>100</v>
      </c>
      <c r="X32" s="1813"/>
      <c r="Y32" s="3575"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75"/>
      <c r="Q33" s="1810">
        <f t="shared" si="8"/>
        <v>111</v>
      </c>
      <c r="R33" s="775" t="s">
        <v>17</v>
      </c>
      <c r="S33" s="776">
        <f t="shared" si="10"/>
        <v>100</v>
      </c>
      <c r="T33" s="775" t="s">
        <v>17</v>
      </c>
      <c r="U33" s="776">
        <f t="shared" si="11"/>
        <v>100</v>
      </c>
      <c r="V33" s="775" t="s">
        <v>17</v>
      </c>
      <c r="W33" s="776">
        <f t="shared" si="12"/>
        <v>100</v>
      </c>
      <c r="X33" s="777"/>
      <c r="Y33" s="3575"/>
      <c r="Z33" s="778">
        <f t="shared" si="13"/>
        <v>111</v>
      </c>
      <c r="AA33" s="1811">
        <f t="shared" si="3"/>
        <v>1</v>
      </c>
      <c r="AB33" s="1811">
        <f t="shared" si="4"/>
        <v>1</v>
      </c>
      <c r="AC33" s="1811">
        <f t="shared" si="5"/>
        <v>1</v>
      </c>
    </row>
    <row r="34" spans="1:29" ht="15">
      <c r="A34" s="438" t="s">
        <v>2563</v>
      </c>
      <c r="B34" s="454" t="s">
        <v>2751</v>
      </c>
      <c r="C34" s="677">
        <f>'[1]比较法-工业'!$C$36</f>
        <v>117876.49</v>
      </c>
      <c r="D34" s="465">
        <v>100</v>
      </c>
      <c r="E34" s="677">
        <f>'[1]比较法-工业'!$E$36</f>
        <v>32779.72</v>
      </c>
      <c r="F34" s="465">
        <f>LOOKUP(E34,108:108,109:109)-LOOKUP(C34,108:108,109:109)+100</f>
        <v>94</v>
      </c>
      <c r="G34" s="677">
        <f>'[1]比较法-工业'!$G$36</f>
        <v>32326.54</v>
      </c>
      <c r="H34" s="465">
        <f>LOOKUP(G34,108:108,109:109)-LOOKUP(C34,108:108,109:109)+100</f>
        <v>94</v>
      </c>
      <c r="I34" s="528">
        <f>'[1]比较法-工业'!$I$36</f>
        <v>31995.71</v>
      </c>
      <c r="J34" s="465">
        <f>LOOKUP(I34,108:108,109:109)-LOOKUP(C34,108:108,109:109)+100</f>
        <v>94</v>
      </c>
      <c r="K34" s="611"/>
      <c r="L34" s="1140"/>
      <c r="M34" s="1131"/>
      <c r="N34" s="1131"/>
      <c r="O34" s="1139"/>
      <c r="P34" s="3575"/>
      <c r="Q34" s="1810" t="str">
        <f>B34</f>
        <v>宗地面积</v>
      </c>
      <c r="R34" s="772" t="s">
        <v>17</v>
      </c>
      <c r="S34" s="773">
        <f t="shared" si="10"/>
        <v>94</v>
      </c>
      <c r="T34" s="772" t="s">
        <v>17</v>
      </c>
      <c r="U34" s="773">
        <f t="shared" si="11"/>
        <v>94</v>
      </c>
      <c r="V34" s="772" t="s">
        <v>17</v>
      </c>
      <c r="W34" s="773">
        <f t="shared" si="12"/>
        <v>94</v>
      </c>
      <c r="X34" s="1813"/>
      <c r="Y34" s="3575"/>
      <c r="Z34" s="1814" t="str">
        <f t="shared" si="13"/>
        <v>宗地面积</v>
      </c>
      <c r="AA34" s="1811">
        <f t="shared" si="3"/>
        <v>1.0638297872340425</v>
      </c>
      <c r="AB34" s="1811">
        <f t="shared" si="4"/>
        <v>1.0638297872340425</v>
      </c>
      <c r="AC34" s="1811">
        <f t="shared" si="5"/>
        <v>1.0638297872340425</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75"/>
      <c r="Q35" s="1810" t="str">
        <f t="shared" ref="Q35:Q40" si="14">B35</f>
        <v>宗地形状</v>
      </c>
      <c r="R35" s="772" t="s">
        <v>17</v>
      </c>
      <c r="S35" s="773">
        <f t="shared" si="10"/>
        <v>100</v>
      </c>
      <c r="T35" s="772" t="s">
        <v>17</v>
      </c>
      <c r="U35" s="773">
        <f t="shared" si="11"/>
        <v>100</v>
      </c>
      <c r="V35" s="772" t="s">
        <v>17</v>
      </c>
      <c r="W35" s="773">
        <f t="shared" si="12"/>
        <v>100</v>
      </c>
      <c r="X35" s="1813"/>
      <c r="Y35" s="3575"/>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75"/>
      <c r="Q36" s="1810" t="str">
        <f t="shared" si="14"/>
        <v>宗地开发程度</v>
      </c>
      <c r="R36" s="768" t="s">
        <v>17</v>
      </c>
      <c r="S36" s="769">
        <f t="shared" si="10"/>
        <v>100</v>
      </c>
      <c r="T36" s="768" t="s">
        <v>17</v>
      </c>
      <c r="U36" s="769">
        <f t="shared" si="11"/>
        <v>100</v>
      </c>
      <c r="V36" s="768" t="s">
        <v>17</v>
      </c>
      <c r="W36" s="769">
        <f t="shared" si="12"/>
        <v>100</v>
      </c>
      <c r="X36" s="770"/>
      <c r="Y36" s="3575"/>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75" t="s">
        <v>2565</v>
      </c>
      <c r="Q37" s="1810" t="str">
        <f t="shared" si="14"/>
        <v>工程地质条件</v>
      </c>
      <c r="R37" s="772" t="s">
        <v>17</v>
      </c>
      <c r="S37" s="773">
        <f t="shared" si="10"/>
        <v>100</v>
      </c>
      <c r="T37" s="772" t="s">
        <v>17</v>
      </c>
      <c r="U37" s="773">
        <f t="shared" si="11"/>
        <v>100</v>
      </c>
      <c r="V37" s="772" t="s">
        <v>17</v>
      </c>
      <c r="W37" s="773">
        <f t="shared" si="12"/>
        <v>100</v>
      </c>
      <c r="X37" s="1813"/>
      <c r="Y37" s="3575"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75"/>
      <c r="Q38" s="1810">
        <f t="shared" si="14"/>
        <v>111</v>
      </c>
      <c r="R38" s="772" t="s">
        <v>17</v>
      </c>
      <c r="S38" s="773">
        <f t="shared" si="10"/>
        <v>100</v>
      </c>
      <c r="T38" s="772" t="s">
        <v>17</v>
      </c>
      <c r="U38" s="773">
        <f t="shared" si="11"/>
        <v>100</v>
      </c>
      <c r="V38" s="772" t="s">
        <v>17</v>
      </c>
      <c r="W38" s="773">
        <f t="shared" si="12"/>
        <v>100</v>
      </c>
      <c r="X38" s="1813"/>
      <c r="Y38" s="3575"/>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75"/>
      <c r="Q39" s="1810">
        <f t="shared" si="14"/>
        <v>111</v>
      </c>
      <c r="R39" s="772" t="s">
        <v>17</v>
      </c>
      <c r="S39" s="773">
        <f t="shared" si="10"/>
        <v>100</v>
      </c>
      <c r="T39" s="772" t="s">
        <v>17</v>
      </c>
      <c r="U39" s="773">
        <f t="shared" si="11"/>
        <v>100</v>
      </c>
      <c r="V39" s="772" t="s">
        <v>17</v>
      </c>
      <c r="W39" s="773">
        <f t="shared" si="12"/>
        <v>100</v>
      </c>
      <c r="X39" s="1813"/>
      <c r="Y39" s="3575"/>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75"/>
      <c r="Q40" s="1810">
        <f t="shared" si="14"/>
        <v>111</v>
      </c>
      <c r="R40" s="775" t="s">
        <v>17</v>
      </c>
      <c r="S40" s="776">
        <f t="shared" si="10"/>
        <v>100</v>
      </c>
      <c r="T40" s="775" t="s">
        <v>17</v>
      </c>
      <c r="U40" s="776">
        <f t="shared" si="11"/>
        <v>100</v>
      </c>
      <c r="V40" s="775" t="s">
        <v>17</v>
      </c>
      <c r="W40" s="776">
        <f t="shared" si="12"/>
        <v>100</v>
      </c>
      <c r="X40" s="777"/>
      <c r="Y40" s="3575"/>
      <c r="Z40" s="778">
        <f t="shared" si="13"/>
        <v>111</v>
      </c>
      <c r="AA40" s="1811">
        <f t="shared" si="3"/>
        <v>1</v>
      </c>
      <c r="AB40" s="1811">
        <f t="shared" si="4"/>
        <v>1</v>
      </c>
      <c r="AC40" s="1811">
        <f t="shared" si="5"/>
        <v>1</v>
      </c>
    </row>
    <row r="41" spans="1:29" ht="15">
      <c r="A41" s="477" t="s">
        <v>2720</v>
      </c>
      <c r="B41" s="2703" t="s">
        <v>3231</v>
      </c>
      <c r="C41" s="680" t="s">
        <v>1</v>
      </c>
      <c r="D41" s="479"/>
      <c r="E41" s="480">
        <f>'[1]比较法-工业'!$E$43</f>
        <v>1133</v>
      </c>
      <c r="F41" s="481"/>
      <c r="G41" s="482">
        <f>'[1]比较法-工业'!$G$43</f>
        <v>1081</v>
      </c>
      <c r="H41" s="483"/>
      <c r="I41" s="480">
        <f>'[1]比较法-工业'!$I$43</f>
        <v>1081</v>
      </c>
      <c r="J41" s="483"/>
      <c r="K41" s="781"/>
      <c r="L41" s="1143"/>
      <c r="M41" s="1131"/>
      <c r="N41" s="1131"/>
      <c r="O41" s="1144"/>
      <c r="P41" s="3557" t="str">
        <f>A41</f>
        <v>成交单价</v>
      </c>
      <c r="Q41" s="3557"/>
      <c r="R41" s="3570">
        <f>E41</f>
        <v>1133</v>
      </c>
      <c r="S41" s="3570"/>
      <c r="T41" s="3570">
        <f>G41</f>
        <v>1081</v>
      </c>
      <c r="U41" s="3570"/>
      <c r="V41" s="3570">
        <f>I41</f>
        <v>1081</v>
      </c>
      <c r="W41" s="3570"/>
      <c r="X41" s="757"/>
      <c r="Y41" s="779"/>
      <c r="Z41" s="757"/>
      <c r="AA41" s="757"/>
      <c r="AB41" s="757"/>
      <c r="AC41" s="757"/>
    </row>
    <row r="42" spans="1:29" ht="15.75" thickBot="1">
      <c r="A42" s="484" t="s">
        <v>2669</v>
      </c>
      <c r="B42" s="681"/>
      <c r="C42" s="488">
        <f>R43</f>
        <v>1121</v>
      </c>
      <c r="D42" s="487"/>
      <c r="E42" s="488">
        <f>R42</f>
        <v>1132</v>
      </c>
      <c r="F42" s="489"/>
      <c r="G42" s="486">
        <f>T42</f>
        <v>1115</v>
      </c>
      <c r="H42" s="487"/>
      <c r="I42" s="488">
        <f>V42</f>
        <v>1115</v>
      </c>
      <c r="J42" s="487"/>
      <c r="K42" s="782"/>
      <c r="L42" s="1143"/>
      <c r="M42" s="1131"/>
      <c r="N42" s="1131"/>
      <c r="O42" s="1144"/>
      <c r="P42" s="3557" t="str">
        <f>A42</f>
        <v>比较价值（元/平方米）</v>
      </c>
      <c r="Q42" s="3557"/>
      <c r="R42" s="3582">
        <f>ROUND(PRODUCT(R41,AA7:AA40),0)</f>
        <v>1132</v>
      </c>
      <c r="S42" s="3582"/>
      <c r="T42" s="3582">
        <f>ROUND(PRODUCT(T41,AB7:AB40),0)</f>
        <v>1115</v>
      </c>
      <c r="U42" s="3582"/>
      <c r="V42" s="3582">
        <f>ROUND(PRODUCT(V41,AC7:AC40),0)</f>
        <v>1115</v>
      </c>
      <c r="W42" s="3582"/>
      <c r="X42" s="757"/>
      <c r="Y42" s="757"/>
      <c r="Z42" s="757"/>
      <c r="AA42" s="757"/>
      <c r="AB42" s="757"/>
      <c r="AC42" s="757"/>
    </row>
    <row r="43" spans="1:29" ht="15.75" thickBot="1">
      <c r="A43" s="490" t="s">
        <v>2670</v>
      </c>
      <c r="B43" s="491"/>
      <c r="C43" s="492">
        <f>R43</f>
        <v>1121</v>
      </c>
      <c r="D43" s="492"/>
      <c r="E43" s="492"/>
      <c r="F43" s="492"/>
      <c r="G43" s="492"/>
      <c r="H43" s="492"/>
      <c r="I43" s="492"/>
      <c r="J43" s="492"/>
      <c r="K43" s="783"/>
      <c r="L43" s="1143"/>
      <c r="M43" s="1131"/>
      <c r="N43" s="1131"/>
      <c r="O43" s="1144"/>
      <c r="P43" s="3578" t="str">
        <f>A43</f>
        <v>估价对象XX用房的比较价值（楼面单价，元/平方米）</v>
      </c>
      <c r="Q43" s="3579"/>
      <c r="R43" s="3581">
        <f>ROUND(AVERAGE(R42:V42),0)</f>
        <v>1121</v>
      </c>
      <c r="S43" s="3581"/>
      <c r="T43" s="3581"/>
      <c r="U43" s="3581"/>
      <c r="V43" s="3581"/>
      <c r="W43" s="3581"/>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8.8339222614841617E-4</v>
      </c>
      <c r="F46" s="498" t="str">
        <f>IF(OR(E46&gt;=0.3,E46&lt;=-0.3),"超过30%","")</f>
        <v/>
      </c>
      <c r="G46" s="497">
        <f>IF(G41&lt;G42,G42/G41-1,G41/G42-1)</f>
        <v>3.1452358926919555E-2</v>
      </c>
      <c r="H46" s="498" t="str">
        <f>IF(OR(G46&gt;=0.3,G46&lt;=-0.3),"超过30%","")</f>
        <v/>
      </c>
      <c r="I46" s="497">
        <f>IF(I41&lt;I42,I42/I41-1,I41/I42-1)</f>
        <v>3.1452358926919555E-2</v>
      </c>
      <c r="J46" s="498" t="str">
        <f>IF(OR(I46&gt;=0.3,I46&lt;=-0.3),"超过30%","")</f>
        <v/>
      </c>
      <c r="K46" s="1105"/>
      <c r="L46" s="1106"/>
      <c r="M46" s="1131"/>
      <c r="N46" s="1131"/>
      <c r="O46" s="1144"/>
    </row>
    <row r="47" spans="1:29" ht="13.5" customHeight="1">
      <c r="A47" s="1144"/>
      <c r="B47" s="1144"/>
      <c r="C47" s="495" t="s">
        <v>2672</v>
      </c>
      <c r="D47" s="499"/>
      <c r="E47" s="497">
        <f>IF(E42&lt;G42,G42/E42-1,E42/G42-1)</f>
        <v>1.5246636771300448E-2</v>
      </c>
      <c r="F47" s="498" t="str">
        <f>IF(OR(E47&gt;=0.2,E47&lt;=-0.2),"超过20%","")</f>
        <v/>
      </c>
      <c r="G47" s="497">
        <f>IF(G42&lt;I42,I42/G42-1,G42/I42-1)</f>
        <v>0</v>
      </c>
      <c r="H47" s="498" t="str">
        <f>IF(OR(G47&gt;=0.2,G47&lt;=-0.2),"超过20%","")</f>
        <v/>
      </c>
      <c r="I47" s="497">
        <f>IF(I42&lt;E42,E42/I42-1,I42/E42-1)</f>
        <v>1.5246636771300448E-2</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4.8103607770582757E-2</v>
      </c>
      <c r="F48" s="498" t="str">
        <f>IF(OR(E48&gt;=0.3,E48&lt;=-0.3),"超过30%","")</f>
        <v/>
      </c>
      <c r="G48" s="497">
        <f>IF(G41&lt;I41,I41/G41-1,G41/I41-1)</f>
        <v>0</v>
      </c>
      <c r="H48" s="498" t="str">
        <f>IF(OR(G48&gt;=0.3,G48&lt;=-0.3),"超过30%","")</f>
        <v/>
      </c>
      <c r="I48" s="497">
        <f>IF(I41&lt;E41,E41/I41-1,I41/E41-1)</f>
        <v>4.8103607770582757E-2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8" t="s">
        <v>2764</v>
      </c>
      <c r="H50" s="3583"/>
      <c r="I50" s="1814" t="s">
        <v>2800</v>
      </c>
      <c r="J50" s="1814">
        <f>项目基本情况!F35</f>
        <v>0</v>
      </c>
      <c r="K50" s="2707" t="s">
        <v>2766</v>
      </c>
      <c r="L50" s="1106"/>
      <c r="M50" s="1144"/>
      <c r="N50" s="1144"/>
      <c r="O50" s="1144"/>
    </row>
    <row r="51" spans="1:17" s="690" customFormat="1">
      <c r="A51" s="686" t="s">
        <v>2767</v>
      </c>
      <c r="B51" s="687">
        <f>C43</f>
        <v>1121</v>
      </c>
      <c r="C51" s="688">
        <v>1</v>
      </c>
      <c r="D51" s="1163">
        <v>1</v>
      </c>
      <c r="E51" s="688">
        <f>'数据-汇总表'!E8+'数据-汇总表'!E9</f>
        <v>37556.699999999997</v>
      </c>
      <c r="F51" s="689">
        <f t="shared" ref="F51:F60" si="15">ROUND(B51*E51/10000,0)</f>
        <v>4210</v>
      </c>
      <c r="G51" s="3584"/>
      <c r="H51" s="3557"/>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5"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5"/>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5"/>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5"/>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56</v>
      </c>
      <c r="C57" s="198">
        <f t="shared" si="16"/>
        <v>0.2</v>
      </c>
      <c r="D57" s="1164">
        <v>0.25</v>
      </c>
      <c r="E57" s="259">
        <f>'数据-汇总表'!E12</f>
        <v>8295.2800000000007</v>
      </c>
      <c r="F57" s="689">
        <f t="shared" si="15"/>
        <v>46</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42</v>
      </c>
      <c r="C58" s="198">
        <f t="shared" si="16"/>
        <v>0.15</v>
      </c>
      <c r="D58" s="1164">
        <v>0.25</v>
      </c>
      <c r="E58" s="259">
        <f>'数据-汇总表'!E13</f>
        <v>12648.5</v>
      </c>
      <c r="F58" s="689">
        <f t="shared" si="15"/>
        <v>53</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4309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0(含)-30000</v>
      </c>
      <c r="D107" s="527" t="str">
        <f t="shared" si="25"/>
        <v>30000(含)-60000</v>
      </c>
      <c r="E107" s="527" t="str">
        <f t="shared" si="25"/>
        <v>60000(含)-90000</v>
      </c>
      <c r="F107" s="527" t="str">
        <f t="shared" si="25"/>
        <v>90000(含)-120000</v>
      </c>
      <c r="G107" s="527" t="str">
        <f t="shared" si="25"/>
        <v>120000(含)-150000</v>
      </c>
      <c r="H107" s="527" t="str">
        <f t="shared" si="25"/>
        <v>150000(含)-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v>0</v>
      </c>
      <c r="D108" s="593">
        <v>30000</v>
      </c>
      <c r="E108" s="593">
        <v>60000</v>
      </c>
      <c r="F108" s="593">
        <v>90000</v>
      </c>
      <c r="G108" s="593">
        <v>120000</v>
      </c>
      <c r="H108" s="593">
        <v>150000</v>
      </c>
      <c r="I108" s="593"/>
      <c r="J108" s="594"/>
      <c r="K108" s="594"/>
      <c r="L108" s="595"/>
      <c r="M108" s="596"/>
      <c r="N108" s="1152"/>
      <c r="O108" s="1152"/>
      <c r="P108" s="44"/>
      <c r="Q108" s="502"/>
    </row>
    <row r="109" spans="1:17" ht="15.75" thickBot="1">
      <c r="A109" s="532"/>
      <c r="B109" s="541"/>
      <c r="C109" s="568">
        <v>100</v>
      </c>
      <c r="D109" s="589">
        <v>103</v>
      </c>
      <c r="E109" s="568">
        <v>106</v>
      </c>
      <c r="F109" s="589">
        <v>109</v>
      </c>
      <c r="G109" s="568">
        <v>112</v>
      </c>
      <c r="H109" s="589">
        <v>115</v>
      </c>
      <c r="I109" s="568"/>
      <c r="J109" s="589"/>
      <c r="K109" s="568"/>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617" t="s">
        <v>3178</v>
      </c>
      <c r="D6" s="3618"/>
      <c r="E6" s="3619" t="s">
        <v>3179</v>
      </c>
      <c r="F6" s="3620"/>
      <c r="G6" s="3617" t="s">
        <v>3180</v>
      </c>
      <c r="H6" s="3618"/>
      <c r="I6" s="3617" t="s">
        <v>3181</v>
      </c>
      <c r="J6" s="3618"/>
      <c r="K6" s="2999" t="s">
        <v>3182</v>
      </c>
      <c r="L6" s="3000"/>
      <c r="M6" s="3001"/>
      <c r="N6" s="3001"/>
      <c r="O6" s="3001"/>
      <c r="P6" s="3621" t="s">
        <v>3183</v>
      </c>
      <c r="Q6" s="3622"/>
      <c r="R6" s="3607" t="s">
        <v>3179</v>
      </c>
      <c r="S6" s="3608"/>
      <c r="T6" s="3607" t="s">
        <v>3180</v>
      </c>
      <c r="U6" s="3608"/>
      <c r="V6" s="3603" t="s">
        <v>3181</v>
      </c>
      <c r="W6" s="3603"/>
      <c r="X6" s="3002"/>
      <c r="Y6" s="3607" t="s">
        <v>3183</v>
      </c>
      <c r="Z6" s="3608"/>
      <c r="AA6" s="3613" t="s">
        <v>3179</v>
      </c>
      <c r="AB6" s="3614" t="s">
        <v>3180</v>
      </c>
      <c r="AC6" s="3613" t="s">
        <v>3181</v>
      </c>
    </row>
    <row r="7" spans="1:29" ht="15">
      <c r="A7" s="3004"/>
      <c r="B7" s="3005"/>
      <c r="C7" s="3627" t="s">
        <v>3184</v>
      </c>
      <c r="D7" s="3628"/>
      <c r="E7" s="3629" t="str">
        <f>[1]土地案例!A2</f>
        <v>北京市高端制造业(房山)基地01街区01-03地块部分用地项目</v>
      </c>
      <c r="F7" s="3630"/>
      <c r="G7" s="3627" t="str">
        <f>[1]土地案例!A3</f>
        <v>北京石化新材料科技产业基地核心区东区B5-10(2)地块工业用地项目</v>
      </c>
      <c r="H7" s="3628"/>
      <c r="I7" s="3627" t="str">
        <f>[1]土地案例!A4</f>
        <v>北京高端制造业(房山)基地03街区F区工业用地项目</v>
      </c>
      <c r="J7" s="3628"/>
      <c r="K7" s="2999"/>
      <c r="L7" s="3000"/>
      <c r="M7" s="3001"/>
      <c r="N7" s="3001"/>
      <c r="O7" s="3001"/>
      <c r="P7" s="3623"/>
      <c r="Q7" s="3624"/>
      <c r="R7" s="3609"/>
      <c r="S7" s="3610"/>
      <c r="T7" s="3609"/>
      <c r="U7" s="3610"/>
      <c r="V7" s="3603"/>
      <c r="W7" s="3603"/>
      <c r="X7" s="3002"/>
      <c r="Y7" s="3609"/>
      <c r="Z7" s="3610"/>
      <c r="AA7" s="3614"/>
      <c r="AB7" s="3614"/>
      <c r="AC7" s="3614"/>
    </row>
    <row r="8" spans="1:29" ht="15.75" thickBot="1">
      <c r="A8" s="3006"/>
      <c r="B8" s="3007"/>
      <c r="C8" s="3631" t="s">
        <v>3185</v>
      </c>
      <c r="D8" s="3632"/>
      <c r="E8" s="3633" t="s">
        <v>3186</v>
      </c>
      <c r="F8" s="3634"/>
      <c r="G8" s="3631" t="s">
        <v>3187</v>
      </c>
      <c r="H8" s="3632"/>
      <c r="I8" s="3631" t="s">
        <v>3186</v>
      </c>
      <c r="J8" s="3632"/>
      <c r="K8" s="2999" t="s">
        <v>3188</v>
      </c>
      <c r="L8" s="3000"/>
      <c r="M8" s="3001"/>
      <c r="N8" s="3001"/>
      <c r="O8" s="3001"/>
      <c r="P8" s="3625"/>
      <c r="Q8" s="3626"/>
      <c r="R8" s="3609"/>
      <c r="S8" s="3610"/>
      <c r="T8" s="3611"/>
      <c r="U8" s="3612"/>
      <c r="V8" s="3603"/>
      <c r="W8" s="3603"/>
      <c r="X8" s="3002"/>
      <c r="Y8" s="3611"/>
      <c r="Z8" s="3612"/>
      <c r="AA8" s="3615"/>
      <c r="AB8" s="3615"/>
      <c r="AC8" s="3615"/>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04" t="s">
        <v>3190</v>
      </c>
      <c r="Q9" s="3616"/>
      <c r="R9" s="3018" t="s">
        <v>3191</v>
      </c>
      <c r="S9" s="3019">
        <f t="shared" ref="S9:S17" si="0">F9</f>
        <v>95</v>
      </c>
      <c r="T9" s="3018" t="s">
        <v>3191</v>
      </c>
      <c r="U9" s="3019">
        <f t="shared" ref="U9:U17" si="1">H9</f>
        <v>94</v>
      </c>
      <c r="V9" s="3018" t="s">
        <v>3191</v>
      </c>
      <c r="W9" s="3019">
        <f t="shared" ref="W9:W17" si="2">J9</f>
        <v>94</v>
      </c>
      <c r="X9" s="3020"/>
      <c r="Y9" s="3604" t="s">
        <v>3190</v>
      </c>
      <c r="Z9" s="3605"/>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04" t="s">
        <v>3195</v>
      </c>
      <c r="Q10" s="3605"/>
      <c r="R10" s="3018" t="s">
        <v>3191</v>
      </c>
      <c r="S10" s="3019">
        <f t="shared" si="0"/>
        <v>100</v>
      </c>
      <c r="T10" s="3018" t="s">
        <v>3191</v>
      </c>
      <c r="U10" s="3019">
        <f t="shared" si="1"/>
        <v>100</v>
      </c>
      <c r="V10" s="3018" t="s">
        <v>3191</v>
      </c>
      <c r="W10" s="3019">
        <f t="shared" si="2"/>
        <v>100</v>
      </c>
      <c r="X10" s="3020"/>
      <c r="Y10" s="3604" t="s">
        <v>3195</v>
      </c>
      <c r="Z10" s="3605"/>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594" t="s">
        <v>3198</v>
      </c>
      <c r="Q11" s="3032" t="str">
        <f t="shared" ref="Q11:Q17" si="6">B11</f>
        <v>用途</v>
      </c>
      <c r="R11" s="3018" t="s">
        <v>3191</v>
      </c>
      <c r="S11" s="3019">
        <f t="shared" si="0"/>
        <v>100</v>
      </c>
      <c r="T11" s="3018" t="s">
        <v>3191</v>
      </c>
      <c r="U11" s="3019">
        <f t="shared" si="1"/>
        <v>100</v>
      </c>
      <c r="V11" s="3018" t="s">
        <v>3191</v>
      </c>
      <c r="W11" s="3019">
        <f t="shared" si="2"/>
        <v>100</v>
      </c>
      <c r="X11" s="3020"/>
      <c r="Y11" s="3606"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594"/>
      <c r="Q12" s="3032" t="str">
        <f t="shared" si="6"/>
        <v>土地使用年限（年）</v>
      </c>
      <c r="R12" s="3018" t="s">
        <v>3191</v>
      </c>
      <c r="S12" s="3019">
        <f t="shared" si="0"/>
        <v>103</v>
      </c>
      <c r="T12" s="3018" t="s">
        <v>3191</v>
      </c>
      <c r="U12" s="3019">
        <f t="shared" si="1"/>
        <v>103</v>
      </c>
      <c r="V12" s="3018" t="s">
        <v>3191</v>
      </c>
      <c r="W12" s="3019">
        <f t="shared" si="2"/>
        <v>103</v>
      </c>
      <c r="X12" s="3020"/>
      <c r="Y12" s="3606"/>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594"/>
      <c r="Q13" s="3032" t="str">
        <f t="shared" si="6"/>
        <v>容积率</v>
      </c>
      <c r="R13" s="3018" t="s">
        <v>3191</v>
      </c>
      <c r="S13" s="3019">
        <f t="shared" si="0"/>
        <v>100</v>
      </c>
      <c r="T13" s="3018" t="s">
        <v>3191</v>
      </c>
      <c r="U13" s="3019">
        <f t="shared" si="1"/>
        <v>100</v>
      </c>
      <c r="V13" s="3018" t="s">
        <v>3191</v>
      </c>
      <c r="W13" s="3019">
        <f t="shared" si="2"/>
        <v>100</v>
      </c>
      <c r="X13" s="3020"/>
      <c r="Y13" s="3606"/>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594"/>
      <c r="Q14" s="3032">
        <f t="shared" si="6"/>
        <v>111</v>
      </c>
      <c r="R14" s="3018" t="s">
        <v>3191</v>
      </c>
      <c r="S14" s="3019">
        <f t="shared" si="0"/>
        <v>100</v>
      </c>
      <c r="T14" s="3018" t="s">
        <v>3191</v>
      </c>
      <c r="U14" s="3019">
        <f t="shared" si="1"/>
        <v>100</v>
      </c>
      <c r="V14" s="3018" t="s">
        <v>3191</v>
      </c>
      <c r="W14" s="3019">
        <f t="shared" si="2"/>
        <v>100</v>
      </c>
      <c r="X14" s="3020"/>
      <c r="Y14" s="3606"/>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594"/>
      <c r="Q15" s="3032">
        <f t="shared" si="6"/>
        <v>111</v>
      </c>
      <c r="R15" s="3018" t="s">
        <v>3202</v>
      </c>
      <c r="S15" s="3019">
        <f t="shared" si="0"/>
        <v>100</v>
      </c>
      <c r="T15" s="3018" t="s">
        <v>3202</v>
      </c>
      <c r="U15" s="3019">
        <f t="shared" si="1"/>
        <v>100</v>
      </c>
      <c r="V15" s="3018" t="s">
        <v>3202</v>
      </c>
      <c r="W15" s="3019">
        <f t="shared" si="2"/>
        <v>100</v>
      </c>
      <c r="X15" s="3020"/>
      <c r="Y15" s="3606"/>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594"/>
      <c r="Q16" s="3032">
        <f t="shared" si="6"/>
        <v>111</v>
      </c>
      <c r="R16" s="3018" t="s">
        <v>3202</v>
      </c>
      <c r="S16" s="3019">
        <f t="shared" si="0"/>
        <v>100</v>
      </c>
      <c r="T16" s="3018" t="s">
        <v>3202</v>
      </c>
      <c r="U16" s="3019">
        <f t="shared" si="1"/>
        <v>100</v>
      </c>
      <c r="V16" s="3018" t="s">
        <v>3202</v>
      </c>
      <c r="W16" s="3019">
        <f t="shared" si="2"/>
        <v>100</v>
      </c>
      <c r="X16" s="3020"/>
      <c r="Y16" s="3606"/>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596" t="s">
        <v>3205</v>
      </c>
      <c r="Q17" s="3066" t="str">
        <f t="shared" si="6"/>
        <v>产业集聚程度</v>
      </c>
      <c r="R17" s="3067" t="s">
        <v>3191</v>
      </c>
      <c r="S17" s="3068">
        <f t="shared" si="0"/>
        <v>100</v>
      </c>
      <c r="T17" s="3067" t="s">
        <v>3191</v>
      </c>
      <c r="U17" s="3068">
        <f t="shared" si="1"/>
        <v>100</v>
      </c>
      <c r="V17" s="3067" t="s">
        <v>3191</v>
      </c>
      <c r="W17" s="3068">
        <f t="shared" si="2"/>
        <v>100</v>
      </c>
      <c r="X17" s="3002"/>
      <c r="Y17" s="3596"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597"/>
      <c r="Q18" s="3066"/>
      <c r="R18" s="3067"/>
      <c r="S18" s="3068"/>
      <c r="T18" s="3067"/>
      <c r="U18" s="3068"/>
      <c r="V18" s="3067"/>
      <c r="W18" s="3068"/>
      <c r="X18" s="3002"/>
      <c r="Y18" s="3597"/>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597"/>
      <c r="Q19" s="3066" t="str">
        <f>B19</f>
        <v>交通便捷度</v>
      </c>
      <c r="R19" s="3067" t="s">
        <v>3191</v>
      </c>
      <c r="S19" s="3068">
        <f>F19</f>
        <v>100</v>
      </c>
      <c r="T19" s="3067" t="s">
        <v>3191</v>
      </c>
      <c r="U19" s="3068">
        <f>H19</f>
        <v>100</v>
      </c>
      <c r="V19" s="3067" t="s">
        <v>3191</v>
      </c>
      <c r="W19" s="3068">
        <f>J19</f>
        <v>100</v>
      </c>
      <c r="X19" s="3002"/>
      <c r="Y19" s="3597"/>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597"/>
      <c r="Q20" s="3066"/>
      <c r="R20" s="3067"/>
      <c r="S20" s="3068"/>
      <c r="T20" s="3067"/>
      <c r="U20" s="3068"/>
      <c r="V20" s="3067"/>
      <c r="W20" s="3068"/>
      <c r="X20" s="3002"/>
      <c r="Y20" s="3597"/>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597"/>
      <c r="Q21" s="3066" t="str">
        <f t="shared" ref="Q21:Q35" si="8">B21</f>
        <v>区域土地利用方向</v>
      </c>
      <c r="R21" s="3067" t="s">
        <v>3191</v>
      </c>
      <c r="S21" s="3068">
        <f>F21</f>
        <v>100</v>
      </c>
      <c r="T21" s="3067" t="s">
        <v>3191</v>
      </c>
      <c r="U21" s="3068">
        <f>H21</f>
        <v>100</v>
      </c>
      <c r="V21" s="3067" t="s">
        <v>3191</v>
      </c>
      <c r="W21" s="3068">
        <f>J21</f>
        <v>100</v>
      </c>
      <c r="X21" s="3002"/>
      <c r="Y21" s="3597"/>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597"/>
      <c r="Q22" s="3066"/>
      <c r="R22" s="3067"/>
      <c r="S22" s="3068"/>
      <c r="T22" s="3067"/>
      <c r="U22" s="3068"/>
      <c r="V22" s="3067"/>
      <c r="W22" s="3068"/>
      <c r="X22" s="3002"/>
      <c r="Y22" s="3597"/>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597"/>
      <c r="Q23" s="3066" t="str">
        <f t="shared" si="8"/>
        <v>环境状况</v>
      </c>
      <c r="R23" s="3067" t="s">
        <v>3191</v>
      </c>
      <c r="S23" s="3068">
        <f>F23</f>
        <v>100</v>
      </c>
      <c r="T23" s="3067" t="s">
        <v>3191</v>
      </c>
      <c r="U23" s="3068">
        <f>H23</f>
        <v>102</v>
      </c>
      <c r="V23" s="3067" t="s">
        <v>3191</v>
      </c>
      <c r="W23" s="3068">
        <f>J23</f>
        <v>100</v>
      </c>
      <c r="X23" s="3002"/>
      <c r="Y23" s="3597"/>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597"/>
      <c r="Q24" s="3066"/>
      <c r="R24" s="3067"/>
      <c r="S24" s="3068"/>
      <c r="T24" s="3067"/>
      <c r="U24" s="3068"/>
      <c r="V24" s="3067"/>
      <c r="W24" s="3068"/>
      <c r="X24" s="3002"/>
      <c r="Y24" s="3597"/>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597"/>
      <c r="Q25" s="3032" t="str">
        <f t="shared" si="8"/>
        <v>公共配套设施</v>
      </c>
      <c r="R25" s="3018" t="s">
        <v>3212</v>
      </c>
      <c r="S25" s="3019">
        <f>F25</f>
        <v>100</v>
      </c>
      <c r="T25" s="3018" t="s">
        <v>3212</v>
      </c>
      <c r="U25" s="3019">
        <f>H25</f>
        <v>100</v>
      </c>
      <c r="V25" s="3018" t="s">
        <v>3213</v>
      </c>
      <c r="W25" s="3019">
        <f>J25</f>
        <v>100</v>
      </c>
      <c r="X25" s="3020"/>
      <c r="Y25" s="3597"/>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597"/>
      <c r="Q26" s="3032"/>
      <c r="R26" s="3018"/>
      <c r="S26" s="3019"/>
      <c r="T26" s="3018"/>
      <c r="U26" s="3019"/>
      <c r="V26" s="3018"/>
      <c r="W26" s="3019"/>
      <c r="X26" s="3020"/>
      <c r="Y26" s="3597"/>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597"/>
      <c r="Q27" s="3032" t="str">
        <f t="shared" ref="Q27" si="9">B27</f>
        <v>基础设施水平</v>
      </c>
      <c r="R27" s="3018" t="s">
        <v>3191</v>
      </c>
      <c r="S27" s="3019">
        <f>F27</f>
        <v>100</v>
      </c>
      <c r="T27" s="3018" t="s">
        <v>3191</v>
      </c>
      <c r="U27" s="3019">
        <f>H27</f>
        <v>100</v>
      </c>
      <c r="V27" s="3018" t="s">
        <v>3191</v>
      </c>
      <c r="W27" s="3019">
        <f>J27</f>
        <v>100</v>
      </c>
      <c r="X27" s="3020"/>
      <c r="Y27" s="3597"/>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597"/>
      <c r="Q28" s="3032"/>
      <c r="R28" s="3018"/>
      <c r="S28" s="3019"/>
      <c r="T28" s="3018"/>
      <c r="U28" s="3019"/>
      <c r="V28" s="3018"/>
      <c r="W28" s="3019"/>
      <c r="X28" s="3020"/>
      <c r="Y28" s="3597"/>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597"/>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597"/>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597"/>
      <c r="Q30" s="3066" t="str">
        <f t="shared" si="8"/>
        <v>毗邻道路的类型与等级</v>
      </c>
      <c r="R30" s="3067" t="s">
        <v>3191</v>
      </c>
      <c r="S30" s="3068">
        <f t="shared" si="10"/>
        <v>100</v>
      </c>
      <c r="T30" s="3067" t="s">
        <v>3191</v>
      </c>
      <c r="U30" s="3068">
        <f t="shared" si="11"/>
        <v>100</v>
      </c>
      <c r="V30" s="3067" t="s">
        <v>3191</v>
      </c>
      <c r="W30" s="3068">
        <f t="shared" si="12"/>
        <v>100</v>
      </c>
      <c r="X30" s="3002"/>
      <c r="Y30" s="3597"/>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597"/>
      <c r="Q31" s="3066"/>
      <c r="R31" s="3067"/>
      <c r="S31" s="3068"/>
      <c r="T31" s="3067"/>
      <c r="U31" s="3068"/>
      <c r="V31" s="3067"/>
      <c r="W31" s="3068"/>
      <c r="X31" s="3002"/>
      <c r="Y31" s="3597"/>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597"/>
      <c r="Q32" s="3066" t="str">
        <f t="shared" si="8"/>
        <v>土地级别</v>
      </c>
      <c r="R32" s="3067" t="s">
        <v>3191</v>
      </c>
      <c r="S32" s="3068">
        <f t="shared" si="10"/>
        <v>100</v>
      </c>
      <c r="T32" s="3067" t="s">
        <v>3191</v>
      </c>
      <c r="U32" s="3068">
        <f t="shared" si="11"/>
        <v>100</v>
      </c>
      <c r="V32" s="3067" t="s">
        <v>3191</v>
      </c>
      <c r="W32" s="3068">
        <f t="shared" si="12"/>
        <v>100</v>
      </c>
      <c r="X32" s="3002"/>
      <c r="Y32" s="3597"/>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597"/>
      <c r="Q33" s="3066">
        <f t="shared" si="8"/>
        <v>111</v>
      </c>
      <c r="R33" s="3067" t="s">
        <v>3191</v>
      </c>
      <c r="S33" s="3068">
        <f t="shared" si="10"/>
        <v>100</v>
      </c>
      <c r="T33" s="3067" t="s">
        <v>3191</v>
      </c>
      <c r="U33" s="3068">
        <f t="shared" si="11"/>
        <v>100</v>
      </c>
      <c r="V33" s="3067" t="s">
        <v>3191</v>
      </c>
      <c r="W33" s="3068">
        <f t="shared" si="12"/>
        <v>100</v>
      </c>
      <c r="X33" s="3002"/>
      <c r="Y33" s="3597"/>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01" t="s">
        <v>3221</v>
      </c>
      <c r="Q34" s="3066">
        <f t="shared" si="8"/>
        <v>111</v>
      </c>
      <c r="R34" s="3067" t="s">
        <v>3191</v>
      </c>
      <c r="S34" s="3068">
        <f t="shared" si="10"/>
        <v>100</v>
      </c>
      <c r="T34" s="3067" t="s">
        <v>3191</v>
      </c>
      <c r="U34" s="3068">
        <f t="shared" si="11"/>
        <v>100</v>
      </c>
      <c r="V34" s="3067" t="s">
        <v>3191</v>
      </c>
      <c r="W34" s="3068">
        <f t="shared" si="12"/>
        <v>100</v>
      </c>
      <c r="X34" s="3002"/>
      <c r="Y34" s="3602"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02"/>
      <c r="Q35" s="3066">
        <f t="shared" si="8"/>
        <v>111</v>
      </c>
      <c r="R35" s="3114" t="s">
        <v>3191</v>
      </c>
      <c r="S35" s="3115">
        <f t="shared" si="10"/>
        <v>100</v>
      </c>
      <c r="T35" s="3114" t="s">
        <v>3191</v>
      </c>
      <c r="U35" s="3115">
        <f t="shared" si="11"/>
        <v>100</v>
      </c>
      <c r="V35" s="3114" t="s">
        <v>3191</v>
      </c>
      <c r="W35" s="3115">
        <f t="shared" si="12"/>
        <v>100</v>
      </c>
      <c r="X35" s="3116"/>
      <c r="Y35" s="3602"/>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02"/>
      <c r="Q36" s="3066" t="str">
        <f>B36</f>
        <v>宗地面积</v>
      </c>
      <c r="R36" s="3067" t="s">
        <v>3191</v>
      </c>
      <c r="S36" s="3068">
        <f t="shared" si="10"/>
        <v>103</v>
      </c>
      <c r="T36" s="3067" t="s">
        <v>3191</v>
      </c>
      <c r="U36" s="3068">
        <f t="shared" si="11"/>
        <v>103</v>
      </c>
      <c r="V36" s="3067" t="s">
        <v>3191</v>
      </c>
      <c r="W36" s="3068">
        <f t="shared" si="12"/>
        <v>97</v>
      </c>
      <c r="X36" s="3002"/>
      <c r="Y36" s="3602"/>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02"/>
      <c r="Q37" s="3066" t="str">
        <f t="shared" ref="Q37:Q42" si="14">B37</f>
        <v>宗地形状</v>
      </c>
      <c r="R37" s="3067" t="s">
        <v>3191</v>
      </c>
      <c r="S37" s="3068">
        <f t="shared" si="10"/>
        <v>100</v>
      </c>
      <c r="T37" s="3067" t="s">
        <v>3191</v>
      </c>
      <c r="U37" s="3068">
        <f t="shared" si="11"/>
        <v>100</v>
      </c>
      <c r="V37" s="3067" t="s">
        <v>3191</v>
      </c>
      <c r="W37" s="3068">
        <f t="shared" si="12"/>
        <v>100</v>
      </c>
      <c r="X37" s="3002"/>
      <c r="Y37" s="3602"/>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02"/>
      <c r="Q38" s="3066" t="str">
        <f t="shared" si="14"/>
        <v>宗地开发程度</v>
      </c>
      <c r="R38" s="3018" t="s">
        <v>3191</v>
      </c>
      <c r="S38" s="3019">
        <f t="shared" si="10"/>
        <v>100</v>
      </c>
      <c r="T38" s="3018" t="s">
        <v>3191</v>
      </c>
      <c r="U38" s="3019">
        <f t="shared" si="11"/>
        <v>100</v>
      </c>
      <c r="V38" s="3018" t="s">
        <v>3191</v>
      </c>
      <c r="W38" s="3019">
        <f t="shared" si="12"/>
        <v>100</v>
      </c>
      <c r="X38" s="3020"/>
      <c r="Y38" s="3602"/>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02" t="s">
        <v>3221</v>
      </c>
      <c r="Q39" s="3066" t="str">
        <f t="shared" si="14"/>
        <v>工程地质条件</v>
      </c>
      <c r="R39" s="3067" t="s">
        <v>3191</v>
      </c>
      <c r="S39" s="3068">
        <f t="shared" si="10"/>
        <v>100</v>
      </c>
      <c r="T39" s="3067" t="s">
        <v>3191</v>
      </c>
      <c r="U39" s="3068">
        <f t="shared" si="11"/>
        <v>100</v>
      </c>
      <c r="V39" s="3067" t="s">
        <v>3191</v>
      </c>
      <c r="W39" s="3068">
        <f t="shared" si="12"/>
        <v>100</v>
      </c>
      <c r="X39" s="3002"/>
      <c r="Y39" s="3602"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02"/>
      <c r="Q40" s="3066">
        <f t="shared" si="14"/>
        <v>111</v>
      </c>
      <c r="R40" s="3067" t="s">
        <v>3191</v>
      </c>
      <c r="S40" s="3068">
        <f t="shared" si="10"/>
        <v>100</v>
      </c>
      <c r="T40" s="3067" t="s">
        <v>3191</v>
      </c>
      <c r="U40" s="3068">
        <f t="shared" si="11"/>
        <v>100</v>
      </c>
      <c r="V40" s="3067" t="s">
        <v>3191</v>
      </c>
      <c r="W40" s="3068">
        <f t="shared" si="12"/>
        <v>100</v>
      </c>
      <c r="X40" s="3002"/>
      <c r="Y40" s="3602"/>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02"/>
      <c r="Q41" s="3066">
        <f t="shared" si="14"/>
        <v>111</v>
      </c>
      <c r="R41" s="3067" t="s">
        <v>3191</v>
      </c>
      <c r="S41" s="3068">
        <f t="shared" si="10"/>
        <v>100</v>
      </c>
      <c r="T41" s="3067" t="s">
        <v>3191</v>
      </c>
      <c r="U41" s="3068">
        <f t="shared" si="11"/>
        <v>100</v>
      </c>
      <c r="V41" s="3067" t="s">
        <v>3191</v>
      </c>
      <c r="W41" s="3068">
        <f t="shared" si="12"/>
        <v>100</v>
      </c>
      <c r="X41" s="3002"/>
      <c r="Y41" s="3602"/>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02"/>
      <c r="Q42" s="3066">
        <f t="shared" si="14"/>
        <v>111</v>
      </c>
      <c r="R42" s="3114" t="s">
        <v>3191</v>
      </c>
      <c r="S42" s="3115">
        <f t="shared" si="10"/>
        <v>100</v>
      </c>
      <c r="T42" s="3114" t="s">
        <v>3191</v>
      </c>
      <c r="U42" s="3115">
        <f t="shared" si="11"/>
        <v>100</v>
      </c>
      <c r="V42" s="3114" t="s">
        <v>3191</v>
      </c>
      <c r="W42" s="3115">
        <f t="shared" si="12"/>
        <v>100</v>
      </c>
      <c r="X42" s="3116"/>
      <c r="Y42" s="3602"/>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594" t="str">
        <f>A43</f>
        <v>成交单价</v>
      </c>
      <c r="Q43" s="3594"/>
      <c r="R43" s="3603">
        <f>E43</f>
        <v>1451</v>
      </c>
      <c r="S43" s="3603"/>
      <c r="T43" s="3603">
        <f>G43</f>
        <v>1299</v>
      </c>
      <c r="U43" s="3603"/>
      <c r="V43" s="3603">
        <f>I43</f>
        <v>1133</v>
      </c>
      <c r="W43" s="3603"/>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594" t="str">
        <f>A44</f>
        <v>比较价格（元/平方米）</v>
      </c>
      <c r="Q44" s="3594"/>
      <c r="R44" s="3595">
        <f>ROUND(PRODUCT(R43,AA9:AA42),0)</f>
        <v>1440</v>
      </c>
      <c r="S44" s="3595"/>
      <c r="T44" s="3595">
        <f>ROUND(PRODUCT(T43,AB9:AB42),0)</f>
        <v>1277</v>
      </c>
      <c r="U44" s="3595"/>
      <c r="V44" s="3595">
        <f>ROUND(PRODUCT(V43,AC9:AC42),0)</f>
        <v>1206</v>
      </c>
      <c r="W44" s="3595"/>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598" t="str">
        <f>A45</f>
        <v>估价对象XX用房的比较价格（楼面单价，元/平方米）</v>
      </c>
      <c r="Q45" s="3599"/>
      <c r="R45" s="3600">
        <f>ROUND(AVERAGE(R44:V44),0)</f>
        <v>1308</v>
      </c>
      <c r="S45" s="3600"/>
      <c r="T45" s="3600"/>
      <c r="U45" s="3600"/>
      <c r="V45" s="3600"/>
      <c r="W45" s="3600"/>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589" t="s">
        <v>3244</v>
      </c>
      <c r="H52" s="3590"/>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591"/>
      <c r="H53" s="3592"/>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593"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593"/>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593"/>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593"/>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6" sqref="L2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49"/>
      <c r="B4" s="3650"/>
      <c r="C4" s="3650"/>
      <c r="D4" s="3651"/>
      <c r="E4" s="3651"/>
      <c r="F4" s="3651"/>
      <c r="G4" s="3651"/>
      <c r="H4" s="3651"/>
      <c r="I4" s="3651"/>
      <c r="J4" s="3652"/>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35"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36"/>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46" t="s">
        <v>2839</v>
      </c>
      <c r="X8" s="364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36"/>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4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36"/>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36"/>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48"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35"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4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53"/>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48"/>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53"/>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54"/>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35"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36"/>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43"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44"/>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44"/>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45"/>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37" t="s">
        <v>2972</v>
      </c>
      <c r="B90" s="3637"/>
      <c r="C90" s="3637"/>
      <c r="D90" s="3637"/>
      <c r="E90" s="3637"/>
      <c r="F90" s="3637"/>
      <c r="G90" s="3637"/>
      <c r="H90" s="3637"/>
      <c r="I90" s="3637"/>
      <c r="J90" s="3637"/>
      <c r="K90" s="2891"/>
      <c r="L90" s="2891"/>
      <c r="M90" s="2891"/>
      <c r="N90" s="2891"/>
    </row>
    <row r="91" spans="1:37">
      <c r="A91" s="3639" t="s">
        <v>2973</v>
      </c>
      <c r="B91" s="3639" t="s">
        <v>2974</v>
      </c>
      <c r="C91" s="2845" t="s">
        <v>2975</v>
      </c>
      <c r="D91" s="2846"/>
      <c r="E91" s="2846"/>
      <c r="F91" s="2846"/>
      <c r="G91" s="2846"/>
      <c r="H91" s="2846"/>
      <c r="I91" s="2846"/>
      <c r="J91" s="2892"/>
      <c r="K91" s="2893"/>
      <c r="L91" s="2893"/>
      <c r="M91" s="2893"/>
      <c r="N91" s="2893"/>
    </row>
    <row r="92" spans="1:37">
      <c r="A92" s="3639"/>
      <c r="B92" s="363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40"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4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4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4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4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4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41"/>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4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40"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41"/>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41"/>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41"/>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41"/>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41"/>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41"/>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41"/>
      <c r="B108" s="347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42"/>
      <c r="B109" s="3472"/>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38" t="s">
        <v>2980</v>
      </c>
      <c r="B110" s="3638"/>
      <c r="C110" s="3638"/>
      <c r="D110" s="3638"/>
      <c r="E110" s="3638"/>
      <c r="F110" s="3638"/>
      <c r="G110" s="3638"/>
      <c r="H110" s="3638"/>
      <c r="I110" s="3638"/>
      <c r="J110" s="3638"/>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C15" sqref="C1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18954</v>
      </c>
      <c r="C2" s="318" t="s">
        <v>2463</v>
      </c>
      <c r="D2" s="318"/>
      <c r="E2" s="318"/>
      <c r="F2" s="318"/>
      <c r="G2" s="318"/>
      <c r="H2" s="318"/>
      <c r="I2" s="318"/>
      <c r="J2" s="318"/>
      <c r="K2" s="318"/>
    </row>
    <row r="3" spans="1:33" ht="18" customHeight="1" thickBot="1">
      <c r="A3" s="245" t="s">
        <v>2332</v>
      </c>
      <c r="B3" s="246">
        <f ca="1">ROUND(B2*10000/IF(C1="",'数据-汇总表'!E3,INDIRECT("'数据-取费表'!K"&amp;$K$1)),0)</f>
        <v>2613</v>
      </c>
      <c r="C3" s="318" t="s">
        <v>2464</v>
      </c>
      <c r="D3" s="318"/>
      <c r="E3" s="318"/>
      <c r="F3" s="318"/>
      <c r="G3" s="318"/>
      <c r="H3" s="318"/>
      <c r="I3" s="318"/>
      <c r="J3" s="318"/>
      <c r="K3" s="318"/>
    </row>
    <row r="4" spans="1:33" s="956" customFormat="1" ht="16.5" customHeight="1">
      <c r="A4" s="953" t="s">
        <v>2465</v>
      </c>
      <c r="B4" s="954"/>
      <c r="C4" s="996">
        <f ca="1">SUM(C8:K8)</f>
        <v>33044</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6805</v>
      </c>
      <c r="D6" s="962">
        <f ca="1">收益法地下厂房!B3</f>
        <v>3209</v>
      </c>
      <c r="E6" s="962">
        <f ca="1">收益法地下车库!B3</f>
        <v>3815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25556</v>
      </c>
      <c r="D8" s="997">
        <f ca="1">收益法地下厂房!B2</f>
        <v>2662</v>
      </c>
      <c r="E8" s="997">
        <f ca="1">收益法地下车库!B2</f>
        <v>4826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6909</v>
      </c>
      <c r="D11" s="973"/>
      <c r="E11" s="373"/>
      <c r="F11" s="974">
        <f ca="1">1-IF('数据-取费表'!B24=0,1,IF(C1="",'数据-取费表'!N16,INDIRECT("'数据-取费表'!n"&amp;$K$1)))</f>
        <v>0.41100000000000003</v>
      </c>
      <c r="G11" s="8"/>
      <c r="H11" s="968"/>
      <c r="I11" s="968"/>
      <c r="J11" s="968"/>
      <c r="K11" s="969"/>
    </row>
    <row r="12" spans="1:33" s="975" customFormat="1" ht="13.5" customHeight="1">
      <c r="A12" s="971" t="s">
        <v>1335</v>
      </c>
      <c r="B12" s="972" t="s">
        <v>2481</v>
      </c>
      <c r="C12" s="23">
        <f ca="1">ROUND(C11*F12,0)</f>
        <v>276</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596</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7885</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8755</v>
      </c>
      <c r="D21" s="987"/>
      <c r="E21" s="323"/>
      <c r="F21" s="323"/>
      <c r="G21" s="138" t="s">
        <v>2497</v>
      </c>
      <c r="H21" s="979"/>
      <c r="I21" s="979"/>
      <c r="J21" s="979"/>
      <c r="K21" s="980"/>
    </row>
    <row r="22" spans="1:33" s="975" customFormat="1" ht="13.5" customHeight="1">
      <c r="A22" s="961" t="s">
        <v>2469</v>
      </c>
      <c r="B22" s="985" t="s">
        <v>2498</v>
      </c>
      <c r="C22" s="986">
        <f ca="1">ROUND(C21*F22,0)</f>
        <v>175</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272</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107</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107</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1196</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1196</v>
      </c>
      <c r="D30" s="326"/>
      <c r="E30" s="327"/>
      <c r="F30" s="332"/>
      <c r="G30" s="138"/>
      <c r="H30" s="979"/>
      <c r="I30" s="979"/>
      <c r="J30" s="979"/>
      <c r="K30" s="980"/>
    </row>
    <row r="31" spans="1:33" s="975" customFormat="1" ht="13.5" customHeight="1" thickBot="1">
      <c r="A31" s="2559" t="s">
        <v>2514</v>
      </c>
      <c r="B31" s="1005" t="s">
        <v>2515</v>
      </c>
      <c r="C31" s="1006">
        <f ca="1">ROUND(C4*F31/(1+'数据-取费表'!C42),0)</f>
        <v>1731</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18954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70" zoomScaleNormal="70" zoomScaleSheetLayoutView="90" workbookViewId="0">
      <selection activeCell="C30" sqref="C3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3307</v>
      </c>
      <c r="E1" s="1821" t="s">
        <v>1387</v>
      </c>
      <c r="F1" s="1283">
        <f ca="1">J53</f>
        <v>45.18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25556</v>
      </c>
      <c r="C2" s="1845" t="s">
        <v>1516</v>
      </c>
      <c r="D2" s="1845"/>
      <c r="E2" s="1846"/>
      <c r="F2" s="1847"/>
      <c r="G2" s="1848"/>
      <c r="H2" s="1840"/>
      <c r="I2" s="1840"/>
      <c r="J2" s="1840"/>
      <c r="K2" s="1841"/>
      <c r="L2" s="1840"/>
      <c r="M2" s="1840"/>
    </row>
    <row r="3" spans="1:37" ht="18" customHeight="1" thickBot="1">
      <c r="A3" s="1849" t="s">
        <v>1517</v>
      </c>
      <c r="B3" s="1850">
        <f ca="1">IF(ISERROR(B2*10000/F43),0,ROUND(B2*10000/F43,0))</f>
        <v>6805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1851</v>
      </c>
      <c r="D6" s="162" t="s">
        <v>3032</v>
      </c>
      <c r="E6" s="345" t="s">
        <v>1405</v>
      </c>
      <c r="F6" s="346">
        <f ca="1">INDIRECT("'数据-取费表'!u"&amp;$G$1)</f>
        <v>1.5</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37556.699999999997</v>
      </c>
      <c r="G7" s="1851"/>
      <c r="H7" s="347"/>
      <c r="I7" s="3658"/>
      <c r="J7" s="349"/>
      <c r="K7" s="350"/>
      <c r="L7" s="345" t="s">
        <v>1406</v>
      </c>
      <c r="M7" s="346">
        <f ca="1">F7</f>
        <v>37556.699999999997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617</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18.5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3">
        <f ca="1">C5-C30</f>
        <v>1236</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25556</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6805</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-55449</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25556</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-1880</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25556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3105</v>
      </c>
      <c r="K56" s="1887" t="s">
        <v>1555</v>
      </c>
      <c r="L56" s="1890" t="str">
        <f ca="1">IF(L48&lt;J51,"——",L48-J53)</f>
        <v>——</v>
      </c>
      <c r="O56" s="1884" t="s">
        <v>1040</v>
      </c>
      <c r="P56" s="1885" t="s">
        <v>1528</v>
      </c>
      <c r="Q56" s="1886">
        <f ca="1">C40+J29</f>
        <v>25556</v>
      </c>
      <c r="R56" s="1886" t="s">
        <v>1529</v>
      </c>
    </row>
    <row r="57" spans="1:18" s="1842" customFormat="1" ht="24.75" thickBot="1">
      <c r="A57" s="1918"/>
      <c r="B57" s="1169" t="s">
        <v>1478</v>
      </c>
      <c r="C57" s="280">
        <f ca="1">C29</f>
        <v>16671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25556</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25556</v>
      </c>
      <c r="R65" s="1886" t="s">
        <v>1529</v>
      </c>
    </row>
    <row r="66" spans="1:18" s="1842" customFormat="1" ht="16.5" thickBot="1">
      <c r="A66" s="1201" t="s">
        <v>1504</v>
      </c>
      <c r="B66" s="1169" t="s">
        <v>1439</v>
      </c>
      <c r="C66" s="23">
        <f ca="1">ROUND(C48*F66,1)</f>
        <v>0</v>
      </c>
      <c r="D66" s="1183" t="s">
        <v>1505</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-1880</v>
      </c>
      <c r="R67" s="1886" t="s">
        <v>1582</v>
      </c>
    </row>
    <row r="68" spans="1:18" s="1842" customFormat="1" ht="16.5" thickBot="1">
      <c r="A68" s="1166" t="s">
        <v>1032</v>
      </c>
      <c r="B68" s="1167" t="s">
        <v>1485</v>
      </c>
      <c r="C68" s="344">
        <f ca="1">ROUND(C67*(1-((1+F70)/(1+F68))^F69)/(F68-F70),0)</f>
        <v>-29893</v>
      </c>
      <c r="D68" s="1184" t="s">
        <v>1469</v>
      </c>
      <c r="E68" s="1169" t="s">
        <v>1470</v>
      </c>
      <c r="F68" s="355">
        <f ca="1">F40</f>
        <v>4.9999999999999996E-2</v>
      </c>
      <c r="O68" s="1894" t="s">
        <v>1043</v>
      </c>
      <c r="P68" s="1934" t="s">
        <v>1583</v>
      </c>
      <c r="Q68" s="1886">
        <f ca="1">ROUND(Q69-Q70*Q71,0)</f>
        <v>-98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1236</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-7959</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25556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-7.8999999999999959E-2</v>
      </c>
    </row>
    <row r="80" spans="1:18">
      <c r="B80" s="384" t="s">
        <v>1511</v>
      </c>
      <c r="C80" s="316">
        <f ca="1">ROUND(C75/C39,3)</f>
        <v>1.079</v>
      </c>
    </row>
    <row r="81" spans="2:3">
      <c r="B81" s="312" t="s">
        <v>1512</v>
      </c>
      <c r="C81" s="280"/>
    </row>
    <row r="82" spans="2:3">
      <c r="B82" s="315" t="s">
        <v>1513</v>
      </c>
      <c r="C82" s="317">
        <f ca="1">1-C83</f>
        <v>0.34799999999999998</v>
      </c>
    </row>
    <row r="83" spans="2:3">
      <c r="B83" s="315" t="s">
        <v>1514</v>
      </c>
      <c r="C83" s="316">
        <f ca="1">ROUND(C13/C40,3)</f>
        <v>0.65200000000000002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F26" sqref="F2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3307</v>
      </c>
      <c r="E1" s="1821" t="s">
        <v>1387</v>
      </c>
      <c r="F1" s="1283">
        <f ca="1">J53</f>
        <v>45.18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2662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245</v>
      </c>
      <c r="D6" s="162" t="s">
        <v>3032</v>
      </c>
      <c r="E6" s="345" t="s">
        <v>1405</v>
      </c>
      <c r="F6" s="346">
        <f ca="1">INDIRECT("'数据-取费表'!u"&amp;$G$1)</f>
        <v>0.9</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8295.2800000000007</v>
      </c>
      <c r="G7" s="1851"/>
      <c r="H7" s="347"/>
      <c r="I7" s="3658"/>
      <c r="J7" s="349"/>
      <c r="K7" s="350"/>
      <c r="L7" s="345" t="s">
        <v>1406</v>
      </c>
      <c r="M7" s="346">
        <f ca="1">F7</f>
        <v>8295.2800000000007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106</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2.5</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139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2662</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3209</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-9263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2662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-2996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2662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3105</v>
      </c>
      <c r="K56" s="1887" t="s">
        <v>1555</v>
      </c>
      <c r="L56" s="1890" t="str">
        <f ca="1">IF(L48&lt;J51,"——",L48-J53)</f>
        <v>——</v>
      </c>
      <c r="O56" s="1884" t="s">
        <v>1040</v>
      </c>
      <c r="P56" s="1885" t="s">
        <v>1528</v>
      </c>
      <c r="Q56" s="1886">
        <f ca="1">C40+J29</f>
        <v>2662</v>
      </c>
      <c r="R56" s="1886" t="s">
        <v>1529</v>
      </c>
    </row>
    <row r="57" spans="1:18" s="1842" customFormat="1" ht="24.75" thickBot="1">
      <c r="A57" s="1918"/>
      <c r="B57" s="1169" t="s">
        <v>1478</v>
      </c>
      <c r="C57" s="280">
        <f ca="1">C29</f>
        <v>3683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2662</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2662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-2996</v>
      </c>
      <c r="R67" s="1886" t="s">
        <v>1582</v>
      </c>
    </row>
    <row r="68" spans="1:18" s="1842" customFormat="1" ht="16.5" thickBot="1">
      <c r="A68" s="1166" t="s">
        <v>1032</v>
      </c>
      <c r="B68" s="1167" t="s">
        <v>1485</v>
      </c>
      <c r="C68" s="344">
        <f ca="1">ROUND(C67*(1-((1+F70)/(1+F68))^F69)/(F68-F70),0)</f>
        <v>-6601</v>
      </c>
      <c r="D68" s="1184" t="s">
        <v>1469</v>
      </c>
      <c r="E68" s="1169" t="s">
        <v>1470</v>
      </c>
      <c r="F68" s="355">
        <f ca="1">F40</f>
        <v>4.9999999999999996E-2</v>
      </c>
      <c r="O68" s="1894" t="s">
        <v>1043</v>
      </c>
      <c r="P68" s="1934" t="s">
        <v>1583</v>
      </c>
      <c r="Q68" s="1886">
        <f ca="1">ROUND(Q69-Q70*Q71,0)</f>
        <v>-156</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139</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-7958</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2662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-1.1219999999999999</v>
      </c>
    </row>
    <row r="80" spans="1:18">
      <c r="B80" s="384" t="s">
        <v>1511</v>
      </c>
      <c r="C80" s="316">
        <f ca="1">ROUND(C75/C39,3)</f>
        <v>2.1219999999999999</v>
      </c>
    </row>
    <row r="81" spans="2:3">
      <c r="B81" s="312" t="s">
        <v>1512</v>
      </c>
      <c r="C81" s="280"/>
    </row>
    <row r="82" spans="2:3">
      <c r="B82" s="315" t="s">
        <v>1513</v>
      </c>
      <c r="C82" s="317">
        <f ca="1">1-C83</f>
        <v>-0.3839999999999999</v>
      </c>
    </row>
    <row r="83" spans="2:3">
      <c r="B83" s="315" t="s">
        <v>1514</v>
      </c>
      <c r="C83" s="316">
        <f ca="1">ROUND(C13/C40,3)</f>
        <v>1.3839999999999999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E55" sqref="E5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3307</v>
      </c>
      <c r="E1" s="1821" t="s">
        <v>1387</v>
      </c>
      <c r="F1" s="1283">
        <f ca="1">J53</f>
        <v>45.18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4826</v>
      </c>
      <c r="C2" s="1845" t="s">
        <v>1516</v>
      </c>
      <c r="D2" s="1845"/>
      <c r="E2" s="1846"/>
      <c r="F2" s="1847"/>
      <c r="G2" s="1848"/>
      <c r="H2" s="1840"/>
      <c r="I2" s="1840"/>
      <c r="J2" s="1840"/>
      <c r="K2" s="1841"/>
      <c r="L2" s="1840"/>
      <c r="M2" s="1840"/>
    </row>
    <row r="3" spans="1:37" ht="18" customHeight="1" thickBot="1">
      <c r="A3" s="1849" t="s">
        <v>1517</v>
      </c>
      <c r="B3" s="1850">
        <f ca="1">IF(ISERROR(B2*10000/F43),0,ROUND(B2*10000/F43,0))</f>
        <v>3815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374</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374</v>
      </c>
      <c r="D6" s="162" t="s">
        <v>3032</v>
      </c>
      <c r="E6" s="345" t="s">
        <v>1405</v>
      </c>
      <c r="F6" s="346">
        <f ca="1">INDIRECT("'数据-取费表'!u"&amp;$G$1)</f>
        <v>0.9</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12648.5</v>
      </c>
      <c r="G7" s="1851"/>
      <c r="H7" s="347"/>
      <c r="I7" s="3658"/>
      <c r="J7" s="349"/>
      <c r="K7" s="350"/>
      <c r="L7" s="345" t="s">
        <v>1406</v>
      </c>
      <c r="M7" s="346">
        <f ca="1">F7</f>
        <v>12648.5</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141</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65.900000000000006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19.59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44.88</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3.7</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233</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4826</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3815</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-13208</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4826</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-2366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4826</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3105</v>
      </c>
      <c r="K56" s="1887" t="s">
        <v>1555</v>
      </c>
      <c r="L56" s="1890" t="str">
        <f ca="1">IF(L48&lt;J51,"——",L48-J53)</f>
        <v>——</v>
      </c>
      <c r="O56" s="1884" t="s">
        <v>1040</v>
      </c>
      <c r="P56" s="1885" t="s">
        <v>1528</v>
      </c>
      <c r="Q56" s="1886">
        <f ca="1">C40+J29</f>
        <v>4826</v>
      </c>
      <c r="R56" s="1886" t="s">
        <v>1529</v>
      </c>
    </row>
    <row r="57" spans="1:18" s="1842" customFormat="1" ht="24.75" thickBot="1">
      <c r="A57" s="1918"/>
      <c r="B57" s="1169" t="s">
        <v>1478</v>
      </c>
      <c r="C57" s="280">
        <f ca="1">C29</f>
        <v>4332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4826</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4826</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-2366</v>
      </c>
      <c r="R67" s="1886" t="s">
        <v>1582</v>
      </c>
    </row>
    <row r="68" spans="1:18" s="1842" customFormat="1" ht="16.5" thickBot="1">
      <c r="A68" s="1166" t="s">
        <v>1032</v>
      </c>
      <c r="B68" s="1167" t="s">
        <v>1485</v>
      </c>
      <c r="C68" s="344">
        <f ca="1">ROUND(C67*(1-((1+F70)/(1+F68))^F69)/(F68-F70),0)</f>
        <v>-8382</v>
      </c>
      <c r="D68" s="1184" t="s">
        <v>1469</v>
      </c>
      <c r="E68" s="1169" t="s">
        <v>1470</v>
      </c>
      <c r="F68" s="355">
        <f ca="1">F40</f>
        <v>4.4999999999999998E-2</v>
      </c>
      <c r="O68" s="1894" t="s">
        <v>1043</v>
      </c>
      <c r="P68" s="1934" t="s">
        <v>1583</v>
      </c>
      <c r="Q68" s="1886">
        <f ca="1">ROUND(Q69-Q70*Q71,0)</f>
        <v>-114</v>
      </c>
      <c r="R68" s="1886" t="s">
        <v>1051</v>
      </c>
    </row>
    <row r="69" spans="1:18" s="1842" customFormat="1" ht="13.5" thickBot="1">
      <c r="A69" s="1170"/>
      <c r="B69" s="1171"/>
      <c r="C69" s="349"/>
      <c r="D69" s="1189" t="s">
        <v>1473</v>
      </c>
      <c r="E69" s="1169" t="s">
        <v>1474</v>
      </c>
      <c r="F69" s="377">
        <f ca="1">F41</f>
        <v>45.18</v>
      </c>
      <c r="O69" s="1894" t="s">
        <v>1048</v>
      </c>
      <c r="P69" s="1934" t="s">
        <v>1584</v>
      </c>
      <c r="Q69" s="1886">
        <f ca="1">C39</f>
        <v>233</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-6627</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4826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-0.4890000000000001</v>
      </c>
    </row>
    <row r="80" spans="1:18">
      <c r="B80" s="384" t="s">
        <v>1511</v>
      </c>
      <c r="C80" s="316">
        <f ca="1">ROUND(C75/C39,3)</f>
        <v>1.4890000000000001</v>
      </c>
    </row>
    <row r="81" spans="2:3">
      <c r="B81" s="312" t="s">
        <v>1512</v>
      </c>
      <c r="C81" s="280"/>
    </row>
    <row r="82" spans="2:3">
      <c r="B82" s="315" t="s">
        <v>1513</v>
      </c>
      <c r="C82" s="317">
        <f ca="1">1-C83</f>
        <v>0.10199999999999998</v>
      </c>
    </row>
    <row r="83" spans="2:3">
      <c r="B83" s="315" t="s">
        <v>1514</v>
      </c>
      <c r="C83" s="316">
        <f ca="1">ROUND(C13/C40,3)</f>
        <v>0.89800000000000002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7" t="s">
        <v>1403</v>
      </c>
      <c r="C6" s="1296">
        <f ca="1">ROUND(F6*F8*F7*(1-F9),0)</f>
        <v>0</v>
      </c>
      <c r="D6" s="162" t="s">
        <v>3029</v>
      </c>
      <c r="E6" s="345" t="s">
        <v>1405</v>
      </c>
      <c r="F6" s="346">
        <f ca="1">INDIRECT("'数据-取费表'!u"&amp;$G$1)</f>
        <v>0</v>
      </c>
      <c r="G6" s="1851"/>
      <c r="H6" s="1291" t="s">
        <v>1035</v>
      </c>
      <c r="I6" s="3657" t="s">
        <v>1403</v>
      </c>
      <c r="J6" s="344">
        <f ca="1">ROUND(M6*M8*M7*(1-M9),0)</f>
        <v>0</v>
      </c>
      <c r="K6" s="1834" t="s">
        <v>3030</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0</v>
      </c>
      <c r="G7" s="1851"/>
      <c r="H7" s="347"/>
      <c r="I7" s="3658"/>
      <c r="J7" s="349"/>
      <c r="K7" s="350"/>
      <c r="L7" s="345" t="s">
        <v>1406</v>
      </c>
      <c r="M7" s="346">
        <f ca="1">F7</f>
        <v>0</v>
      </c>
    </row>
    <row r="8" spans="1:37" ht="18" customHeight="1">
      <c r="A8" s="347"/>
      <c r="B8" s="3658"/>
      <c r="C8" s="349"/>
      <c r="D8" s="350"/>
      <c r="E8" s="345" t="s">
        <v>1407</v>
      </c>
      <c r="F8" s="346">
        <f ca="1">INDIRECT("'数据-取费表'!ai"&amp;$G$1)</f>
        <v>0</v>
      </c>
      <c r="G8" s="1851"/>
      <c r="H8" s="347"/>
      <c r="I8" s="3658"/>
      <c r="J8" s="349"/>
      <c r="K8" s="350"/>
      <c r="L8" s="345" t="s">
        <v>1407</v>
      </c>
      <c r="M8" s="346">
        <f ca="1">INDIRECT("'数据-取费表'!ai"&amp;$G$1)</f>
        <v>0</v>
      </c>
    </row>
    <row r="9" spans="1:37" ht="18" customHeight="1">
      <c r="A9" s="347"/>
      <c r="B9" s="3659"/>
      <c r="C9" s="349"/>
      <c r="D9" s="350"/>
      <c r="E9" s="345" t="s">
        <v>1408</v>
      </c>
      <c r="F9" s="355">
        <f ca="1">INDIRECT("'数据-取费表'!w"&amp;$G$1)</f>
        <v>0</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5" t="s">
        <v>1548</v>
      </c>
      <c r="L53" s="36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33044</v>
      </c>
      <c r="C2" s="2565" t="s">
        <v>2519</v>
      </c>
      <c r="D2" s="2566" t="s">
        <v>2520</v>
      </c>
      <c r="E2" s="2567">
        <f>SUM(E6:E13)</f>
        <v>72534.44</v>
      </c>
    </row>
    <row r="3" spans="1:6" ht="15.75">
      <c r="A3" s="2563" t="s">
        <v>1395</v>
      </c>
      <c r="B3" s="2564">
        <f ca="1">ROUND(B2*10000/E2,0)</f>
        <v>4556</v>
      </c>
      <c r="C3" s="2565" t="s">
        <v>2527</v>
      </c>
      <c r="D3" s="2568"/>
      <c r="E3" s="2569"/>
    </row>
    <row r="4" spans="1:6" ht="15.75">
      <c r="A4" s="2570"/>
      <c r="B4" s="2568"/>
      <c r="C4" s="2568"/>
      <c r="D4" s="2568"/>
      <c r="E4" s="2569"/>
    </row>
    <row r="5" spans="1:6" ht="15">
      <c r="A5" s="2571" t="s">
        <v>2521</v>
      </c>
      <c r="B5" s="3660" t="s">
        <v>2522</v>
      </c>
      <c r="C5" s="3660"/>
      <c r="D5" s="2572"/>
      <c r="E5" s="2573" t="s">
        <v>2523</v>
      </c>
      <c r="F5" s="2574" t="s">
        <v>2524</v>
      </c>
    </row>
    <row r="6" spans="1:6">
      <c r="A6" s="2575" t="str">
        <f>'数据-取费表'!AN6</f>
        <v>收益法</v>
      </c>
      <c r="B6" s="2574">
        <f ca="1">IF(F6="是",'数据-取费表'!AO6,0)</f>
        <v>25556</v>
      </c>
      <c r="C6" s="2565" t="s">
        <v>2519</v>
      </c>
      <c r="D6" s="2568"/>
      <c r="E6" s="2576">
        <f>IF(OR(A6=0,F6="否"),0,'数据-取费表'!K6+'数据-取费表'!S6)</f>
        <v>46566.36</v>
      </c>
      <c r="F6" s="2577" t="s">
        <v>2525</v>
      </c>
    </row>
    <row r="7" spans="1:6">
      <c r="A7" s="2575" t="str">
        <f>'数据-取费表'!AN7</f>
        <v>收益法地下厂房</v>
      </c>
      <c r="B7" s="2574">
        <f ca="1">IF(F7="是",'数据-取费表'!AO7,0)</f>
        <v>2662</v>
      </c>
      <c r="C7" s="2565" t="s">
        <v>2519</v>
      </c>
      <c r="D7" s="2568"/>
      <c r="E7" s="2576">
        <f>IF(OR(A7=0,F7="否"),0,'数据-取费表'!K7+'数据-取费表'!S7)</f>
        <v>10285.27</v>
      </c>
      <c r="F7" s="2577" t="s">
        <v>2525</v>
      </c>
    </row>
    <row r="8" spans="1:6">
      <c r="A8" s="2575" t="str">
        <f>'数据-取费表'!AN8</f>
        <v>收益法地下车库</v>
      </c>
      <c r="B8" s="2574">
        <f ca="1">IF(F8="是",'数据-取费表'!AO8,0)</f>
        <v>4826</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61" t="s">
        <v>1076</v>
      </c>
      <c r="B1" s="3662"/>
      <c r="C1" s="3663"/>
      <c r="D1" s="3664">
        <f>SUM(I10,I15,I20,I21,I23)</f>
        <v>0</v>
      </c>
      <c r="E1" s="3664"/>
      <c r="F1" s="3664"/>
      <c r="G1" s="3664"/>
      <c r="H1" s="3664"/>
      <c r="I1" s="3665"/>
    </row>
    <row r="2" spans="1:9">
      <c r="A2" s="3666" t="s">
        <v>1077</v>
      </c>
      <c r="B2" s="3667" t="s">
        <v>1078</v>
      </c>
      <c r="C2" s="3667"/>
      <c r="D2" s="1301" t="s">
        <v>1079</v>
      </c>
      <c r="E2" s="1301" t="s">
        <v>1080</v>
      </c>
      <c r="F2" s="1301" t="s">
        <v>1081</v>
      </c>
      <c r="G2" s="1301" t="s">
        <v>1082</v>
      </c>
      <c r="H2" s="1301" t="s">
        <v>1083</v>
      </c>
      <c r="I2" s="1302" t="s">
        <v>1084</v>
      </c>
    </row>
    <row r="3" spans="1:9">
      <c r="A3" s="3666"/>
      <c r="B3" s="3667" t="s">
        <v>1085</v>
      </c>
      <c r="C3" s="3667"/>
      <c r="D3" s="1303"/>
      <c r="E3" s="1301"/>
      <c r="F3" s="1304"/>
      <c r="G3" s="1304"/>
      <c r="H3" s="1305"/>
      <c r="I3" s="1306">
        <f>ROUND(D3*E3*F3*G3*H3/10000,0)</f>
        <v>0</v>
      </c>
    </row>
    <row r="4" spans="1:9">
      <c r="A4" s="3666"/>
      <c r="B4" s="3667" t="s">
        <v>1086</v>
      </c>
      <c r="C4" s="3667"/>
      <c r="D4" s="1303"/>
      <c r="E4" s="1301"/>
      <c r="F4" s="1304"/>
      <c r="G4" s="1304"/>
      <c r="H4" s="1305"/>
      <c r="I4" s="1306">
        <f t="shared" ref="I4:I9" si="0">ROUND(D4*E4*F4*G4*H4/10000,0)</f>
        <v>0</v>
      </c>
    </row>
    <row r="5" spans="1:9">
      <c r="A5" s="3666"/>
      <c r="B5" s="3667" t="s">
        <v>1087</v>
      </c>
      <c r="C5" s="3667"/>
      <c r="D5" s="1303"/>
      <c r="E5" s="1301"/>
      <c r="F5" s="1304"/>
      <c r="G5" s="1304"/>
      <c r="H5" s="1305"/>
      <c r="I5" s="1306">
        <f t="shared" si="0"/>
        <v>0</v>
      </c>
    </row>
    <row r="6" spans="1:9">
      <c r="A6" s="3666"/>
      <c r="B6" s="3667" t="s">
        <v>1088</v>
      </c>
      <c r="C6" s="3667"/>
      <c r="D6" s="1303"/>
      <c r="E6" s="1301"/>
      <c r="F6" s="1304"/>
      <c r="G6" s="1304"/>
      <c r="H6" s="1305"/>
      <c r="I6" s="1306">
        <f t="shared" si="0"/>
        <v>0</v>
      </c>
    </row>
    <row r="7" spans="1:9">
      <c r="A7" s="3666"/>
      <c r="B7" s="3667" t="s">
        <v>1089</v>
      </c>
      <c r="C7" s="3667"/>
      <c r="D7" s="1303"/>
      <c r="E7" s="1301"/>
      <c r="F7" s="1304"/>
      <c r="G7" s="1304"/>
      <c r="H7" s="1305"/>
      <c r="I7" s="1306">
        <f t="shared" si="0"/>
        <v>0</v>
      </c>
    </row>
    <row r="8" spans="1:9">
      <c r="A8" s="3666"/>
      <c r="B8" s="3667" t="s">
        <v>1090</v>
      </c>
      <c r="C8" s="3667"/>
      <c r="D8" s="1303"/>
      <c r="E8" s="1301"/>
      <c r="F8" s="1304"/>
      <c r="G8" s="1304"/>
      <c r="H8" s="1305"/>
      <c r="I8" s="1306">
        <f t="shared" si="0"/>
        <v>0</v>
      </c>
    </row>
    <row r="9" spans="1:9">
      <c r="A9" s="3666"/>
      <c r="B9" s="3667" t="s">
        <v>1091</v>
      </c>
      <c r="C9" s="3667"/>
      <c r="D9" s="1303"/>
      <c r="E9" s="1301"/>
      <c r="F9" s="1304"/>
      <c r="G9" s="1304"/>
      <c r="H9" s="1305"/>
      <c r="I9" s="1306">
        <f t="shared" si="0"/>
        <v>0</v>
      </c>
    </row>
    <row r="10" spans="1:9">
      <c r="A10" s="3666"/>
      <c r="B10" s="3668" t="s">
        <v>1092</v>
      </c>
      <c r="C10" s="3668"/>
      <c r="D10" s="1307"/>
      <c r="E10" s="1307" t="e">
        <f>ROUND(D1*10000/D10/H9,0)</f>
        <v>#DIV/0!</v>
      </c>
      <c r="F10" s="1308"/>
      <c r="G10" s="1308"/>
      <c r="H10" s="1309"/>
      <c r="I10" s="1310">
        <f>SUM(I3:I9)</f>
        <v>0</v>
      </c>
    </row>
    <row r="11" spans="1:9" ht="14.25">
      <c r="A11" s="3666" t="s">
        <v>1093</v>
      </c>
      <c r="B11" s="3667" t="s">
        <v>1094</v>
      </c>
      <c r="C11" s="3667"/>
      <c r="D11" s="1303" t="s">
        <v>1095</v>
      </c>
      <c r="E11" s="1303" t="s">
        <v>1096</v>
      </c>
      <c r="F11" s="1304" t="s">
        <v>1097</v>
      </c>
      <c r="G11" s="1304" t="s">
        <v>1083</v>
      </c>
      <c r="H11" s="1311" t="s">
        <v>1098</v>
      </c>
      <c r="I11" s="1302" t="s">
        <v>1084</v>
      </c>
    </row>
    <row r="12" spans="1:9">
      <c r="A12" s="3666"/>
      <c r="B12" s="3667" t="s">
        <v>1099</v>
      </c>
      <c r="C12" s="3667"/>
      <c r="D12" s="1303"/>
      <c r="E12" s="1303"/>
      <c r="F12" s="1304"/>
      <c r="G12" s="1305"/>
      <c r="H12" s="1312"/>
      <c r="I12" s="1302">
        <f>ROUND(D12*E12*F12*G12/10000,0)</f>
        <v>0</v>
      </c>
    </row>
    <row r="13" spans="1:9">
      <c r="A13" s="3666"/>
      <c r="B13" s="3667" t="s">
        <v>1100</v>
      </c>
      <c r="C13" s="3667"/>
      <c r="D13" s="1303"/>
      <c r="E13" s="1303"/>
      <c r="F13" s="1304"/>
      <c r="G13" s="1305"/>
      <c r="H13" s="1312"/>
      <c r="I13" s="1302">
        <f>ROUND(D13*E13*F13*G13/10000,0)</f>
        <v>0</v>
      </c>
    </row>
    <row r="14" spans="1:9">
      <c r="A14" s="3666"/>
      <c r="B14" s="3667" t="s">
        <v>1101</v>
      </c>
      <c r="C14" s="3667"/>
      <c r="D14" s="1303"/>
      <c r="E14" s="1303"/>
      <c r="F14" s="1304"/>
      <c r="G14" s="1305"/>
      <c r="H14" s="1312"/>
      <c r="I14" s="1302">
        <f>ROUND(D14*E14*F14*G14/10000,0)</f>
        <v>0</v>
      </c>
    </row>
    <row r="15" spans="1:9">
      <c r="A15" s="3666"/>
      <c r="B15" s="3668" t="s">
        <v>1092</v>
      </c>
      <c r="C15" s="3668"/>
      <c r="D15" s="1307"/>
      <c r="E15" s="1307">
        <f>SUM(E12:E14)</f>
        <v>0</v>
      </c>
      <c r="F15" s="1308"/>
      <c r="G15" s="1305"/>
      <c r="H15" s="1312"/>
      <c r="I15" s="1313">
        <f>SUM(I12:I14)</f>
        <v>0</v>
      </c>
    </row>
    <row r="16" spans="1:9" ht="24">
      <c r="A16" s="3666" t="s">
        <v>1102</v>
      </c>
      <c r="B16" s="3667" t="s">
        <v>1103</v>
      </c>
      <c r="C16" s="3667"/>
      <c r="D16" s="1303" t="s">
        <v>1079</v>
      </c>
      <c r="E16" s="1314" t="s">
        <v>1104</v>
      </c>
      <c r="F16" s="1304" t="s">
        <v>1105</v>
      </c>
      <c r="G16" s="1305" t="s">
        <v>1083</v>
      </c>
      <c r="H16" s="1311" t="s">
        <v>1098</v>
      </c>
      <c r="I16" s="1302" t="s">
        <v>1084</v>
      </c>
    </row>
    <row r="17" spans="1:9" ht="14.25">
      <c r="A17" s="3666"/>
      <c r="B17" s="3667" t="s">
        <v>1106</v>
      </c>
      <c r="C17" s="3667"/>
      <c r="D17" s="1303"/>
      <c r="E17" s="1303"/>
      <c r="F17" s="1304"/>
      <c r="G17" s="1305"/>
      <c r="H17" s="1315"/>
      <c r="I17" s="1316">
        <f>ROUND(D17*E17*F17*G17/10000,0)</f>
        <v>0</v>
      </c>
    </row>
    <row r="18" spans="1:9" ht="14.25">
      <c r="A18" s="3666"/>
      <c r="B18" s="3667" t="s">
        <v>1107</v>
      </c>
      <c r="C18" s="3667"/>
      <c r="D18" s="1303"/>
      <c r="E18" s="1303"/>
      <c r="F18" s="1304"/>
      <c r="G18" s="1305"/>
      <c r="H18" s="1315"/>
      <c r="I18" s="1316">
        <f>ROUND(D18*E18*F18*G18/10000,0)</f>
        <v>0</v>
      </c>
    </row>
    <row r="19" spans="1:9" ht="14.25">
      <c r="A19" s="3666"/>
      <c r="B19" s="3667" t="s">
        <v>1108</v>
      </c>
      <c r="C19" s="3667"/>
      <c r="D19" s="1303"/>
      <c r="E19" s="1303"/>
      <c r="F19" s="1304"/>
      <c r="G19" s="1305"/>
      <c r="H19" s="1315"/>
      <c r="I19" s="1316">
        <f>ROUND(D19*E19*F19*G19/10000,0)</f>
        <v>0</v>
      </c>
    </row>
    <row r="20" spans="1:9">
      <c r="A20" s="3666"/>
      <c r="B20" s="3668" t="s">
        <v>1092</v>
      </c>
      <c r="C20" s="3668"/>
      <c r="D20" s="1307">
        <f>SUM(D17:D19)</f>
        <v>0</v>
      </c>
      <c r="E20" s="1307"/>
      <c r="F20" s="1308"/>
      <c r="G20" s="1305"/>
      <c r="H20" s="1312"/>
      <c r="I20" s="1313">
        <f>SUM(I17:I19)</f>
        <v>0</v>
      </c>
    </row>
    <row r="21" spans="1:9">
      <c r="A21" s="3666" t="s">
        <v>1109</v>
      </c>
      <c r="B21" s="3670"/>
      <c r="C21" s="3670"/>
      <c r="D21" s="3670"/>
      <c r="E21" s="3670"/>
      <c r="F21" s="3670"/>
      <c r="G21" s="3670"/>
      <c r="H21" s="1765">
        <v>0.1</v>
      </c>
      <c r="I21" s="1310">
        <f>ROUND(I10*H21,0)</f>
        <v>0</v>
      </c>
    </row>
    <row r="22" spans="1:9" ht="14.25">
      <c r="A22" s="3671" t="s">
        <v>1110</v>
      </c>
      <c r="B22" s="3672"/>
      <c r="C22" s="3673"/>
      <c r="D22" s="1317" t="s">
        <v>1111</v>
      </c>
      <c r="E22" s="1317" t="s">
        <v>1112</v>
      </c>
      <c r="F22" s="1318" t="s">
        <v>1113</v>
      </c>
      <c r="G22" s="1318" t="s">
        <v>1114</v>
      </c>
      <c r="H22" s="1311" t="s">
        <v>1115</v>
      </c>
      <c r="I22" s="1302" t="s">
        <v>1116</v>
      </c>
    </row>
    <row r="23" spans="1:9" ht="14.25" thickBot="1">
      <c r="A23" s="3674"/>
      <c r="B23" s="3675"/>
      <c r="C23" s="3676"/>
      <c r="D23" s="1319"/>
      <c r="E23" s="1319"/>
      <c r="F23" s="1319"/>
      <c r="G23" s="1320"/>
      <c r="H23" s="1321"/>
      <c r="I23" s="1322">
        <f>ROUND(E23*D23*F23*(1-G23)/10000,0)</f>
        <v>0</v>
      </c>
    </row>
    <row r="26" spans="1:9">
      <c r="A26" s="1323" t="s">
        <v>1117</v>
      </c>
      <c r="B26" s="1323"/>
      <c r="C26" s="1323"/>
      <c r="D26" s="1323"/>
      <c r="E26" s="3677">
        <f>C27-C30-C31-C32</f>
        <v>0</v>
      </c>
      <c r="F26" s="3677"/>
      <c r="G26" s="3677"/>
      <c r="H26" s="1737" t="s">
        <v>1340</v>
      </c>
    </row>
    <row r="27" spans="1:9">
      <c r="A27" s="1324">
        <v>1</v>
      </c>
      <c r="B27" s="1325" t="s">
        <v>1118</v>
      </c>
      <c r="C27" s="1325">
        <f>C28+C29</f>
        <v>0</v>
      </c>
      <c r="D27" s="1325"/>
      <c r="E27" s="3678"/>
      <c r="F27" s="3678"/>
      <c r="G27" s="3678"/>
    </row>
    <row r="28" spans="1:9">
      <c r="A28" s="1326" t="s">
        <v>1119</v>
      </c>
      <c r="B28" s="1325" t="s">
        <v>1120</v>
      </c>
      <c r="C28" s="1325"/>
      <c r="D28" s="1325"/>
      <c r="E28" s="3678"/>
      <c r="F28" s="3678"/>
      <c r="G28" s="367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9"/>
      <c r="F32" s="3669"/>
      <c r="G32" s="3669"/>
    </row>
    <row r="33" spans="1:7" hidden="1">
      <c r="A33" s="3679" t="s">
        <v>1129</v>
      </c>
      <c r="B33" s="3680"/>
      <c r="C33" s="3680"/>
      <c r="D33" s="3681"/>
      <c r="E33" s="3677"/>
      <c r="F33" s="3677"/>
      <c r="G33" s="3677"/>
    </row>
    <row r="34" spans="1:7" hidden="1">
      <c r="A34" s="1328">
        <v>1</v>
      </c>
      <c r="B34" s="1325" t="s">
        <v>1130</v>
      </c>
      <c r="C34" s="1325"/>
      <c r="D34" s="1325"/>
      <c r="E34" s="3678"/>
      <c r="F34" s="3678"/>
      <c r="G34" s="3678"/>
    </row>
    <row r="35" spans="1:7" hidden="1">
      <c r="A35" s="1328">
        <v>2</v>
      </c>
      <c r="B35" s="1325" t="s">
        <v>1131</v>
      </c>
      <c r="C35" s="1325"/>
      <c r="D35" s="1325"/>
      <c r="E35" s="3678"/>
      <c r="F35" s="3678"/>
      <c r="G35" s="3678"/>
    </row>
    <row r="36" spans="1:7" hidden="1">
      <c r="A36" s="1328">
        <v>3</v>
      </c>
      <c r="B36" s="1325" t="s">
        <v>1132</v>
      </c>
      <c r="C36" s="1325"/>
      <c r="D36" s="1325"/>
      <c r="E36" s="3678"/>
      <c r="F36" s="3678"/>
      <c r="G36" s="3678"/>
    </row>
    <row r="37" spans="1:7" hidden="1">
      <c r="A37" s="1328">
        <v>4</v>
      </c>
      <c r="B37" s="1325" t="s">
        <v>1133</v>
      </c>
      <c r="C37" s="1325"/>
      <c r="D37" s="1325"/>
      <c r="E37" s="3678"/>
      <c r="F37" s="3678"/>
      <c r="G37" s="3678"/>
    </row>
    <row r="38" spans="1:7" hidden="1">
      <c r="A38" s="3679" t="s">
        <v>1134</v>
      </c>
      <c r="B38" s="3680"/>
      <c r="C38" s="3680"/>
      <c r="D38" s="3681"/>
      <c r="E38" s="3677"/>
      <c r="F38" s="3677"/>
      <c r="G38" s="36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8" t="s">
        <v>2536</v>
      </c>
      <c r="D4" s="3559"/>
      <c r="E4" s="3560" t="s">
        <v>2537</v>
      </c>
      <c r="F4" s="3561"/>
      <c r="G4" s="3558" t="s">
        <v>2538</v>
      </c>
      <c r="H4" s="3559"/>
      <c r="I4" s="3558" t="s">
        <v>2539</v>
      </c>
      <c r="J4" s="3559"/>
      <c r="K4" s="2595" t="s">
        <v>2540</v>
      </c>
      <c r="L4" s="1130"/>
      <c r="M4" s="1131"/>
      <c r="N4" s="1131"/>
      <c r="O4" s="1131"/>
      <c r="P4" s="3562" t="s">
        <v>2541</v>
      </c>
      <c r="Q4" s="3563"/>
      <c r="R4" s="3545" t="s">
        <v>2537</v>
      </c>
      <c r="S4" s="3546"/>
      <c r="T4" s="3545" t="s">
        <v>2538</v>
      </c>
      <c r="U4" s="3546"/>
      <c r="V4" s="3570" t="s">
        <v>2539</v>
      </c>
      <c r="W4" s="3570"/>
      <c r="X4" s="1813"/>
      <c r="Y4" s="3545" t="s">
        <v>2541</v>
      </c>
      <c r="Z4" s="3546"/>
      <c r="AA4" s="3540" t="s">
        <v>2537</v>
      </c>
      <c r="AB4" s="3540" t="s">
        <v>2538</v>
      </c>
      <c r="AC4" s="3540" t="s">
        <v>2539</v>
      </c>
    </row>
    <row r="5" spans="1:29" ht="15">
      <c r="A5" s="402"/>
      <c r="B5" s="403"/>
      <c r="C5" s="3551" t="s">
        <v>2542</v>
      </c>
      <c r="D5" s="3552"/>
      <c r="E5" s="3549" t="s">
        <v>2543</v>
      </c>
      <c r="F5" s="3550"/>
      <c r="G5" s="3551" t="s">
        <v>2544</v>
      </c>
      <c r="H5" s="3552"/>
      <c r="I5" s="3551" t="s">
        <v>2545</v>
      </c>
      <c r="J5" s="3552"/>
      <c r="K5" s="2596"/>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2596"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43" t="s">
        <v>2549</v>
      </c>
      <c r="Q7" s="3571"/>
      <c r="R7" s="768" t="s">
        <v>23</v>
      </c>
      <c r="S7" s="769">
        <f t="shared" ref="S7:S15" si="0">F7</f>
        <v>0</v>
      </c>
      <c r="T7" s="768" t="s">
        <v>23</v>
      </c>
      <c r="U7" s="769">
        <f t="shared" ref="U7:U15" si="1">H7</f>
        <v>0</v>
      </c>
      <c r="V7" s="768" t="s">
        <v>23</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43" t="s">
        <v>2552</v>
      </c>
      <c r="Q8" s="3544"/>
      <c r="R8" s="768" t="s">
        <v>23</v>
      </c>
      <c r="S8" s="769">
        <f t="shared" si="0"/>
        <v>0</v>
      </c>
      <c r="T8" s="768" t="s">
        <v>23</v>
      </c>
      <c r="U8" s="769">
        <f t="shared" si="1"/>
        <v>0</v>
      </c>
      <c r="V8" s="768" t="s">
        <v>23</v>
      </c>
      <c r="W8" s="769">
        <f t="shared" si="2"/>
        <v>0</v>
      </c>
      <c r="X8" s="770"/>
      <c r="Y8" s="3543" t="s">
        <v>2552</v>
      </c>
      <c r="Z8" s="3544"/>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4"/>
      <c r="Q11" s="1795" t="str">
        <f t="shared" si="6"/>
        <v>容积率</v>
      </c>
      <c r="R11" s="768" t="s">
        <v>21</v>
      </c>
      <c r="S11" s="769" t="e">
        <f t="shared" si="0"/>
        <v>#N/A</v>
      </c>
      <c r="T11" s="768" t="s">
        <v>21</v>
      </c>
      <c r="U11" s="769" t="e">
        <f t="shared" si="1"/>
        <v>#N/A</v>
      </c>
      <c r="V11" s="768" t="s">
        <v>21</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4"/>
      <c r="Q12" s="1795">
        <f t="shared" si="6"/>
        <v>111</v>
      </c>
      <c r="R12" s="768" t="s">
        <v>21</v>
      </c>
      <c r="S12" s="769">
        <f t="shared" si="0"/>
        <v>100</v>
      </c>
      <c r="T12" s="768" t="s">
        <v>21</v>
      </c>
      <c r="U12" s="769">
        <f t="shared" si="1"/>
        <v>100</v>
      </c>
      <c r="V12" s="768" t="s">
        <v>21</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4"/>
      <c r="Q13" s="1795">
        <f t="shared" si="6"/>
        <v>111</v>
      </c>
      <c r="R13" s="768" t="s">
        <v>21</v>
      </c>
      <c r="S13" s="769">
        <f t="shared" si="0"/>
        <v>100</v>
      </c>
      <c r="T13" s="768" t="s">
        <v>21</v>
      </c>
      <c r="U13" s="769">
        <f t="shared" si="1"/>
        <v>100</v>
      </c>
      <c r="V13" s="768" t="s">
        <v>21</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4"/>
      <c r="Q14" s="1795">
        <f t="shared" si="6"/>
        <v>111</v>
      </c>
      <c r="R14" s="768" t="s">
        <v>21</v>
      </c>
      <c r="S14" s="769">
        <f t="shared" si="0"/>
        <v>100</v>
      </c>
      <c r="T14" s="768" t="s">
        <v>21</v>
      </c>
      <c r="U14" s="769">
        <f t="shared" si="1"/>
        <v>100</v>
      </c>
      <c r="V14" s="768" t="s">
        <v>21</v>
      </c>
      <c r="W14" s="769">
        <f t="shared" si="2"/>
        <v>100</v>
      </c>
      <c r="X14" s="770"/>
      <c r="Y14" s="3412"/>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5" t="s">
        <v>2560</v>
      </c>
      <c r="Q15" s="1810" t="str">
        <f t="shared" si="6"/>
        <v>居住社区成熟度</v>
      </c>
      <c r="R15" s="772" t="s">
        <v>21</v>
      </c>
      <c r="S15" s="773">
        <f t="shared" si="0"/>
        <v>100</v>
      </c>
      <c r="T15" s="772" t="s">
        <v>21</v>
      </c>
      <c r="U15" s="773">
        <f t="shared" si="1"/>
        <v>100</v>
      </c>
      <c r="V15" s="772" t="s">
        <v>21</v>
      </c>
      <c r="W15" s="773">
        <f t="shared" si="2"/>
        <v>100</v>
      </c>
      <c r="X15" s="1813"/>
      <c r="Y15" s="3572"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6"/>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6"/>
      <c r="Q17" s="1810" t="str">
        <f>B17</f>
        <v>交通便捷度</v>
      </c>
      <c r="R17" s="772" t="s">
        <v>21</v>
      </c>
      <c r="S17" s="773">
        <f>F17</f>
        <v>100</v>
      </c>
      <c r="T17" s="772" t="s">
        <v>21</v>
      </c>
      <c r="U17" s="773">
        <f>H17</f>
        <v>100</v>
      </c>
      <c r="V17" s="772" t="s">
        <v>21</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6"/>
      <c r="Q18" s="1810"/>
      <c r="R18" s="772"/>
      <c r="S18" s="773"/>
      <c r="T18" s="772"/>
      <c r="U18" s="773"/>
      <c r="V18" s="772"/>
      <c r="W18" s="773"/>
      <c r="X18" s="1813"/>
      <c r="Y18" s="3573"/>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6"/>
      <c r="Q19" s="1810" t="str">
        <f>B19</f>
        <v>公共配套设施</v>
      </c>
      <c r="R19" s="772" t="s">
        <v>21</v>
      </c>
      <c r="S19" s="773">
        <f>F19</f>
        <v>100</v>
      </c>
      <c r="T19" s="772" t="s">
        <v>21</v>
      </c>
      <c r="U19" s="773">
        <f>H19</f>
        <v>100</v>
      </c>
      <c r="V19" s="772" t="s">
        <v>21</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6"/>
      <c r="Q20" s="1810"/>
      <c r="R20" s="772"/>
      <c r="S20" s="773"/>
      <c r="T20" s="772"/>
      <c r="U20" s="773"/>
      <c r="V20" s="772"/>
      <c r="W20" s="773"/>
      <c r="X20" s="1813"/>
      <c r="Y20" s="3573"/>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6"/>
      <c r="Q22" s="1810"/>
      <c r="R22" s="772"/>
      <c r="S22" s="773"/>
      <c r="T22" s="772"/>
      <c r="U22" s="773"/>
      <c r="V22" s="772"/>
      <c r="W22" s="773"/>
      <c r="X22" s="1813"/>
      <c r="Y22" s="3573"/>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6"/>
      <c r="Q23" s="1810" t="str">
        <f>B23</f>
        <v>自然及人文环境</v>
      </c>
      <c r="R23" s="772" t="s">
        <v>21</v>
      </c>
      <c r="S23" s="773">
        <f>F23</f>
        <v>100</v>
      </c>
      <c r="T23" s="772" t="s">
        <v>21</v>
      </c>
      <c r="U23" s="773">
        <f>H23</f>
        <v>100</v>
      </c>
      <c r="V23" s="772" t="s">
        <v>21</v>
      </c>
      <c r="W23" s="773">
        <f>J23</f>
        <v>100</v>
      </c>
      <c r="X23" s="1813"/>
      <c r="Y23" s="3573"/>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6"/>
      <c r="Q24" s="1810"/>
      <c r="R24" s="772"/>
      <c r="S24" s="773"/>
      <c r="T24" s="772"/>
      <c r="U24" s="773"/>
      <c r="V24" s="772"/>
      <c r="W24" s="773"/>
      <c r="X24" s="1813"/>
      <c r="Y24" s="3573"/>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6"/>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73"/>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6"/>
      <c r="Q26" s="1810" t="str">
        <f t="shared" si="11"/>
        <v>朝向</v>
      </c>
      <c r="R26" s="772" t="s">
        <v>21</v>
      </c>
      <c r="S26" s="773">
        <f t="shared" si="12"/>
        <v>100</v>
      </c>
      <c r="T26" s="772" t="s">
        <v>21</v>
      </c>
      <c r="U26" s="773">
        <f t="shared" si="13"/>
        <v>100</v>
      </c>
      <c r="V26" s="772" t="s">
        <v>21</v>
      </c>
      <c r="W26" s="773">
        <f t="shared" si="14"/>
        <v>100</v>
      </c>
      <c r="X26" s="1813"/>
      <c r="Y26" s="3573"/>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6"/>
      <c r="Q27" s="1795">
        <f t="shared" si="11"/>
        <v>111</v>
      </c>
      <c r="R27" s="768" t="s">
        <v>21</v>
      </c>
      <c r="S27" s="769">
        <f t="shared" si="12"/>
        <v>100</v>
      </c>
      <c r="T27" s="768" t="s">
        <v>21</v>
      </c>
      <c r="U27" s="769">
        <f t="shared" si="13"/>
        <v>100</v>
      </c>
      <c r="V27" s="768" t="s">
        <v>21</v>
      </c>
      <c r="W27" s="769">
        <f t="shared" si="14"/>
        <v>100</v>
      </c>
      <c r="X27" s="770"/>
      <c r="Y27" s="3573"/>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6"/>
      <c r="Q28" s="1810">
        <f t="shared" si="11"/>
        <v>111</v>
      </c>
      <c r="R28" s="772" t="s">
        <v>21</v>
      </c>
      <c r="S28" s="773">
        <f t="shared" si="12"/>
        <v>100</v>
      </c>
      <c r="T28" s="772" t="s">
        <v>21</v>
      </c>
      <c r="U28" s="773">
        <f t="shared" si="13"/>
        <v>100</v>
      </c>
      <c r="V28" s="772" t="s">
        <v>21</v>
      </c>
      <c r="W28" s="773">
        <f t="shared" si="14"/>
        <v>100</v>
      </c>
      <c r="X28" s="1813"/>
      <c r="Y28" s="3573"/>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6"/>
      <c r="Q29" s="1810">
        <f t="shared" si="11"/>
        <v>111</v>
      </c>
      <c r="R29" s="772" t="s">
        <v>21</v>
      </c>
      <c r="S29" s="773">
        <f t="shared" si="12"/>
        <v>100</v>
      </c>
      <c r="T29" s="772" t="s">
        <v>21</v>
      </c>
      <c r="U29" s="773">
        <f t="shared" si="13"/>
        <v>100</v>
      </c>
      <c r="V29" s="772" t="s">
        <v>21</v>
      </c>
      <c r="W29" s="773">
        <f t="shared" si="14"/>
        <v>100</v>
      </c>
      <c r="X29" s="1813"/>
      <c r="Y29" s="3573"/>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6"/>
      <c r="Q30" s="1810">
        <f t="shared" si="11"/>
        <v>111</v>
      </c>
      <c r="R30" s="772" t="s">
        <v>21</v>
      </c>
      <c r="S30" s="773">
        <f t="shared" si="12"/>
        <v>100</v>
      </c>
      <c r="T30" s="772" t="s">
        <v>21</v>
      </c>
      <c r="U30" s="773">
        <f t="shared" si="13"/>
        <v>100</v>
      </c>
      <c r="V30" s="772" t="s">
        <v>21</v>
      </c>
      <c r="W30" s="773">
        <f t="shared" si="14"/>
        <v>100</v>
      </c>
      <c r="X30" s="1813"/>
      <c r="Y30" s="3573"/>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6"/>
      <c r="Q31" s="1810">
        <f t="shared" si="11"/>
        <v>111</v>
      </c>
      <c r="R31" s="772" t="s">
        <v>21</v>
      </c>
      <c r="S31" s="773">
        <f t="shared" si="12"/>
        <v>100</v>
      </c>
      <c r="T31" s="772" t="s">
        <v>21</v>
      </c>
      <c r="U31" s="773">
        <f t="shared" si="13"/>
        <v>100</v>
      </c>
      <c r="V31" s="772" t="s">
        <v>21</v>
      </c>
      <c r="W31" s="773">
        <f t="shared" si="14"/>
        <v>100</v>
      </c>
      <c r="X31" s="1813"/>
      <c r="Y31" s="3573"/>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2" t="s">
        <v>2565</v>
      </c>
      <c r="Q32" s="1810" t="str">
        <f t="shared" si="11"/>
        <v>建筑类型</v>
      </c>
      <c r="R32" s="772" t="s">
        <v>21</v>
      </c>
      <c r="S32" s="773">
        <f t="shared" si="12"/>
        <v>100</v>
      </c>
      <c r="T32" s="772" t="s">
        <v>21</v>
      </c>
      <c r="U32" s="773">
        <f t="shared" si="13"/>
        <v>100</v>
      </c>
      <c r="V32" s="772" t="s">
        <v>21</v>
      </c>
      <c r="W32" s="773">
        <f t="shared" si="14"/>
        <v>100</v>
      </c>
      <c r="X32" s="1813"/>
      <c r="Y32" s="3575"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3"/>
      <c r="Q33" s="774" t="str">
        <f t="shared" si="11"/>
        <v>项目建筑规模</v>
      </c>
      <c r="R33" s="775" t="s">
        <v>21</v>
      </c>
      <c r="S33" s="776" t="e">
        <f t="shared" si="12"/>
        <v>#N/A</v>
      </c>
      <c r="T33" s="775" t="s">
        <v>21</v>
      </c>
      <c r="U33" s="776" t="e">
        <f t="shared" si="13"/>
        <v>#N/A</v>
      </c>
      <c r="V33" s="775" t="s">
        <v>21</v>
      </c>
      <c r="W33" s="776" t="e">
        <f t="shared" si="14"/>
        <v>#N/A</v>
      </c>
      <c r="X33" s="777"/>
      <c r="Y33" s="3575"/>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3"/>
      <c r="Q34" s="1810" t="str">
        <f t="shared" si="11"/>
        <v>建筑结构</v>
      </c>
      <c r="R34" s="772" t="s">
        <v>21</v>
      </c>
      <c r="S34" s="773">
        <f t="shared" si="12"/>
        <v>100</v>
      </c>
      <c r="T34" s="772" t="s">
        <v>21</v>
      </c>
      <c r="U34" s="773">
        <f t="shared" si="13"/>
        <v>100</v>
      </c>
      <c r="V34" s="772" t="s">
        <v>21</v>
      </c>
      <c r="W34" s="773">
        <f t="shared" si="14"/>
        <v>100</v>
      </c>
      <c r="X34" s="1813"/>
      <c r="Y34" s="3575"/>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3"/>
      <c r="Q35" s="1810" t="str">
        <f t="shared" si="11"/>
        <v>建筑品质</v>
      </c>
      <c r="R35" s="772" t="s">
        <v>21</v>
      </c>
      <c r="S35" s="773">
        <f t="shared" si="12"/>
        <v>100</v>
      </c>
      <c r="T35" s="772" t="s">
        <v>21</v>
      </c>
      <c r="U35" s="773">
        <f t="shared" si="13"/>
        <v>100</v>
      </c>
      <c r="V35" s="772" t="s">
        <v>21</v>
      </c>
      <c r="W35" s="773">
        <f t="shared" si="14"/>
        <v>100</v>
      </c>
      <c r="X35" s="1813"/>
      <c r="Y35" s="3575"/>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3"/>
      <c r="Q36" s="1810" t="str">
        <f t="shared" si="11"/>
        <v>公共部分装修</v>
      </c>
      <c r="R36" s="772" t="s">
        <v>21</v>
      </c>
      <c r="S36" s="773">
        <f t="shared" si="12"/>
        <v>100</v>
      </c>
      <c r="T36" s="772" t="s">
        <v>21</v>
      </c>
      <c r="U36" s="773">
        <f t="shared" si="13"/>
        <v>100</v>
      </c>
      <c r="V36" s="772" t="s">
        <v>21</v>
      </c>
      <c r="W36" s="773">
        <f t="shared" si="14"/>
        <v>100</v>
      </c>
      <c r="X36" s="1813"/>
      <c r="Y36" s="3575"/>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3"/>
      <c r="Q37" s="1795" t="str">
        <f t="shared" si="11"/>
        <v>成新度</v>
      </c>
      <c r="R37" s="768" t="s">
        <v>21</v>
      </c>
      <c r="S37" s="769" t="e">
        <f t="shared" si="12"/>
        <v>#N/A</v>
      </c>
      <c r="T37" s="768" t="s">
        <v>21</v>
      </c>
      <c r="U37" s="769" t="e">
        <f t="shared" si="13"/>
        <v>#N/A</v>
      </c>
      <c r="V37" s="768" t="s">
        <v>21</v>
      </c>
      <c r="W37" s="769" t="e">
        <f t="shared" si="14"/>
        <v>#N/A</v>
      </c>
      <c r="X37" s="770"/>
      <c r="Y37" s="3575"/>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3" t="s">
        <v>2565</v>
      </c>
      <c r="Q38" s="1810" t="str">
        <f t="shared" si="11"/>
        <v>物业管理</v>
      </c>
      <c r="R38" s="772" t="s">
        <v>21</v>
      </c>
      <c r="S38" s="773">
        <f t="shared" si="12"/>
        <v>100</v>
      </c>
      <c r="T38" s="772" t="s">
        <v>21</v>
      </c>
      <c r="U38" s="773">
        <f t="shared" si="13"/>
        <v>100</v>
      </c>
      <c r="V38" s="772" t="s">
        <v>21</v>
      </c>
      <c r="W38" s="773">
        <f t="shared" si="14"/>
        <v>100</v>
      </c>
      <c r="X38" s="1813"/>
      <c r="Y38" s="3575"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3"/>
      <c r="Q39" s="1810" t="str">
        <f t="shared" si="11"/>
        <v>市政基础设施</v>
      </c>
      <c r="R39" s="772" t="s">
        <v>21</v>
      </c>
      <c r="S39" s="773">
        <f t="shared" si="12"/>
        <v>100</v>
      </c>
      <c r="T39" s="772" t="s">
        <v>21</v>
      </c>
      <c r="U39" s="773">
        <f t="shared" si="13"/>
        <v>100</v>
      </c>
      <c r="V39" s="772" t="s">
        <v>21</v>
      </c>
      <c r="W39" s="773">
        <f t="shared" si="14"/>
        <v>100</v>
      </c>
      <c r="X39" s="1813"/>
      <c r="Y39" s="3575"/>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3"/>
      <c r="Q40" s="1810" t="str">
        <f t="shared" si="11"/>
        <v>房型</v>
      </c>
      <c r="R40" s="772" t="s">
        <v>21</v>
      </c>
      <c r="S40" s="773">
        <f t="shared" si="12"/>
        <v>100</v>
      </c>
      <c r="T40" s="772" t="s">
        <v>21</v>
      </c>
      <c r="U40" s="773">
        <f t="shared" si="13"/>
        <v>100</v>
      </c>
      <c r="V40" s="772" t="s">
        <v>21</v>
      </c>
      <c r="W40" s="773">
        <f t="shared" si="14"/>
        <v>100</v>
      </c>
      <c r="X40" s="1813"/>
      <c r="Y40" s="3575"/>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3"/>
      <c r="Q41" s="774" t="str">
        <f t="shared" si="11"/>
        <v>单套/主力户型建筑面积</v>
      </c>
      <c r="R41" s="775" t="s">
        <v>21</v>
      </c>
      <c r="S41" s="776">
        <f t="shared" si="12"/>
        <v>100</v>
      </c>
      <c r="T41" s="775" t="s">
        <v>21</v>
      </c>
      <c r="U41" s="776">
        <f t="shared" si="13"/>
        <v>100</v>
      </c>
      <c r="V41" s="775" t="s">
        <v>21</v>
      </c>
      <c r="W41" s="776">
        <f t="shared" si="14"/>
        <v>100</v>
      </c>
      <c r="X41" s="777"/>
      <c r="Y41" s="3575"/>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3"/>
      <c r="Q42" s="1810" t="str">
        <f t="shared" si="11"/>
        <v>内部装修</v>
      </c>
      <c r="R42" s="772" t="s">
        <v>21</v>
      </c>
      <c r="S42" s="773">
        <f t="shared" si="12"/>
        <v>100</v>
      </c>
      <c r="T42" s="772" t="s">
        <v>21</v>
      </c>
      <c r="U42" s="773">
        <f t="shared" si="13"/>
        <v>100</v>
      </c>
      <c r="V42" s="772" t="s">
        <v>21</v>
      </c>
      <c r="W42" s="773">
        <f t="shared" si="14"/>
        <v>100</v>
      </c>
      <c r="X42" s="1813"/>
      <c r="Y42" s="3575"/>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3"/>
      <c r="Q43" s="1810" t="str">
        <f t="shared" si="11"/>
        <v>内部装修维护情况</v>
      </c>
      <c r="R43" s="772" t="s">
        <v>21</v>
      </c>
      <c r="S43" s="773">
        <f t="shared" si="12"/>
        <v>100</v>
      </c>
      <c r="T43" s="772" t="s">
        <v>21</v>
      </c>
      <c r="U43" s="773">
        <f t="shared" si="13"/>
        <v>100</v>
      </c>
      <c r="V43" s="772" t="s">
        <v>21</v>
      </c>
      <c r="W43" s="773">
        <f t="shared" si="14"/>
        <v>100</v>
      </c>
      <c r="X43" s="1813"/>
      <c r="Y43" s="3575"/>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3"/>
      <c r="Q44" s="1795">
        <f t="shared" si="11"/>
        <v>111</v>
      </c>
      <c r="R44" s="768" t="s">
        <v>21</v>
      </c>
      <c r="S44" s="769">
        <f t="shared" si="12"/>
        <v>100</v>
      </c>
      <c r="T44" s="768" t="s">
        <v>21</v>
      </c>
      <c r="U44" s="769">
        <f t="shared" si="13"/>
        <v>100</v>
      </c>
      <c r="V44" s="768" t="s">
        <v>21</v>
      </c>
      <c r="W44" s="769">
        <f t="shared" si="14"/>
        <v>100</v>
      </c>
      <c r="X44" s="770"/>
      <c r="Y44" s="3575"/>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3"/>
      <c r="Q45" s="1810">
        <f t="shared" si="11"/>
        <v>111</v>
      </c>
      <c r="R45" s="772" t="s">
        <v>21</v>
      </c>
      <c r="S45" s="773">
        <f t="shared" si="12"/>
        <v>100</v>
      </c>
      <c r="T45" s="772" t="s">
        <v>21</v>
      </c>
      <c r="U45" s="773">
        <f t="shared" si="13"/>
        <v>100</v>
      </c>
      <c r="V45" s="772" t="s">
        <v>21</v>
      </c>
      <c r="W45" s="773">
        <f t="shared" si="14"/>
        <v>100</v>
      </c>
      <c r="X45" s="1813"/>
      <c r="Y45" s="3575"/>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4"/>
      <c r="Q46" s="1810">
        <f t="shared" si="11"/>
        <v>111</v>
      </c>
      <c r="R46" s="772" t="s">
        <v>20</v>
      </c>
      <c r="S46" s="773">
        <f t="shared" si="12"/>
        <v>100</v>
      </c>
      <c r="T46" s="772" t="s">
        <v>20</v>
      </c>
      <c r="U46" s="773">
        <f t="shared" si="13"/>
        <v>100</v>
      </c>
      <c r="V46" s="772" t="s">
        <v>20</v>
      </c>
      <c r="W46" s="773">
        <f t="shared" si="14"/>
        <v>100</v>
      </c>
      <c r="X46" s="1813"/>
      <c r="Y46" s="3576"/>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57" t="str">
        <f>A47</f>
        <v>成交单价（元/平方米）</v>
      </c>
      <c r="Q47" s="3557"/>
      <c r="R47" s="3577">
        <f>E47</f>
        <v>0</v>
      </c>
      <c r="S47" s="3577"/>
      <c r="T47" s="3577">
        <f>G47</f>
        <v>0</v>
      </c>
      <c r="U47" s="3577"/>
      <c r="V47" s="3577">
        <f>I47</f>
        <v>0</v>
      </c>
      <c r="W47" s="3577"/>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70"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70"/>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70"/>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5" t="s">
        <v>2560</v>
      </c>
      <c r="Q15" s="1810" t="str">
        <f t="shared" si="6"/>
        <v>商业繁华度</v>
      </c>
      <c r="R15" s="772" t="s">
        <v>17</v>
      </c>
      <c r="S15" s="773">
        <f t="shared" si="0"/>
        <v>100</v>
      </c>
      <c r="T15" s="772" t="s">
        <v>17</v>
      </c>
      <c r="U15" s="773">
        <f t="shared" si="1"/>
        <v>100</v>
      </c>
      <c r="V15" s="772" t="s">
        <v>17</v>
      </c>
      <c r="W15" s="773">
        <f t="shared" si="2"/>
        <v>100</v>
      </c>
      <c r="X15" s="1813"/>
      <c r="Y15" s="3572"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6"/>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6"/>
      <c r="Q18" s="1810"/>
      <c r="R18" s="772"/>
      <c r="S18" s="773"/>
      <c r="T18" s="772"/>
      <c r="U18" s="773"/>
      <c r="V18" s="772"/>
      <c r="W18" s="773"/>
      <c r="X18" s="1813"/>
      <c r="Y18" s="3573"/>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6"/>
      <c r="Q20" s="1810"/>
      <c r="R20" s="772"/>
      <c r="S20" s="773"/>
      <c r="T20" s="772"/>
      <c r="U20" s="773"/>
      <c r="V20" s="772"/>
      <c r="W20" s="773"/>
      <c r="X20" s="1813"/>
      <c r="Y20" s="3573"/>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6"/>
      <c r="Q22" s="1810"/>
      <c r="R22" s="772"/>
      <c r="S22" s="773"/>
      <c r="T22" s="772"/>
      <c r="U22" s="773"/>
      <c r="V22" s="772"/>
      <c r="W22" s="773"/>
      <c r="X22" s="1813"/>
      <c r="Y22" s="3573"/>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6"/>
      <c r="Q23" s="1810" t="str">
        <f>B23</f>
        <v>自然及人文环境</v>
      </c>
      <c r="R23" s="772" t="s">
        <v>17</v>
      </c>
      <c r="S23" s="773">
        <f>F23</f>
        <v>100</v>
      </c>
      <c r="T23" s="772" t="s">
        <v>17</v>
      </c>
      <c r="U23" s="773">
        <f>H23</f>
        <v>100</v>
      </c>
      <c r="V23" s="772" t="s">
        <v>17</v>
      </c>
      <c r="W23" s="773">
        <f>J23</f>
        <v>100</v>
      </c>
      <c r="X23" s="1813"/>
      <c r="Y23" s="3573"/>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6"/>
      <c r="Q24" s="1810"/>
      <c r="R24" s="772"/>
      <c r="S24" s="773"/>
      <c r="T24" s="772"/>
      <c r="U24" s="773"/>
      <c r="V24" s="772"/>
      <c r="W24" s="773"/>
      <c r="X24" s="1813"/>
      <c r="Y24" s="3573"/>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6"/>
      <c r="Q25" s="1810" t="str">
        <f t="shared" ref="Q25:Q46" si="11">B25</f>
        <v>临街状况</v>
      </c>
      <c r="R25" s="772" t="s">
        <v>17</v>
      </c>
      <c r="S25" s="773">
        <f>F25</f>
        <v>100</v>
      </c>
      <c r="T25" s="772" t="s">
        <v>17</v>
      </c>
      <c r="U25" s="773">
        <f>H25</f>
        <v>100</v>
      </c>
      <c r="V25" s="772" t="s">
        <v>17</v>
      </c>
      <c r="W25" s="773">
        <f>J25</f>
        <v>100</v>
      </c>
      <c r="X25" s="1813"/>
      <c r="Y25" s="3573"/>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6"/>
      <c r="Q26" s="1810" t="str">
        <f t="shared" si="11"/>
        <v>平面位置/可视性</v>
      </c>
      <c r="R26" s="772" t="s">
        <v>17</v>
      </c>
      <c r="S26" s="773">
        <f>F26</f>
        <v>100</v>
      </c>
      <c r="T26" s="772" t="s">
        <v>17</v>
      </c>
      <c r="U26" s="773">
        <f>H26</f>
        <v>100</v>
      </c>
      <c r="V26" s="772" t="s">
        <v>17</v>
      </c>
      <c r="W26" s="773">
        <f>J26</f>
        <v>100</v>
      </c>
      <c r="X26" s="1813"/>
      <c r="Y26" s="3573"/>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6"/>
      <c r="Q27" s="1795" t="str">
        <f t="shared" si="11"/>
        <v>人流量</v>
      </c>
      <c r="R27" s="768" t="s">
        <v>17</v>
      </c>
      <c r="S27" s="769">
        <f>F27</f>
        <v>100</v>
      </c>
      <c r="T27" s="768" t="s">
        <v>17</v>
      </c>
      <c r="U27" s="769">
        <f>H27</f>
        <v>100</v>
      </c>
      <c r="V27" s="768" t="s">
        <v>17</v>
      </c>
      <c r="W27" s="769">
        <f>J27</f>
        <v>100</v>
      </c>
      <c r="X27" s="770"/>
      <c r="Y27" s="3573"/>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6"/>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73"/>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6"/>
      <c r="Q29" s="1810">
        <f t="shared" si="11"/>
        <v>111</v>
      </c>
      <c r="R29" s="772" t="s">
        <v>17</v>
      </c>
      <c r="S29" s="773">
        <f t="shared" si="12"/>
        <v>100</v>
      </c>
      <c r="T29" s="772" t="s">
        <v>17</v>
      </c>
      <c r="U29" s="773">
        <f t="shared" si="13"/>
        <v>100</v>
      </c>
      <c r="V29" s="772" t="s">
        <v>17</v>
      </c>
      <c r="W29" s="773">
        <f t="shared" si="14"/>
        <v>100</v>
      </c>
      <c r="X29" s="1813"/>
      <c r="Y29" s="3573"/>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2" t="s">
        <v>2565</v>
      </c>
      <c r="Q32" s="1810" t="str">
        <f t="shared" si="11"/>
        <v>商业类型</v>
      </c>
      <c r="R32" s="772" t="s">
        <v>17</v>
      </c>
      <c r="S32" s="773">
        <f t="shared" si="12"/>
        <v>100</v>
      </c>
      <c r="T32" s="772" t="s">
        <v>17</v>
      </c>
      <c r="U32" s="773">
        <f t="shared" si="13"/>
        <v>100</v>
      </c>
      <c r="V32" s="772" t="s">
        <v>17</v>
      </c>
      <c r="W32" s="773">
        <f t="shared" si="14"/>
        <v>100</v>
      </c>
      <c r="X32" s="1813"/>
      <c r="Y32" s="3575"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3"/>
      <c r="Q33" s="774" t="str">
        <f t="shared" si="11"/>
        <v>项目建筑规模</v>
      </c>
      <c r="R33" s="775" t="s">
        <v>17</v>
      </c>
      <c r="S33" s="776" t="e">
        <f t="shared" si="12"/>
        <v>#N/A</v>
      </c>
      <c r="T33" s="775" t="s">
        <v>17</v>
      </c>
      <c r="U33" s="776" t="e">
        <f t="shared" si="13"/>
        <v>#N/A</v>
      </c>
      <c r="V33" s="775" t="s">
        <v>17</v>
      </c>
      <c r="W33" s="776" t="e">
        <f t="shared" si="14"/>
        <v>#N/A</v>
      </c>
      <c r="X33" s="777"/>
      <c r="Y33" s="3575"/>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3"/>
      <c r="Q34" s="1810" t="str">
        <f t="shared" si="11"/>
        <v>建筑结构</v>
      </c>
      <c r="R34" s="772" t="s">
        <v>17</v>
      </c>
      <c r="S34" s="773">
        <f t="shared" si="12"/>
        <v>100</v>
      </c>
      <c r="T34" s="772" t="s">
        <v>17</v>
      </c>
      <c r="U34" s="773">
        <f t="shared" si="13"/>
        <v>100</v>
      </c>
      <c r="V34" s="772" t="s">
        <v>17</v>
      </c>
      <c r="W34" s="773">
        <f t="shared" si="14"/>
        <v>100</v>
      </c>
      <c r="X34" s="1813"/>
      <c r="Y34" s="3575"/>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3"/>
      <c r="Q35" s="1810" t="str">
        <f t="shared" si="11"/>
        <v>公共部分装修</v>
      </c>
      <c r="R35" s="772" t="s">
        <v>17</v>
      </c>
      <c r="S35" s="773">
        <f t="shared" si="12"/>
        <v>100</v>
      </c>
      <c r="T35" s="772" t="s">
        <v>17</v>
      </c>
      <c r="U35" s="773">
        <f t="shared" si="13"/>
        <v>100</v>
      </c>
      <c r="V35" s="772" t="s">
        <v>17</v>
      </c>
      <c r="W35" s="773">
        <f t="shared" si="14"/>
        <v>100</v>
      </c>
      <c r="X35" s="1813"/>
      <c r="Y35" s="3575"/>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3"/>
      <c r="Q36" s="1810" t="str">
        <f t="shared" si="11"/>
        <v>成新度</v>
      </c>
      <c r="R36" s="772" t="s">
        <v>17</v>
      </c>
      <c r="S36" s="773" t="e">
        <f t="shared" si="12"/>
        <v>#N/A</v>
      </c>
      <c r="T36" s="772" t="s">
        <v>17</v>
      </c>
      <c r="U36" s="773" t="e">
        <f t="shared" si="13"/>
        <v>#N/A</v>
      </c>
      <c r="V36" s="772" t="s">
        <v>17</v>
      </c>
      <c r="W36" s="773" t="e">
        <f t="shared" si="14"/>
        <v>#N/A</v>
      </c>
      <c r="X36" s="1813"/>
      <c r="Y36" s="3575"/>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3"/>
      <c r="Q37" s="1795" t="str">
        <f t="shared" si="11"/>
        <v>市政基础设施</v>
      </c>
      <c r="R37" s="768" t="s">
        <v>17</v>
      </c>
      <c r="S37" s="769">
        <f t="shared" si="12"/>
        <v>100</v>
      </c>
      <c r="T37" s="768" t="s">
        <v>17</v>
      </c>
      <c r="U37" s="769">
        <f t="shared" si="13"/>
        <v>100</v>
      </c>
      <c r="V37" s="768" t="s">
        <v>17</v>
      </c>
      <c r="W37" s="769">
        <f t="shared" si="14"/>
        <v>100</v>
      </c>
      <c r="X37" s="770"/>
      <c r="Y37" s="3575"/>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3" t="s">
        <v>2565</v>
      </c>
      <c r="Q38" s="1810" t="str">
        <f t="shared" si="11"/>
        <v>业态</v>
      </c>
      <c r="R38" s="772" t="s">
        <v>17</v>
      </c>
      <c r="S38" s="773">
        <f t="shared" si="12"/>
        <v>100</v>
      </c>
      <c r="T38" s="772" t="s">
        <v>17</v>
      </c>
      <c r="U38" s="773">
        <f t="shared" si="13"/>
        <v>100</v>
      </c>
      <c r="V38" s="772" t="s">
        <v>17</v>
      </c>
      <c r="W38" s="773">
        <f t="shared" si="14"/>
        <v>100</v>
      </c>
      <c r="X38" s="1813"/>
      <c r="Y38" s="3575"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3"/>
      <c r="Q39" s="1810" t="str">
        <f t="shared" si="11"/>
        <v>层高</v>
      </c>
      <c r="R39" s="772" t="s">
        <v>17</v>
      </c>
      <c r="S39" s="773">
        <f t="shared" si="12"/>
        <v>100</v>
      </c>
      <c r="T39" s="772" t="s">
        <v>17</v>
      </c>
      <c r="U39" s="773">
        <f t="shared" si="13"/>
        <v>100</v>
      </c>
      <c r="V39" s="772" t="s">
        <v>17</v>
      </c>
      <c r="W39" s="773">
        <f t="shared" si="14"/>
        <v>100</v>
      </c>
      <c r="X39" s="1813"/>
      <c r="Y39" s="3575"/>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3"/>
      <c r="Q40" s="1810" t="str">
        <f t="shared" si="11"/>
        <v>单套建筑面积</v>
      </c>
      <c r="R40" s="772" t="s">
        <v>17</v>
      </c>
      <c r="S40" s="773">
        <f t="shared" si="12"/>
        <v>100</v>
      </c>
      <c r="T40" s="772" t="s">
        <v>17</v>
      </c>
      <c r="U40" s="773">
        <f t="shared" si="13"/>
        <v>100</v>
      </c>
      <c r="V40" s="772" t="s">
        <v>17</v>
      </c>
      <c r="W40" s="773">
        <f t="shared" si="14"/>
        <v>100</v>
      </c>
      <c r="X40" s="1813"/>
      <c r="Y40" s="3575"/>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3"/>
      <c r="Q41" s="774" t="str">
        <f t="shared" si="11"/>
        <v>进深比</v>
      </c>
      <c r="R41" s="775" t="s">
        <v>17</v>
      </c>
      <c r="S41" s="776">
        <f t="shared" si="12"/>
        <v>100</v>
      </c>
      <c r="T41" s="775" t="s">
        <v>17</v>
      </c>
      <c r="U41" s="776">
        <f t="shared" si="13"/>
        <v>100</v>
      </c>
      <c r="V41" s="775" t="s">
        <v>17</v>
      </c>
      <c r="W41" s="776">
        <f t="shared" si="14"/>
        <v>100</v>
      </c>
      <c r="X41" s="777"/>
      <c r="Y41" s="3575"/>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3"/>
      <c r="Q42" s="1810" t="str">
        <f t="shared" si="11"/>
        <v>内部装修</v>
      </c>
      <c r="R42" s="772" t="s">
        <v>17</v>
      </c>
      <c r="S42" s="773">
        <f t="shared" si="12"/>
        <v>100</v>
      </c>
      <c r="T42" s="772" t="s">
        <v>17</v>
      </c>
      <c r="U42" s="773">
        <f t="shared" si="13"/>
        <v>100</v>
      </c>
      <c r="V42" s="772" t="s">
        <v>17</v>
      </c>
      <c r="W42" s="773">
        <f t="shared" si="14"/>
        <v>100</v>
      </c>
      <c r="X42" s="1813"/>
      <c r="Y42" s="3575"/>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3"/>
      <c r="Q43" s="1810" t="str">
        <f t="shared" si="11"/>
        <v>内部装修维护情况</v>
      </c>
      <c r="R43" s="772" t="s">
        <v>17</v>
      </c>
      <c r="S43" s="773">
        <f t="shared" si="12"/>
        <v>100</v>
      </c>
      <c r="T43" s="772" t="s">
        <v>17</v>
      </c>
      <c r="U43" s="773">
        <f t="shared" si="13"/>
        <v>100</v>
      </c>
      <c r="V43" s="772" t="s">
        <v>17</v>
      </c>
      <c r="W43" s="773">
        <f t="shared" si="14"/>
        <v>100</v>
      </c>
      <c r="X43" s="1813"/>
      <c r="Y43" s="3575"/>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3"/>
      <c r="Q44" s="1795">
        <f t="shared" si="11"/>
        <v>111</v>
      </c>
      <c r="R44" s="768" t="s">
        <v>17</v>
      </c>
      <c r="S44" s="769">
        <f t="shared" si="12"/>
        <v>100</v>
      </c>
      <c r="T44" s="768" t="s">
        <v>17</v>
      </c>
      <c r="U44" s="769">
        <f t="shared" si="13"/>
        <v>100</v>
      </c>
      <c r="V44" s="768" t="s">
        <v>17</v>
      </c>
      <c r="W44" s="769">
        <f t="shared" si="14"/>
        <v>100</v>
      </c>
      <c r="X44" s="770"/>
      <c r="Y44" s="3575"/>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3"/>
      <c r="Q45" s="1810">
        <f t="shared" si="11"/>
        <v>111</v>
      </c>
      <c r="R45" s="772" t="s">
        <v>17</v>
      </c>
      <c r="S45" s="773">
        <f t="shared" si="12"/>
        <v>100</v>
      </c>
      <c r="T45" s="772" t="s">
        <v>17</v>
      </c>
      <c r="U45" s="773">
        <f t="shared" si="13"/>
        <v>100</v>
      </c>
      <c r="V45" s="772" t="s">
        <v>17</v>
      </c>
      <c r="W45" s="773">
        <f t="shared" si="14"/>
        <v>100</v>
      </c>
      <c r="X45" s="1813"/>
      <c r="Y45" s="3575"/>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4"/>
      <c r="Q46" s="1810">
        <f t="shared" si="11"/>
        <v>111</v>
      </c>
      <c r="R46" s="772" t="s">
        <v>17</v>
      </c>
      <c r="S46" s="773">
        <f t="shared" si="12"/>
        <v>100</v>
      </c>
      <c r="T46" s="772" t="s">
        <v>17</v>
      </c>
      <c r="U46" s="773">
        <f t="shared" si="13"/>
        <v>100</v>
      </c>
      <c r="V46" s="772" t="s">
        <v>17</v>
      </c>
      <c r="W46" s="773">
        <f t="shared" si="14"/>
        <v>100</v>
      </c>
      <c r="X46" s="1813"/>
      <c r="Y46" s="3576"/>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57" t="str">
        <f>A47</f>
        <v>成交单价（元/平方米）</v>
      </c>
      <c r="Q47" s="3557"/>
      <c r="R47" s="3570">
        <f>E47</f>
        <v>0</v>
      </c>
      <c r="S47" s="3570"/>
      <c r="T47" s="3570">
        <f>G47</f>
        <v>0</v>
      </c>
      <c r="U47" s="3570"/>
      <c r="V47" s="3570">
        <f>I47</f>
        <v>0</v>
      </c>
      <c r="W47" s="3570"/>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693" t="s">
        <v>2651</v>
      </c>
      <c r="Q4" s="3694"/>
      <c r="R4" s="3688" t="s">
        <v>2647</v>
      </c>
      <c r="S4" s="3689"/>
      <c r="T4" s="3688" t="s">
        <v>2648</v>
      </c>
      <c r="U4" s="3689"/>
      <c r="V4" s="3697" t="s">
        <v>2649</v>
      </c>
      <c r="W4" s="3697"/>
      <c r="X4" s="2669"/>
      <c r="Y4" s="3688" t="s">
        <v>2651</v>
      </c>
      <c r="Z4" s="3689"/>
      <c r="AA4" s="3687" t="s">
        <v>2647</v>
      </c>
      <c r="AB4" s="3687" t="s">
        <v>2648</v>
      </c>
      <c r="AC4" s="3690" t="s">
        <v>2649</v>
      </c>
    </row>
    <row r="5" spans="1:29" ht="15">
      <c r="A5" s="402"/>
      <c r="B5" s="403"/>
      <c r="C5" s="3551" t="s">
        <v>2542</v>
      </c>
      <c r="D5" s="3552"/>
      <c r="E5" s="3549" t="s">
        <v>2543</v>
      </c>
      <c r="F5" s="3550"/>
      <c r="G5" s="3551" t="s">
        <v>2544</v>
      </c>
      <c r="H5" s="3552"/>
      <c r="I5" s="3551" t="s">
        <v>2545</v>
      </c>
      <c r="J5" s="3552"/>
      <c r="K5" s="608"/>
      <c r="L5" s="1130"/>
      <c r="M5" s="1131"/>
      <c r="N5" s="1131"/>
      <c r="O5" s="1131"/>
      <c r="P5" s="3695"/>
      <c r="Q5" s="3565"/>
      <c r="R5" s="3547"/>
      <c r="S5" s="3548"/>
      <c r="T5" s="3547"/>
      <c r="U5" s="3548"/>
      <c r="V5" s="3570"/>
      <c r="W5" s="3570"/>
      <c r="X5" s="1813"/>
      <c r="Y5" s="3547"/>
      <c r="Z5" s="3548"/>
      <c r="AA5" s="3541"/>
      <c r="AB5" s="3541"/>
      <c r="AC5" s="369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696"/>
      <c r="Q6" s="3567"/>
      <c r="R6" s="3547"/>
      <c r="S6" s="3548"/>
      <c r="T6" s="3568"/>
      <c r="U6" s="3569"/>
      <c r="V6" s="3570"/>
      <c r="W6" s="3570"/>
      <c r="X6" s="1813"/>
      <c r="Y6" s="3568"/>
      <c r="Z6" s="3569"/>
      <c r="AA6" s="3542"/>
      <c r="AB6" s="3542"/>
      <c r="AC6" s="3692"/>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698"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698" t="s">
        <v>2552</v>
      </c>
      <c r="Q8" s="3544"/>
      <c r="R8" s="768" t="s">
        <v>17</v>
      </c>
      <c r="S8" s="769">
        <f t="shared" si="0"/>
        <v>0</v>
      </c>
      <c r="T8" s="768" t="s">
        <v>17</v>
      </c>
      <c r="U8" s="769">
        <f t="shared" si="1"/>
        <v>0</v>
      </c>
      <c r="V8" s="768" t="s">
        <v>17</v>
      </c>
      <c r="W8" s="769">
        <f t="shared" si="2"/>
        <v>0</v>
      </c>
      <c r="X8" s="770"/>
      <c r="Y8" s="3543" t="s">
        <v>2552</v>
      </c>
      <c r="Z8" s="3544"/>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5" t="s">
        <v>2560</v>
      </c>
      <c r="Q15" s="1810" t="str">
        <f t="shared" si="6"/>
        <v>办公集聚程度</v>
      </c>
      <c r="R15" s="772" t="s">
        <v>17</v>
      </c>
      <c r="S15" s="773">
        <f t="shared" si="0"/>
        <v>100</v>
      </c>
      <c r="T15" s="772" t="s">
        <v>17</v>
      </c>
      <c r="U15" s="773">
        <f t="shared" si="1"/>
        <v>100</v>
      </c>
      <c r="V15" s="772" t="s">
        <v>17</v>
      </c>
      <c r="W15" s="773">
        <f t="shared" si="2"/>
        <v>100</v>
      </c>
      <c r="X15" s="1813"/>
      <c r="Y15" s="3572"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6"/>
      <c r="Q16" s="1810"/>
      <c r="R16" s="772"/>
      <c r="S16" s="773"/>
      <c r="T16" s="772"/>
      <c r="U16" s="773"/>
      <c r="V16" s="772"/>
      <c r="W16" s="773"/>
      <c r="X16" s="1813"/>
      <c r="Y16" s="3573"/>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6"/>
      <c r="Q18" s="1810"/>
      <c r="R18" s="772"/>
      <c r="S18" s="773"/>
      <c r="T18" s="772"/>
      <c r="U18" s="773"/>
      <c r="V18" s="772"/>
      <c r="W18" s="773"/>
      <c r="X18" s="1813"/>
      <c r="Y18" s="3573"/>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6"/>
      <c r="Q20" s="1810"/>
      <c r="R20" s="772"/>
      <c r="S20" s="773"/>
      <c r="T20" s="772"/>
      <c r="U20" s="773"/>
      <c r="V20" s="772"/>
      <c r="W20" s="773"/>
      <c r="X20" s="1813"/>
      <c r="Y20" s="3573"/>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6"/>
      <c r="Q22" s="1810"/>
      <c r="R22" s="772"/>
      <c r="S22" s="773"/>
      <c r="T22" s="772"/>
      <c r="U22" s="773"/>
      <c r="V22" s="772"/>
      <c r="W22" s="773"/>
      <c r="X22" s="1813"/>
      <c r="Y22" s="3573"/>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6"/>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6"/>
      <c r="Q24" s="1810"/>
      <c r="R24" s="772"/>
      <c r="S24" s="773"/>
      <c r="T24" s="772"/>
      <c r="U24" s="773"/>
      <c r="V24" s="772"/>
      <c r="W24" s="773"/>
      <c r="X24" s="1813"/>
      <c r="Y24" s="3573"/>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6"/>
      <c r="Q25" s="1810" t="str">
        <f>B25</f>
        <v>毗邻道路的类型与等级</v>
      </c>
      <c r="R25" s="772" t="s">
        <v>17</v>
      </c>
      <c r="S25" s="773">
        <f>F25</f>
        <v>100</v>
      </c>
      <c r="T25" s="772" t="s">
        <v>17</v>
      </c>
      <c r="U25" s="773">
        <f>H25</f>
        <v>100</v>
      </c>
      <c r="V25" s="772" t="s">
        <v>17</v>
      </c>
      <c r="W25" s="773">
        <f>J25</f>
        <v>100</v>
      </c>
      <c r="X25" s="1813"/>
      <c r="Y25" s="3573"/>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6"/>
      <c r="Q26" s="1810"/>
      <c r="R26" s="772"/>
      <c r="S26" s="773"/>
      <c r="T26" s="772"/>
      <c r="U26" s="773"/>
      <c r="V26" s="772"/>
      <c r="W26" s="773"/>
      <c r="X26" s="1813"/>
      <c r="Y26" s="3573"/>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6"/>
      <c r="Q27" s="1810" t="str">
        <f t="shared" ref="Q27:Q47" si="11">B27</f>
        <v>楼层</v>
      </c>
      <c r="R27" s="772" t="s">
        <v>17</v>
      </c>
      <c r="S27" s="773">
        <f>F27</f>
        <v>100</v>
      </c>
      <c r="T27" s="772" t="s">
        <v>17</v>
      </c>
      <c r="U27" s="773">
        <f>H27</f>
        <v>100</v>
      </c>
      <c r="V27" s="772" t="s">
        <v>17</v>
      </c>
      <c r="W27" s="773">
        <f>J27</f>
        <v>100</v>
      </c>
      <c r="X27" s="1813"/>
      <c r="Y27" s="3573"/>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6"/>
      <c r="Q28" s="1795" t="str">
        <f t="shared" si="11"/>
        <v>朝向</v>
      </c>
      <c r="R28" s="768" t="s">
        <v>17</v>
      </c>
      <c r="S28" s="769">
        <f>F28</f>
        <v>100</v>
      </c>
      <c r="T28" s="768" t="s">
        <v>17</v>
      </c>
      <c r="U28" s="769">
        <f>H28</f>
        <v>100</v>
      </c>
      <c r="V28" s="768" t="s">
        <v>17</v>
      </c>
      <c r="W28" s="769">
        <f>J28</f>
        <v>100</v>
      </c>
      <c r="X28" s="770"/>
      <c r="Y28" s="3573"/>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6"/>
      <c r="Q29" s="1810">
        <f t="shared" si="11"/>
        <v>111</v>
      </c>
      <c r="R29" s="772" t="s">
        <v>17</v>
      </c>
      <c r="S29" s="773">
        <f t="shared" ref="S29:S47" si="12">F29</f>
        <v>100</v>
      </c>
      <c r="T29" s="772" t="s">
        <v>17</v>
      </c>
      <c r="U29" s="773">
        <f t="shared" ref="U29:U47" si="13">H29</f>
        <v>100</v>
      </c>
      <c r="V29" s="772" t="s">
        <v>17</v>
      </c>
      <c r="W29" s="773">
        <f t="shared" ref="W29:W47" si="14">J29</f>
        <v>100</v>
      </c>
      <c r="X29" s="1813"/>
      <c r="Y29" s="3573"/>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6"/>
      <c r="Q32" s="1810">
        <f t="shared" si="11"/>
        <v>111</v>
      </c>
      <c r="R32" s="772" t="s">
        <v>17</v>
      </c>
      <c r="S32" s="773">
        <f t="shared" si="12"/>
        <v>100</v>
      </c>
      <c r="T32" s="772" t="s">
        <v>17</v>
      </c>
      <c r="U32" s="773">
        <f t="shared" si="13"/>
        <v>100</v>
      </c>
      <c r="V32" s="772" t="s">
        <v>17</v>
      </c>
      <c r="W32" s="773">
        <f t="shared" si="14"/>
        <v>100</v>
      </c>
      <c r="X32" s="1813"/>
      <c r="Y32" s="3573"/>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2" t="s">
        <v>2565</v>
      </c>
      <c r="Q33" s="1810" t="str">
        <f t="shared" si="11"/>
        <v>建筑类型</v>
      </c>
      <c r="R33" s="772" t="s">
        <v>17</v>
      </c>
      <c r="S33" s="773">
        <f t="shared" si="12"/>
        <v>100</v>
      </c>
      <c r="T33" s="772" t="s">
        <v>17</v>
      </c>
      <c r="U33" s="773">
        <f t="shared" si="13"/>
        <v>100</v>
      </c>
      <c r="V33" s="772" t="s">
        <v>17</v>
      </c>
      <c r="W33" s="773">
        <f t="shared" si="14"/>
        <v>100</v>
      </c>
      <c r="X33" s="1813"/>
      <c r="Y33" s="3575"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3"/>
      <c r="Q34" s="774" t="str">
        <f t="shared" si="11"/>
        <v>项目建筑规模</v>
      </c>
      <c r="R34" s="775" t="s">
        <v>17</v>
      </c>
      <c r="S34" s="776" t="e">
        <f t="shared" si="12"/>
        <v>#N/A</v>
      </c>
      <c r="T34" s="775" t="s">
        <v>17</v>
      </c>
      <c r="U34" s="776" t="e">
        <f t="shared" si="13"/>
        <v>#N/A</v>
      </c>
      <c r="V34" s="775" t="s">
        <v>17</v>
      </c>
      <c r="W34" s="776" t="e">
        <f t="shared" si="14"/>
        <v>#N/A</v>
      </c>
      <c r="X34" s="777"/>
      <c r="Y34" s="3575"/>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3"/>
      <c r="Q35" s="1810" t="str">
        <f t="shared" si="11"/>
        <v>建筑结构</v>
      </c>
      <c r="R35" s="772" t="s">
        <v>17</v>
      </c>
      <c r="S35" s="773">
        <f t="shared" si="12"/>
        <v>100</v>
      </c>
      <c r="T35" s="772" t="s">
        <v>17</v>
      </c>
      <c r="U35" s="773">
        <f t="shared" si="13"/>
        <v>100</v>
      </c>
      <c r="V35" s="772" t="s">
        <v>17</v>
      </c>
      <c r="W35" s="773">
        <f t="shared" si="14"/>
        <v>100</v>
      </c>
      <c r="X35" s="1813"/>
      <c r="Y35" s="3575"/>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3"/>
      <c r="Q36" s="1810" t="str">
        <f t="shared" si="11"/>
        <v>公共部分装修</v>
      </c>
      <c r="R36" s="772" t="s">
        <v>17</v>
      </c>
      <c r="S36" s="773">
        <f t="shared" si="12"/>
        <v>100</v>
      </c>
      <c r="T36" s="772" t="s">
        <v>17</v>
      </c>
      <c r="U36" s="773">
        <f t="shared" si="13"/>
        <v>100</v>
      </c>
      <c r="V36" s="772" t="s">
        <v>17</v>
      </c>
      <c r="W36" s="773">
        <f t="shared" si="14"/>
        <v>100</v>
      </c>
      <c r="X36" s="1813"/>
      <c r="Y36" s="3575"/>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3"/>
      <c r="Q37" s="1810" t="str">
        <f t="shared" si="11"/>
        <v>成新度</v>
      </c>
      <c r="R37" s="772" t="s">
        <v>17</v>
      </c>
      <c r="S37" s="773" t="e">
        <f t="shared" si="12"/>
        <v>#N/A</v>
      </c>
      <c r="T37" s="772" t="s">
        <v>17</v>
      </c>
      <c r="U37" s="773" t="e">
        <f t="shared" si="13"/>
        <v>#N/A</v>
      </c>
      <c r="V37" s="772" t="s">
        <v>17</v>
      </c>
      <c r="W37" s="773" t="e">
        <f t="shared" si="14"/>
        <v>#N/A</v>
      </c>
      <c r="X37" s="1813"/>
      <c r="Y37" s="3575"/>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3"/>
      <c r="Q38" s="1795" t="str">
        <f t="shared" si="11"/>
        <v>写字楼等级</v>
      </c>
      <c r="R38" s="768" t="s">
        <v>17</v>
      </c>
      <c r="S38" s="769">
        <f t="shared" si="12"/>
        <v>100</v>
      </c>
      <c r="T38" s="768" t="s">
        <v>17</v>
      </c>
      <c r="U38" s="769">
        <f t="shared" si="13"/>
        <v>100</v>
      </c>
      <c r="V38" s="768" t="s">
        <v>17</v>
      </c>
      <c r="W38" s="769">
        <f t="shared" si="14"/>
        <v>100</v>
      </c>
      <c r="X38" s="770"/>
      <c r="Y38" s="3575"/>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3" t="s">
        <v>2565</v>
      </c>
      <c r="Q39" s="1810" t="str">
        <f t="shared" si="11"/>
        <v>物业管理</v>
      </c>
      <c r="R39" s="772" t="s">
        <v>17</v>
      </c>
      <c r="S39" s="773">
        <f t="shared" si="12"/>
        <v>100</v>
      </c>
      <c r="T39" s="772" t="s">
        <v>17</v>
      </c>
      <c r="U39" s="773">
        <f t="shared" si="13"/>
        <v>100</v>
      </c>
      <c r="V39" s="772" t="s">
        <v>17</v>
      </c>
      <c r="W39" s="773">
        <f t="shared" si="14"/>
        <v>100</v>
      </c>
      <c r="X39" s="1813"/>
      <c r="Y39" s="3575"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3"/>
      <c r="Q40" s="1810" t="str">
        <f t="shared" si="11"/>
        <v>市政基础设施</v>
      </c>
      <c r="R40" s="772" t="s">
        <v>17</v>
      </c>
      <c r="S40" s="773">
        <f t="shared" si="12"/>
        <v>100</v>
      </c>
      <c r="T40" s="772" t="s">
        <v>17</v>
      </c>
      <c r="U40" s="773">
        <f t="shared" si="13"/>
        <v>100</v>
      </c>
      <c r="V40" s="772" t="s">
        <v>17</v>
      </c>
      <c r="W40" s="773">
        <f t="shared" si="14"/>
        <v>100</v>
      </c>
      <c r="X40" s="1813"/>
      <c r="Y40" s="3575"/>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3"/>
      <c r="Q41" s="1810" t="str">
        <f t="shared" si="11"/>
        <v>层高</v>
      </c>
      <c r="R41" s="772" t="s">
        <v>17</v>
      </c>
      <c r="S41" s="773">
        <f t="shared" si="12"/>
        <v>100</v>
      </c>
      <c r="T41" s="772" t="s">
        <v>17</v>
      </c>
      <c r="U41" s="773">
        <f t="shared" si="13"/>
        <v>100</v>
      </c>
      <c r="V41" s="772" t="s">
        <v>17</v>
      </c>
      <c r="W41" s="773">
        <f t="shared" si="14"/>
        <v>100</v>
      </c>
      <c r="X41" s="1813"/>
      <c r="Y41" s="3575"/>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3"/>
      <c r="Q42" s="774" t="str">
        <f t="shared" si="11"/>
        <v>单套建筑面积</v>
      </c>
      <c r="R42" s="775" t="s">
        <v>17</v>
      </c>
      <c r="S42" s="776">
        <f t="shared" si="12"/>
        <v>100</v>
      </c>
      <c r="T42" s="775" t="s">
        <v>17</v>
      </c>
      <c r="U42" s="776">
        <f t="shared" si="13"/>
        <v>100</v>
      </c>
      <c r="V42" s="775" t="s">
        <v>17</v>
      </c>
      <c r="W42" s="776">
        <f t="shared" si="14"/>
        <v>100</v>
      </c>
      <c r="X42" s="777"/>
      <c r="Y42" s="3575"/>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3"/>
      <c r="Q43" s="1810" t="str">
        <f t="shared" si="11"/>
        <v>内部装修</v>
      </c>
      <c r="R43" s="772" t="s">
        <v>17</v>
      </c>
      <c r="S43" s="773">
        <f t="shared" si="12"/>
        <v>100</v>
      </c>
      <c r="T43" s="772" t="s">
        <v>17</v>
      </c>
      <c r="U43" s="773">
        <f t="shared" si="13"/>
        <v>100</v>
      </c>
      <c r="V43" s="772" t="s">
        <v>17</v>
      </c>
      <c r="W43" s="773">
        <f t="shared" si="14"/>
        <v>100</v>
      </c>
      <c r="X43" s="1813"/>
      <c r="Y43" s="3575"/>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3"/>
      <c r="Q44" s="1810" t="str">
        <f t="shared" si="11"/>
        <v>内部装修维护情况</v>
      </c>
      <c r="R44" s="772" t="s">
        <v>17</v>
      </c>
      <c r="S44" s="773">
        <f t="shared" si="12"/>
        <v>100</v>
      </c>
      <c r="T44" s="772" t="s">
        <v>17</v>
      </c>
      <c r="U44" s="773">
        <f t="shared" si="13"/>
        <v>100</v>
      </c>
      <c r="V44" s="772" t="s">
        <v>17</v>
      </c>
      <c r="W44" s="773">
        <f t="shared" si="14"/>
        <v>100</v>
      </c>
      <c r="X44" s="1813"/>
      <c r="Y44" s="3575"/>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3"/>
      <c r="Q45" s="1795">
        <f t="shared" si="11"/>
        <v>111</v>
      </c>
      <c r="R45" s="768" t="s">
        <v>17</v>
      </c>
      <c r="S45" s="769">
        <f t="shared" si="12"/>
        <v>100</v>
      </c>
      <c r="T45" s="768" t="s">
        <v>17</v>
      </c>
      <c r="U45" s="769">
        <f t="shared" si="13"/>
        <v>100</v>
      </c>
      <c r="V45" s="768" t="s">
        <v>17</v>
      </c>
      <c r="W45" s="769">
        <f t="shared" si="14"/>
        <v>100</v>
      </c>
      <c r="X45" s="770"/>
      <c r="Y45" s="3575"/>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3"/>
      <c r="Q46" s="1810">
        <f t="shared" si="11"/>
        <v>111</v>
      </c>
      <c r="R46" s="772" t="s">
        <v>17</v>
      </c>
      <c r="S46" s="773">
        <f t="shared" si="12"/>
        <v>100</v>
      </c>
      <c r="T46" s="772" t="s">
        <v>17</v>
      </c>
      <c r="U46" s="773">
        <f t="shared" si="13"/>
        <v>100</v>
      </c>
      <c r="V46" s="772" t="s">
        <v>17</v>
      </c>
      <c r="W46" s="773">
        <f t="shared" si="14"/>
        <v>100</v>
      </c>
      <c r="X46" s="1813"/>
      <c r="Y46" s="3575"/>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4"/>
      <c r="Q47" s="1810">
        <f t="shared" si="11"/>
        <v>111</v>
      </c>
      <c r="R47" s="772" t="s">
        <v>17</v>
      </c>
      <c r="S47" s="773">
        <f t="shared" si="12"/>
        <v>100</v>
      </c>
      <c r="T47" s="772" t="s">
        <v>17</v>
      </c>
      <c r="U47" s="773">
        <f t="shared" si="13"/>
        <v>100</v>
      </c>
      <c r="V47" s="772" t="s">
        <v>17</v>
      </c>
      <c r="W47" s="773">
        <f t="shared" si="14"/>
        <v>100</v>
      </c>
      <c r="X47" s="1813"/>
      <c r="Y47" s="3576"/>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4" t="str">
        <f>A48</f>
        <v>成交单价（元/平方米）</v>
      </c>
      <c r="Q48" s="3557"/>
      <c r="R48" s="3577">
        <f>E48</f>
        <v>0</v>
      </c>
      <c r="S48" s="3577"/>
      <c r="T48" s="3577">
        <f>G48</f>
        <v>0</v>
      </c>
      <c r="U48" s="3577"/>
      <c r="V48" s="3577">
        <f>I48</f>
        <v>0</v>
      </c>
      <c r="W48" s="3577"/>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4" t="str">
        <f>A49</f>
        <v>比较价值（元/平方米）</v>
      </c>
      <c r="Q49" s="3557"/>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99" t="str">
        <f>A50</f>
        <v>估价对象XX用房的比较价值（楼面单价，元/平方米）</v>
      </c>
      <c r="Q50" s="3700"/>
      <c r="R50" s="3701" t="e">
        <f>IF(F1="售价",ROUND(AVERAGE(R49:V49),0),ROUND(AVERAGE(R49:V49),1))</f>
        <v>#DIV/0!</v>
      </c>
      <c r="S50" s="3701"/>
      <c r="T50" s="3701"/>
      <c r="U50" s="3701"/>
      <c r="V50" s="3701"/>
      <c r="W50" s="370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73"/>
      <c r="Q15" s="1810"/>
      <c r="R15" s="772"/>
      <c r="S15" s="773"/>
      <c r="T15" s="772"/>
      <c r="U15" s="773"/>
      <c r="V15" s="772"/>
      <c r="W15" s="773"/>
      <c r="X15" s="1813"/>
      <c r="Y15" s="3573"/>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73"/>
      <c r="Q17" s="1810"/>
      <c r="R17" s="772"/>
      <c r="S17" s="773"/>
      <c r="T17" s="772"/>
      <c r="U17" s="773"/>
      <c r="V17" s="772"/>
      <c r="W17" s="773"/>
      <c r="X17" s="1813"/>
      <c r="Y17" s="3573"/>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73"/>
      <c r="Q19" s="1810"/>
      <c r="R19" s="772"/>
      <c r="S19" s="773"/>
      <c r="T19" s="772"/>
      <c r="U19" s="773"/>
      <c r="V19" s="772"/>
      <c r="W19" s="773"/>
      <c r="X19" s="1813"/>
      <c r="Y19" s="3573"/>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73"/>
      <c r="Q21" s="1810"/>
      <c r="R21" s="772"/>
      <c r="S21" s="773"/>
      <c r="T21" s="772"/>
      <c r="U21" s="773"/>
      <c r="V21" s="772"/>
      <c r="W21" s="773"/>
      <c r="X21" s="1813"/>
      <c r="Y21" s="3573"/>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73"/>
      <c r="Q24" s="1810">
        <f t="shared" ref="Q24:Q36"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74"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75"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75"/>
      <c r="Q27" s="774" t="str">
        <f t="shared" si="11"/>
        <v>项目停车位配比</v>
      </c>
      <c r="R27" s="775" t="s">
        <v>17</v>
      </c>
      <c r="S27" s="776">
        <f t="shared" si="12"/>
        <v>100</v>
      </c>
      <c r="T27" s="775" t="s">
        <v>17</v>
      </c>
      <c r="U27" s="776">
        <f t="shared" si="13"/>
        <v>100</v>
      </c>
      <c r="V27" s="775" t="s">
        <v>17</v>
      </c>
      <c r="W27" s="776">
        <f t="shared" si="14"/>
        <v>100</v>
      </c>
      <c r="X27" s="777"/>
      <c r="Y27" s="3575"/>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75"/>
      <c r="Q28" s="1810" t="str">
        <f t="shared" si="11"/>
        <v>公共部分装修</v>
      </c>
      <c r="R28" s="772" t="s">
        <v>17</v>
      </c>
      <c r="S28" s="773">
        <f t="shared" si="12"/>
        <v>100</v>
      </c>
      <c r="T28" s="772" t="s">
        <v>17</v>
      </c>
      <c r="U28" s="773">
        <f t="shared" si="13"/>
        <v>100</v>
      </c>
      <c r="V28" s="772" t="s">
        <v>17</v>
      </c>
      <c r="W28" s="773">
        <f t="shared" si="14"/>
        <v>100</v>
      </c>
      <c r="X28" s="1813"/>
      <c r="Y28" s="3575"/>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75"/>
      <c r="Q29" s="1810" t="str">
        <f t="shared" si="11"/>
        <v>成新率</v>
      </c>
      <c r="R29" s="772" t="s">
        <v>17</v>
      </c>
      <c r="S29" s="773" t="e">
        <f t="shared" si="12"/>
        <v>#N/A</v>
      </c>
      <c r="T29" s="772" t="s">
        <v>17</v>
      </c>
      <c r="U29" s="773" t="e">
        <f t="shared" si="13"/>
        <v>#N/A</v>
      </c>
      <c r="V29" s="772" t="s">
        <v>17</v>
      </c>
      <c r="W29" s="773" t="e">
        <f t="shared" si="14"/>
        <v>#N/A</v>
      </c>
      <c r="X29" s="1813"/>
      <c r="Y29" s="3575"/>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75"/>
      <c r="Q30" s="1810" t="str">
        <f t="shared" si="11"/>
        <v>物业等级</v>
      </c>
      <c r="R30" s="772" t="s">
        <v>17</v>
      </c>
      <c r="S30" s="773">
        <f t="shared" si="12"/>
        <v>100</v>
      </c>
      <c r="T30" s="772" t="s">
        <v>17</v>
      </c>
      <c r="U30" s="773">
        <f t="shared" si="13"/>
        <v>100</v>
      </c>
      <c r="V30" s="772" t="s">
        <v>17</v>
      </c>
      <c r="W30" s="773">
        <f t="shared" si="14"/>
        <v>100</v>
      </c>
      <c r="X30" s="1813"/>
      <c r="Y30" s="3575"/>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75"/>
      <c r="Q31" s="1795" t="str">
        <f t="shared" si="11"/>
        <v>停车位面积</v>
      </c>
      <c r="R31" s="768" t="s">
        <v>17</v>
      </c>
      <c r="S31" s="769" t="e">
        <f t="shared" si="12"/>
        <v>#N/A</v>
      </c>
      <c r="T31" s="768" t="s">
        <v>17</v>
      </c>
      <c r="U31" s="769" t="e">
        <f t="shared" si="13"/>
        <v>#N/A</v>
      </c>
      <c r="V31" s="768" t="s">
        <v>17</v>
      </c>
      <c r="W31" s="769" t="e">
        <f t="shared" si="14"/>
        <v>#N/A</v>
      </c>
      <c r="X31" s="770"/>
      <c r="Y31" s="3575"/>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75" t="s">
        <v>2565</v>
      </c>
      <c r="Q32" s="1810" t="str">
        <f t="shared" si="11"/>
        <v>车位类型</v>
      </c>
      <c r="R32" s="772" t="s">
        <v>17</v>
      </c>
      <c r="S32" s="773">
        <f t="shared" si="12"/>
        <v>100</v>
      </c>
      <c r="T32" s="772" t="s">
        <v>17</v>
      </c>
      <c r="U32" s="773">
        <f t="shared" si="13"/>
        <v>100</v>
      </c>
      <c r="V32" s="772" t="s">
        <v>17</v>
      </c>
      <c r="W32" s="773">
        <f t="shared" si="14"/>
        <v>100</v>
      </c>
      <c r="X32" s="1813"/>
      <c r="Y32" s="3575"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75"/>
      <c r="Q33" s="1810" t="str">
        <f t="shared" si="11"/>
        <v>是否直接入户</v>
      </c>
      <c r="R33" s="772" t="s">
        <v>17</v>
      </c>
      <c r="S33" s="773">
        <f t="shared" si="12"/>
        <v>100</v>
      </c>
      <c r="T33" s="772" t="s">
        <v>17</v>
      </c>
      <c r="U33" s="773">
        <f t="shared" si="13"/>
        <v>100</v>
      </c>
      <c r="V33" s="772" t="s">
        <v>17</v>
      </c>
      <c r="W33" s="773">
        <f t="shared" si="14"/>
        <v>100</v>
      </c>
      <c r="X33" s="1813"/>
      <c r="Y33" s="3575"/>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75"/>
      <c r="Q35" s="774">
        <f t="shared" si="11"/>
        <v>111</v>
      </c>
      <c r="R35" s="775" t="s">
        <v>17</v>
      </c>
      <c r="S35" s="776">
        <f t="shared" si="12"/>
        <v>100</v>
      </c>
      <c r="T35" s="775" t="s">
        <v>17</v>
      </c>
      <c r="U35" s="776">
        <f t="shared" si="13"/>
        <v>100</v>
      </c>
      <c r="V35" s="775" t="s">
        <v>17</v>
      </c>
      <c r="W35" s="776">
        <f t="shared" si="14"/>
        <v>100</v>
      </c>
      <c r="X35" s="777"/>
      <c r="Y35" s="3575"/>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75"/>
      <c r="Q36" s="1810">
        <f t="shared" si="11"/>
        <v>111</v>
      </c>
      <c r="R36" s="772" t="s">
        <v>17</v>
      </c>
      <c r="S36" s="773">
        <f t="shared" si="12"/>
        <v>100</v>
      </c>
      <c r="T36" s="772" t="s">
        <v>17</v>
      </c>
      <c r="U36" s="773">
        <f t="shared" si="13"/>
        <v>100</v>
      </c>
      <c r="V36" s="772" t="s">
        <v>17</v>
      </c>
      <c r="W36" s="773">
        <f t="shared" si="14"/>
        <v>100</v>
      </c>
      <c r="X36" s="1813"/>
      <c r="Y36" s="3575"/>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57" t="str">
        <f>A37</f>
        <v>成交单价</v>
      </c>
      <c r="Q37" s="3557"/>
      <c r="R37" s="3577">
        <f>E37</f>
        <v>0</v>
      </c>
      <c r="S37" s="3577"/>
      <c r="T37" s="3577">
        <f>G37</f>
        <v>0</v>
      </c>
      <c r="U37" s="3577"/>
      <c r="V37" s="3577">
        <f>I37</f>
        <v>0</v>
      </c>
      <c r="W37" s="3577"/>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57" t="str">
        <f>A38</f>
        <v>比较价值（元/平方米）</v>
      </c>
      <c r="Q38" s="3557"/>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78" t="str">
        <f>A39</f>
        <v>估价对象XX用房的比较价值（楼面单价，元/平方米）</v>
      </c>
      <c r="Q39" s="3579"/>
      <c r="R39" s="3580" t="e">
        <f>IF(F1="售价",ROUND(AVERAGE(R38:V38),0),ROUND(AVERAGE(R38:V38),1))</f>
        <v>#DIV/0!</v>
      </c>
      <c r="S39" s="3580"/>
      <c r="T39" s="3580"/>
      <c r="U39" s="3580"/>
      <c r="V39" s="3580"/>
      <c r="W39" s="3580"/>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73"/>
      <c r="Q15" s="1810"/>
      <c r="R15" s="772"/>
      <c r="S15" s="773"/>
      <c r="T15" s="772"/>
      <c r="U15" s="773"/>
      <c r="V15" s="772"/>
      <c r="W15" s="773"/>
      <c r="X15" s="1813"/>
      <c r="Y15" s="3573"/>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73"/>
      <c r="Q17" s="1810"/>
      <c r="R17" s="772"/>
      <c r="S17" s="773"/>
      <c r="T17" s="772"/>
      <c r="U17" s="773"/>
      <c r="V17" s="772"/>
      <c r="W17" s="773"/>
      <c r="X17" s="1813"/>
      <c r="Y17" s="3573"/>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73"/>
      <c r="Q19" s="1810"/>
      <c r="R19" s="772"/>
      <c r="S19" s="773"/>
      <c r="T19" s="772"/>
      <c r="U19" s="773"/>
      <c r="V19" s="772"/>
      <c r="W19" s="773"/>
      <c r="X19" s="1813"/>
      <c r="Y19" s="3573"/>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73"/>
      <c r="Q21" s="1810"/>
      <c r="R21" s="772"/>
      <c r="S21" s="773"/>
      <c r="T21" s="772"/>
      <c r="U21" s="773"/>
      <c r="V21" s="772"/>
      <c r="W21" s="773"/>
      <c r="X21" s="1813"/>
      <c r="Y21" s="3573"/>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73"/>
      <c r="Q24" s="1810">
        <f t="shared" ref="Q24:Q34"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74"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75"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75"/>
      <c r="Q27" s="774" t="str">
        <f t="shared" si="11"/>
        <v>成新率</v>
      </c>
      <c r="R27" s="775" t="s">
        <v>17</v>
      </c>
      <c r="S27" s="776" t="e">
        <f t="shared" si="12"/>
        <v>#N/A</v>
      </c>
      <c r="T27" s="775" t="s">
        <v>17</v>
      </c>
      <c r="U27" s="776" t="e">
        <f t="shared" si="13"/>
        <v>#N/A</v>
      </c>
      <c r="V27" s="775" t="s">
        <v>17</v>
      </c>
      <c r="W27" s="776" t="e">
        <f t="shared" si="14"/>
        <v>#N/A</v>
      </c>
      <c r="X27" s="777"/>
      <c r="Y27" s="3575"/>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75"/>
      <c r="Q28" s="1810" t="str">
        <f t="shared" si="11"/>
        <v>物业等级</v>
      </c>
      <c r="R28" s="772" t="s">
        <v>17</v>
      </c>
      <c r="S28" s="773">
        <f t="shared" si="12"/>
        <v>100</v>
      </c>
      <c r="T28" s="772" t="s">
        <v>17</v>
      </c>
      <c r="U28" s="773">
        <f t="shared" si="13"/>
        <v>100</v>
      </c>
      <c r="V28" s="772" t="s">
        <v>17</v>
      </c>
      <c r="W28" s="773">
        <f t="shared" si="14"/>
        <v>100</v>
      </c>
      <c r="X28" s="1813"/>
      <c r="Y28" s="3575"/>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75"/>
      <c r="Q29" s="1810" t="str">
        <f t="shared" si="11"/>
        <v>有无电梯</v>
      </c>
      <c r="R29" s="772" t="s">
        <v>17</v>
      </c>
      <c r="S29" s="773">
        <f t="shared" si="12"/>
        <v>100</v>
      </c>
      <c r="T29" s="772" t="s">
        <v>17</v>
      </c>
      <c r="U29" s="773">
        <f t="shared" si="13"/>
        <v>100</v>
      </c>
      <c r="V29" s="772" t="s">
        <v>17</v>
      </c>
      <c r="W29" s="773">
        <f t="shared" si="14"/>
        <v>100</v>
      </c>
      <c r="X29" s="1813"/>
      <c r="Y29" s="3575"/>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75"/>
      <c r="Q30" s="1810" t="str">
        <f t="shared" si="11"/>
        <v>建筑面积</v>
      </c>
      <c r="R30" s="772" t="s">
        <v>17</v>
      </c>
      <c r="S30" s="773" t="e">
        <f t="shared" si="12"/>
        <v>#N/A</v>
      </c>
      <c r="T30" s="772" t="s">
        <v>17</v>
      </c>
      <c r="U30" s="773" t="e">
        <f t="shared" si="13"/>
        <v>#N/A</v>
      </c>
      <c r="V30" s="772" t="s">
        <v>17</v>
      </c>
      <c r="W30" s="773" t="e">
        <f t="shared" si="14"/>
        <v>#N/A</v>
      </c>
      <c r="X30" s="1813"/>
      <c r="Y30" s="3575"/>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75"/>
      <c r="Q31" s="1795" t="str">
        <f t="shared" si="11"/>
        <v>是否封闭</v>
      </c>
      <c r="R31" s="768" t="s">
        <v>17</v>
      </c>
      <c r="S31" s="769">
        <f t="shared" si="12"/>
        <v>100</v>
      </c>
      <c r="T31" s="768" t="s">
        <v>17</v>
      </c>
      <c r="U31" s="769">
        <f t="shared" si="13"/>
        <v>100</v>
      </c>
      <c r="V31" s="768" t="s">
        <v>17</v>
      </c>
      <c r="W31" s="769">
        <f t="shared" si="14"/>
        <v>100</v>
      </c>
      <c r="X31" s="770"/>
      <c r="Y31" s="3575"/>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75" t="s">
        <v>2565</v>
      </c>
      <c r="Q32" s="1810">
        <f t="shared" si="11"/>
        <v>111</v>
      </c>
      <c r="R32" s="772" t="s">
        <v>17</v>
      </c>
      <c r="S32" s="773">
        <f t="shared" si="12"/>
        <v>100</v>
      </c>
      <c r="T32" s="772" t="s">
        <v>17</v>
      </c>
      <c r="U32" s="773">
        <f t="shared" si="13"/>
        <v>100</v>
      </c>
      <c r="V32" s="772" t="s">
        <v>17</v>
      </c>
      <c r="W32" s="773">
        <f t="shared" si="14"/>
        <v>100</v>
      </c>
      <c r="X32" s="1813"/>
      <c r="Y32" s="3575"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75"/>
      <c r="Q33" s="1810">
        <f t="shared" si="11"/>
        <v>111</v>
      </c>
      <c r="R33" s="772" t="s">
        <v>17</v>
      </c>
      <c r="S33" s="773">
        <f t="shared" si="12"/>
        <v>100</v>
      </c>
      <c r="T33" s="772" t="s">
        <v>17</v>
      </c>
      <c r="U33" s="773">
        <f t="shared" si="13"/>
        <v>100</v>
      </c>
      <c r="V33" s="772" t="s">
        <v>17</v>
      </c>
      <c r="W33" s="773">
        <f t="shared" si="14"/>
        <v>100</v>
      </c>
      <c r="X33" s="1813"/>
      <c r="Y33" s="3575"/>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57" t="str">
        <f>A35</f>
        <v>成交单价（元/平方米）</v>
      </c>
      <c r="Q35" s="3557"/>
      <c r="R35" s="3577">
        <f>E35</f>
        <v>0</v>
      </c>
      <c r="S35" s="3577"/>
      <c r="T35" s="3577">
        <f>G35</f>
        <v>0</v>
      </c>
      <c r="U35" s="3577"/>
      <c r="V35" s="3577">
        <f>I35</f>
        <v>0</v>
      </c>
      <c r="W35" s="3577"/>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57" t="str">
        <f>A36</f>
        <v>比较价值（元/平方米）</v>
      </c>
      <c r="Q36" s="3557"/>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78" t="str">
        <f>A37</f>
        <v>估价对象XX用房的比较价值（楼面单价，元/平方米）</v>
      </c>
      <c r="Q37" s="3579"/>
      <c r="R37" s="3580" t="e">
        <f>IF(F1="售价",ROUND(AVERAGE(R36:V36),0),ROUND(AVERAGE(R36:V36),1))</f>
        <v>#DIV/0!</v>
      </c>
      <c r="S37" s="3580"/>
      <c r="T37" s="3580"/>
      <c r="U37" s="3580"/>
      <c r="V37" s="3580"/>
      <c r="W37" s="3580"/>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30"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30"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57"/>
      <c r="Q12" s="1795" t="str">
        <f t="shared" si="6"/>
        <v>配建</v>
      </c>
      <c r="R12" s="768" t="s">
        <v>17</v>
      </c>
      <c r="S12" s="769">
        <f t="shared" si="0"/>
        <v>100</v>
      </c>
      <c r="T12" s="768" t="s">
        <v>17</v>
      </c>
      <c r="U12" s="769">
        <f t="shared" si="1"/>
        <v>100</v>
      </c>
      <c r="V12" s="768" t="s">
        <v>17</v>
      </c>
      <c r="W12" s="769">
        <f t="shared" si="2"/>
        <v>100</v>
      </c>
      <c r="X12" s="770"/>
      <c r="Y12" s="3412"/>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72" t="s">
        <v>2560</v>
      </c>
      <c r="Q15" s="1810" t="str">
        <f t="shared" si="6"/>
        <v>居住社区成熟度</v>
      </c>
      <c r="R15" s="772" t="s">
        <v>17</v>
      </c>
      <c r="S15" s="773">
        <f t="shared" si="0"/>
        <v>100</v>
      </c>
      <c r="T15" s="772" t="s">
        <v>17</v>
      </c>
      <c r="U15" s="773">
        <f t="shared" si="1"/>
        <v>100</v>
      </c>
      <c r="V15" s="772" t="s">
        <v>17</v>
      </c>
      <c r="W15" s="773">
        <f t="shared" si="2"/>
        <v>100</v>
      </c>
      <c r="X15" s="1813"/>
      <c r="Y15" s="3572"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73"/>
      <c r="Q17" s="1810" t="str">
        <f>B17</f>
        <v>商业繁华度</v>
      </c>
      <c r="R17" s="772" t="s">
        <v>17</v>
      </c>
      <c r="S17" s="773">
        <f>F17</f>
        <v>100</v>
      </c>
      <c r="T17" s="772" t="s">
        <v>17</v>
      </c>
      <c r="U17" s="773">
        <f>H17</f>
        <v>100</v>
      </c>
      <c r="V17" s="772" t="s">
        <v>17</v>
      </c>
      <c r="W17" s="773">
        <f>J17</f>
        <v>100</v>
      </c>
      <c r="X17" s="1813"/>
      <c r="Y17" s="3573"/>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73"/>
      <c r="Q19" s="1810" t="str">
        <f>B19</f>
        <v>办公集聚程度</v>
      </c>
      <c r="R19" s="772" t="s">
        <v>17</v>
      </c>
      <c r="S19" s="773">
        <f>F19</f>
        <v>100</v>
      </c>
      <c r="T19" s="772" t="s">
        <v>17</v>
      </c>
      <c r="U19" s="773">
        <f>H19</f>
        <v>100</v>
      </c>
      <c r="V19" s="772" t="s">
        <v>17</v>
      </c>
      <c r="W19" s="773">
        <f>J19</f>
        <v>100</v>
      </c>
      <c r="X19" s="1813"/>
      <c r="Y19" s="3573"/>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73"/>
      <c r="Q20" s="1810"/>
      <c r="R20" s="772"/>
      <c r="S20" s="773"/>
      <c r="T20" s="772"/>
      <c r="U20" s="773"/>
      <c r="V20" s="772"/>
      <c r="W20" s="773"/>
      <c r="X20" s="1813"/>
      <c r="Y20" s="3573"/>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73"/>
      <c r="Q21" s="1810" t="str">
        <f>B21</f>
        <v>交通便捷度</v>
      </c>
      <c r="R21" s="772" t="s">
        <v>17</v>
      </c>
      <c r="S21" s="773">
        <f>F21</f>
        <v>100</v>
      </c>
      <c r="T21" s="772" t="s">
        <v>17</v>
      </c>
      <c r="U21" s="773">
        <f>H21</f>
        <v>100</v>
      </c>
      <c r="V21" s="772" t="s">
        <v>17</v>
      </c>
      <c r="W21" s="773">
        <f>J21</f>
        <v>100</v>
      </c>
      <c r="X21" s="1813"/>
      <c r="Y21" s="3573"/>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73"/>
      <c r="Q23" s="1810" t="str">
        <f t="shared" ref="Q23:Q37" si="8">B23</f>
        <v>区域土地利用方向</v>
      </c>
      <c r="R23" s="772" t="s">
        <v>17</v>
      </c>
      <c r="S23" s="773">
        <f>F23</f>
        <v>100</v>
      </c>
      <c r="T23" s="772" t="s">
        <v>17</v>
      </c>
      <c r="U23" s="773">
        <f>H23</f>
        <v>100</v>
      </c>
      <c r="V23" s="772" t="s">
        <v>17</v>
      </c>
      <c r="W23" s="773">
        <f>J23</f>
        <v>100</v>
      </c>
      <c r="X23" s="1813"/>
      <c r="Y23" s="3573"/>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73"/>
      <c r="Q24" s="1810"/>
      <c r="R24" s="772"/>
      <c r="S24" s="773"/>
      <c r="T24" s="772"/>
      <c r="U24" s="773"/>
      <c r="V24" s="772"/>
      <c r="W24" s="773"/>
      <c r="X24" s="1813"/>
      <c r="Y24" s="3573"/>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73"/>
      <c r="Q25" s="1810" t="str">
        <f t="shared" si="8"/>
        <v>自然及人文环境状况</v>
      </c>
      <c r="R25" s="772" t="s">
        <v>17</v>
      </c>
      <c r="S25" s="773">
        <f>F25</f>
        <v>100</v>
      </c>
      <c r="T25" s="772" t="s">
        <v>17</v>
      </c>
      <c r="U25" s="773">
        <f>H25</f>
        <v>100</v>
      </c>
      <c r="V25" s="772" t="s">
        <v>17</v>
      </c>
      <c r="W25" s="773">
        <f>J25</f>
        <v>100</v>
      </c>
      <c r="X25" s="1813"/>
      <c r="Y25" s="3573"/>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73"/>
      <c r="Q26" s="1810"/>
      <c r="R26" s="772"/>
      <c r="S26" s="773"/>
      <c r="T26" s="772"/>
      <c r="U26" s="773"/>
      <c r="V26" s="772"/>
      <c r="W26" s="773"/>
      <c r="X26" s="1813"/>
      <c r="Y26" s="3573"/>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73"/>
      <c r="Q27" s="1795" t="str">
        <f t="shared" si="8"/>
        <v>公共配套设施</v>
      </c>
      <c r="R27" s="768" t="s">
        <v>17</v>
      </c>
      <c r="S27" s="769">
        <f>F27</f>
        <v>100</v>
      </c>
      <c r="T27" s="768" t="s">
        <v>17</v>
      </c>
      <c r="U27" s="769">
        <f>H27</f>
        <v>100</v>
      </c>
      <c r="V27" s="768" t="s">
        <v>17</v>
      </c>
      <c r="W27" s="769">
        <f>J27</f>
        <v>100</v>
      </c>
      <c r="X27" s="770"/>
      <c r="Y27" s="3573"/>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73"/>
      <c r="Q28" s="1795"/>
      <c r="R28" s="768"/>
      <c r="S28" s="769"/>
      <c r="T28" s="768"/>
      <c r="U28" s="769"/>
      <c r="V28" s="768"/>
      <c r="W28" s="769"/>
      <c r="X28" s="770"/>
      <c r="Y28" s="3573"/>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73"/>
      <c r="Q29" s="1795" t="str">
        <f t="shared" ref="Q29" si="9">B29</f>
        <v>基础设施水平</v>
      </c>
      <c r="R29" s="768" t="s">
        <v>17</v>
      </c>
      <c r="S29" s="769">
        <f>F29</f>
        <v>100</v>
      </c>
      <c r="T29" s="768" t="s">
        <v>17</v>
      </c>
      <c r="U29" s="769">
        <f>H29</f>
        <v>100</v>
      </c>
      <c r="V29" s="768" t="s">
        <v>17</v>
      </c>
      <c r="W29" s="769">
        <f>J29</f>
        <v>100</v>
      </c>
      <c r="X29" s="770"/>
      <c r="Y29" s="3573"/>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73"/>
      <c r="Q30" s="1795"/>
      <c r="R30" s="768"/>
      <c r="S30" s="769"/>
      <c r="T30" s="768"/>
      <c r="U30" s="769"/>
      <c r="V30" s="768"/>
      <c r="W30" s="769"/>
      <c r="X30" s="770"/>
      <c r="Y30" s="3573"/>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73"/>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73"/>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73"/>
      <c r="Q32" s="1810" t="str">
        <f t="shared" si="8"/>
        <v>毗邻道路的类型与等级</v>
      </c>
      <c r="R32" s="772" t="s">
        <v>17</v>
      </c>
      <c r="S32" s="773">
        <f t="shared" si="10"/>
        <v>100</v>
      </c>
      <c r="T32" s="772" t="s">
        <v>17</v>
      </c>
      <c r="U32" s="773">
        <f t="shared" si="11"/>
        <v>100</v>
      </c>
      <c r="V32" s="772" t="s">
        <v>17</v>
      </c>
      <c r="W32" s="773">
        <f t="shared" si="12"/>
        <v>100</v>
      </c>
      <c r="X32" s="1813"/>
      <c r="Y32" s="3573"/>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73"/>
      <c r="Q33" s="1810"/>
      <c r="R33" s="772"/>
      <c r="S33" s="773"/>
      <c r="T33" s="772"/>
      <c r="U33" s="773"/>
      <c r="V33" s="772"/>
      <c r="W33" s="773"/>
      <c r="X33" s="1813"/>
      <c r="Y33" s="3573"/>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73"/>
      <c r="Q34" s="1810" t="str">
        <f t="shared" si="8"/>
        <v>土地级别</v>
      </c>
      <c r="R34" s="772" t="s">
        <v>17</v>
      </c>
      <c r="S34" s="773">
        <f t="shared" si="10"/>
        <v>100</v>
      </c>
      <c r="T34" s="772" t="s">
        <v>17</v>
      </c>
      <c r="U34" s="773">
        <f t="shared" si="11"/>
        <v>100</v>
      </c>
      <c r="V34" s="772" t="s">
        <v>17</v>
      </c>
      <c r="W34" s="773">
        <f t="shared" si="12"/>
        <v>100</v>
      </c>
      <c r="X34" s="1813"/>
      <c r="Y34" s="3573"/>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73"/>
      <c r="Q35" s="1810">
        <f t="shared" si="8"/>
        <v>111</v>
      </c>
      <c r="R35" s="772" t="s">
        <v>17</v>
      </c>
      <c r="S35" s="773">
        <f t="shared" si="10"/>
        <v>100</v>
      </c>
      <c r="T35" s="772" t="s">
        <v>17</v>
      </c>
      <c r="U35" s="773">
        <f t="shared" si="11"/>
        <v>100</v>
      </c>
      <c r="V35" s="772" t="s">
        <v>17</v>
      </c>
      <c r="W35" s="773">
        <f t="shared" si="12"/>
        <v>100</v>
      </c>
      <c r="X35" s="1813"/>
      <c r="Y35" s="3573"/>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74" t="s">
        <v>2565</v>
      </c>
      <c r="Q36" s="1810">
        <f t="shared" si="8"/>
        <v>111</v>
      </c>
      <c r="R36" s="772" t="s">
        <v>17</v>
      </c>
      <c r="S36" s="773">
        <f t="shared" si="10"/>
        <v>100</v>
      </c>
      <c r="T36" s="772" t="s">
        <v>17</v>
      </c>
      <c r="U36" s="773">
        <f t="shared" si="11"/>
        <v>100</v>
      </c>
      <c r="V36" s="772" t="s">
        <v>17</v>
      </c>
      <c r="W36" s="773">
        <f t="shared" si="12"/>
        <v>100</v>
      </c>
      <c r="X36" s="1813"/>
      <c r="Y36" s="3575"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75"/>
      <c r="Q37" s="1810">
        <f t="shared" si="8"/>
        <v>111</v>
      </c>
      <c r="R37" s="775" t="s">
        <v>17</v>
      </c>
      <c r="S37" s="776">
        <f t="shared" si="10"/>
        <v>100</v>
      </c>
      <c r="T37" s="775" t="s">
        <v>17</v>
      </c>
      <c r="U37" s="776">
        <f t="shared" si="11"/>
        <v>100</v>
      </c>
      <c r="V37" s="775" t="s">
        <v>17</v>
      </c>
      <c r="W37" s="776">
        <f t="shared" si="12"/>
        <v>100</v>
      </c>
      <c r="X37" s="777"/>
      <c r="Y37" s="3575"/>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75"/>
      <c r="Q38" s="1810" t="str">
        <f>B38</f>
        <v>宗地面积</v>
      </c>
      <c r="R38" s="772" t="s">
        <v>17</v>
      </c>
      <c r="S38" s="773" t="e">
        <f t="shared" si="10"/>
        <v>#N/A</v>
      </c>
      <c r="T38" s="772" t="s">
        <v>17</v>
      </c>
      <c r="U38" s="773" t="e">
        <f t="shared" si="11"/>
        <v>#N/A</v>
      </c>
      <c r="V38" s="772" t="s">
        <v>17</v>
      </c>
      <c r="W38" s="773" t="e">
        <f t="shared" si="12"/>
        <v>#N/A</v>
      </c>
      <c r="X38" s="1813"/>
      <c r="Y38" s="3575"/>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75"/>
      <c r="Q39" s="1810" t="str">
        <f t="shared" ref="Q39:Q45" si="14">B39</f>
        <v>宗地形状</v>
      </c>
      <c r="R39" s="772" t="s">
        <v>17</v>
      </c>
      <c r="S39" s="773">
        <f t="shared" si="10"/>
        <v>100</v>
      </c>
      <c r="T39" s="772" t="s">
        <v>17</v>
      </c>
      <c r="U39" s="773">
        <f t="shared" si="11"/>
        <v>100</v>
      </c>
      <c r="V39" s="772" t="s">
        <v>17</v>
      </c>
      <c r="W39" s="773">
        <f t="shared" si="12"/>
        <v>100</v>
      </c>
      <c r="X39" s="1813"/>
      <c r="Y39" s="3575"/>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75"/>
      <c r="Q40" s="1810" t="str">
        <f t="shared" si="14"/>
        <v>临街宽度及深度</v>
      </c>
      <c r="R40" s="772" t="s">
        <v>17</v>
      </c>
      <c r="S40" s="773">
        <f t="shared" si="10"/>
        <v>100</v>
      </c>
      <c r="T40" s="772" t="s">
        <v>17</v>
      </c>
      <c r="U40" s="773">
        <f t="shared" si="11"/>
        <v>100</v>
      </c>
      <c r="V40" s="772" t="s">
        <v>17</v>
      </c>
      <c r="W40" s="773">
        <f t="shared" si="12"/>
        <v>100</v>
      </c>
      <c r="X40" s="1813"/>
      <c r="Y40" s="3575"/>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75"/>
      <c r="Q41" s="1810" t="str">
        <f t="shared" si="14"/>
        <v>宗地开发程度</v>
      </c>
      <c r="R41" s="768" t="s">
        <v>17</v>
      </c>
      <c r="S41" s="769">
        <f t="shared" si="10"/>
        <v>100</v>
      </c>
      <c r="T41" s="768" t="s">
        <v>17</v>
      </c>
      <c r="U41" s="769">
        <f t="shared" si="11"/>
        <v>100</v>
      </c>
      <c r="V41" s="768" t="s">
        <v>17</v>
      </c>
      <c r="W41" s="769">
        <f t="shared" si="12"/>
        <v>100</v>
      </c>
      <c r="X41" s="770"/>
      <c r="Y41" s="3575"/>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75" t="s">
        <v>2565</v>
      </c>
      <c r="Q42" s="1810" t="str">
        <f t="shared" si="14"/>
        <v>工程地质条件</v>
      </c>
      <c r="R42" s="772" t="s">
        <v>17</v>
      </c>
      <c r="S42" s="773">
        <f t="shared" si="10"/>
        <v>100</v>
      </c>
      <c r="T42" s="772" t="s">
        <v>17</v>
      </c>
      <c r="U42" s="773">
        <f t="shared" si="11"/>
        <v>100</v>
      </c>
      <c r="V42" s="772" t="s">
        <v>17</v>
      </c>
      <c r="W42" s="773">
        <f t="shared" si="12"/>
        <v>100</v>
      </c>
      <c r="X42" s="1813"/>
      <c r="Y42" s="3575"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75"/>
      <c r="Q43" s="1810">
        <f t="shared" si="14"/>
        <v>111</v>
      </c>
      <c r="R43" s="772" t="s">
        <v>17</v>
      </c>
      <c r="S43" s="773">
        <f t="shared" si="10"/>
        <v>100</v>
      </c>
      <c r="T43" s="772" t="s">
        <v>17</v>
      </c>
      <c r="U43" s="773">
        <f t="shared" si="11"/>
        <v>100</v>
      </c>
      <c r="V43" s="772" t="s">
        <v>17</v>
      </c>
      <c r="W43" s="773">
        <f t="shared" si="12"/>
        <v>100</v>
      </c>
      <c r="X43" s="1813"/>
      <c r="Y43" s="3575"/>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75"/>
      <c r="Q44" s="1810">
        <f t="shared" si="14"/>
        <v>111</v>
      </c>
      <c r="R44" s="772" t="s">
        <v>17</v>
      </c>
      <c r="S44" s="773">
        <f t="shared" si="10"/>
        <v>100</v>
      </c>
      <c r="T44" s="772" t="s">
        <v>17</v>
      </c>
      <c r="U44" s="773">
        <f t="shared" si="11"/>
        <v>100</v>
      </c>
      <c r="V44" s="772" t="s">
        <v>17</v>
      </c>
      <c r="W44" s="773">
        <f t="shared" si="12"/>
        <v>100</v>
      </c>
      <c r="X44" s="1813"/>
      <c r="Y44" s="3575"/>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75"/>
      <c r="Q45" s="1810">
        <f t="shared" si="14"/>
        <v>111</v>
      </c>
      <c r="R45" s="775" t="s">
        <v>17</v>
      </c>
      <c r="S45" s="776">
        <f t="shared" si="10"/>
        <v>100</v>
      </c>
      <c r="T45" s="775" t="s">
        <v>17</v>
      </c>
      <c r="U45" s="776">
        <f t="shared" si="11"/>
        <v>100</v>
      </c>
      <c r="V45" s="775" t="s">
        <v>17</v>
      </c>
      <c r="W45" s="776">
        <f t="shared" si="12"/>
        <v>100</v>
      </c>
      <c r="X45" s="777"/>
      <c r="Y45" s="3575"/>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57" t="str">
        <f>A46</f>
        <v>成交单价</v>
      </c>
      <c r="Q46" s="3557"/>
      <c r="R46" s="3570">
        <f>E46</f>
        <v>0</v>
      </c>
      <c r="S46" s="3570"/>
      <c r="T46" s="3570">
        <f>G46</f>
        <v>0</v>
      </c>
      <c r="U46" s="3570"/>
      <c r="V46" s="3570">
        <f>I46</f>
        <v>0</v>
      </c>
      <c r="W46" s="3570"/>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57" t="str">
        <f>A47</f>
        <v>比较价值（元/平方米）</v>
      </c>
      <c r="Q47" s="3557"/>
      <c r="R47" s="3582" t="e">
        <f>ROUND(PRODUCT(R46,AA7:AA45),0)</f>
        <v>#DIV/0!</v>
      </c>
      <c r="S47" s="3582"/>
      <c r="T47" s="3582" t="e">
        <f>ROUND(PRODUCT(T46,AB7:AB45),0)</f>
        <v>#DIV/0!</v>
      </c>
      <c r="U47" s="3582"/>
      <c r="V47" s="3582" t="e">
        <f>ROUND(PRODUCT(V46,AC7:AC45),0)</f>
        <v>#DIV/0!</v>
      </c>
      <c r="W47" s="3582"/>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78" t="str">
        <f>A48</f>
        <v>估价对象XX用房的比较价值（楼面单价，元/平方米）</v>
      </c>
      <c r="Q48" s="3579"/>
      <c r="R48" s="3581" t="e">
        <f>ROUND(AVERAGE(R47:V47),0)</f>
        <v>#DIV/0!</v>
      </c>
      <c r="S48" s="3581"/>
      <c r="T48" s="3581"/>
      <c r="U48" s="3581"/>
      <c r="V48" s="3581"/>
      <c r="W48" s="3581"/>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8" t="s">
        <v>2764</v>
      </c>
      <c r="H55" s="3583"/>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4"/>
      <c r="H56" s="3557"/>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5"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5"/>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5"/>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5"/>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2" t="s">
        <v>183</v>
      </c>
      <c r="B18" s="879" t="s">
        <v>560</v>
      </c>
      <c r="C18" s="880" t="s">
        <v>561</v>
      </c>
      <c r="D18" s="881"/>
      <c r="E18" s="879">
        <v>1</v>
      </c>
      <c r="F18" s="882" t="s">
        <v>562</v>
      </c>
      <c r="G18" s="883"/>
      <c r="H18" s="875"/>
      <c r="I18" s="875"/>
    </row>
    <row r="19" spans="1:9" s="884" customFormat="1" ht="19.5" customHeight="1">
      <c r="A19" s="3702"/>
      <c r="B19" s="3702" t="s">
        <v>563</v>
      </c>
      <c r="C19" s="880" t="s">
        <v>564</v>
      </c>
      <c r="D19" s="881"/>
      <c r="E19" s="879">
        <v>0.9</v>
      </c>
      <c r="F19" s="882" t="s">
        <v>565</v>
      </c>
      <c r="G19" s="883"/>
      <c r="H19" s="875"/>
      <c r="I19" s="875"/>
    </row>
    <row r="20" spans="1:9" s="884" customFormat="1" ht="19.5" customHeight="1">
      <c r="A20" s="3702"/>
      <c r="B20" s="3702"/>
      <c r="C20" s="880" t="s">
        <v>566</v>
      </c>
      <c r="D20" s="881"/>
      <c r="E20" s="879">
        <v>1.1000000000000001</v>
      </c>
      <c r="F20" s="882" t="s">
        <v>567</v>
      </c>
      <c r="G20" s="883"/>
      <c r="H20" s="875"/>
      <c r="I20" s="875"/>
    </row>
    <row r="21" spans="1:9" s="884" customFormat="1" ht="19.5" customHeight="1">
      <c r="A21" s="3702"/>
      <c r="B21" s="3702"/>
      <c r="C21" s="880" t="s">
        <v>568</v>
      </c>
      <c r="D21" s="881"/>
      <c r="E21" s="879">
        <v>0.8</v>
      </c>
      <c r="F21" s="882" t="s">
        <v>569</v>
      </c>
      <c r="G21" s="883"/>
      <c r="H21" s="875"/>
      <c r="I21" s="875"/>
    </row>
    <row r="22" spans="1:9" s="884" customFormat="1" ht="19.5" customHeight="1">
      <c r="A22" s="3702"/>
      <c r="B22" s="3702"/>
      <c r="C22" s="880" t="s">
        <v>570</v>
      </c>
      <c r="D22" s="881"/>
      <c r="E22" s="879">
        <v>0.5</v>
      </c>
      <c r="F22" s="882"/>
      <c r="G22" s="883"/>
      <c r="H22" s="875"/>
      <c r="I22" s="875"/>
    </row>
    <row r="23" spans="1:9" s="884" customFormat="1" ht="19.5" customHeight="1">
      <c r="A23" s="3702" t="s">
        <v>184</v>
      </c>
      <c r="B23" s="879" t="s">
        <v>560</v>
      </c>
      <c r="C23" s="880" t="s">
        <v>571</v>
      </c>
      <c r="D23" s="881"/>
      <c r="E23" s="879">
        <v>1</v>
      </c>
      <c r="F23" s="882" t="s">
        <v>572</v>
      </c>
      <c r="G23" s="883"/>
      <c r="H23" s="875"/>
      <c r="I23" s="875"/>
    </row>
    <row r="24" spans="1:9" s="884" customFormat="1" ht="19.5" customHeight="1">
      <c r="A24" s="3702"/>
      <c r="B24" s="3702" t="s">
        <v>563</v>
      </c>
      <c r="C24" s="880" t="s">
        <v>573</v>
      </c>
      <c r="D24" s="881"/>
      <c r="E24" s="879">
        <v>0.5</v>
      </c>
      <c r="F24" s="882"/>
      <c r="G24" s="883"/>
      <c r="H24" s="875"/>
      <c r="I24" s="875"/>
    </row>
    <row r="25" spans="1:9" s="884" customFormat="1" ht="19.5" customHeight="1">
      <c r="A25" s="3702"/>
      <c r="B25" s="3702"/>
      <c r="C25" s="880" t="s">
        <v>574</v>
      </c>
      <c r="D25" s="881"/>
      <c r="E25" s="879">
        <v>1.1000000000000001</v>
      </c>
      <c r="F25" s="882"/>
      <c r="G25" s="883"/>
      <c r="H25" s="875"/>
      <c r="I25" s="875"/>
    </row>
    <row r="26" spans="1:9" s="884" customFormat="1" ht="19.5" customHeight="1">
      <c r="A26" s="3702"/>
      <c r="B26" s="3702"/>
      <c r="C26" s="880" t="s">
        <v>575</v>
      </c>
      <c r="D26" s="881"/>
      <c r="E26" s="879">
        <v>1.1000000000000001</v>
      </c>
      <c r="F26" s="882"/>
      <c r="G26" s="883"/>
      <c r="H26" s="875"/>
      <c r="I26" s="875"/>
    </row>
    <row r="27" spans="1:9" s="884" customFormat="1" ht="19.5" customHeight="1">
      <c r="A27" s="3702"/>
      <c r="B27" s="3702"/>
      <c r="C27" s="880" t="s">
        <v>576</v>
      </c>
      <c r="D27" s="881"/>
      <c r="E27" s="879">
        <v>0.9</v>
      </c>
      <c r="F27" s="882" t="s">
        <v>577</v>
      </c>
      <c r="G27" s="883"/>
      <c r="H27" s="875"/>
      <c r="I27" s="875"/>
    </row>
    <row r="28" spans="1:9" s="884" customFormat="1" ht="19.5" customHeight="1">
      <c r="A28" s="3702"/>
      <c r="B28" s="3702"/>
      <c r="C28" s="880" t="s">
        <v>578</v>
      </c>
      <c r="D28" s="881"/>
      <c r="E28" s="879">
        <v>0.9</v>
      </c>
      <c r="F28" s="882" t="s">
        <v>579</v>
      </c>
      <c r="G28" s="883"/>
      <c r="H28" s="875"/>
      <c r="I28" s="875"/>
    </row>
    <row r="29" spans="1:9" s="884" customFormat="1" ht="19.5" customHeight="1">
      <c r="A29" s="3702"/>
      <c r="B29" s="3702"/>
      <c r="C29" s="880" t="s">
        <v>580</v>
      </c>
      <c r="D29" s="881"/>
      <c r="E29" s="879">
        <v>0.9</v>
      </c>
      <c r="F29" s="882" t="s">
        <v>581</v>
      </c>
      <c r="G29" s="883"/>
      <c r="H29" s="875"/>
      <c r="I29" s="875"/>
    </row>
    <row r="30" spans="1:9" s="884" customFormat="1" ht="19.5" customHeight="1">
      <c r="A30" s="3702"/>
      <c r="B30" s="3702"/>
      <c r="C30" s="880" t="s">
        <v>582</v>
      </c>
      <c r="D30" s="881"/>
      <c r="E30" s="879">
        <v>0.9</v>
      </c>
      <c r="F30" s="882" t="s">
        <v>583</v>
      </c>
      <c r="G30" s="883"/>
      <c r="H30" s="875"/>
      <c r="I30" s="875"/>
    </row>
    <row r="31" spans="1:9" s="884" customFormat="1" ht="19.5" customHeight="1">
      <c r="A31" s="3702"/>
      <c r="B31" s="3702"/>
      <c r="C31" s="880" t="s">
        <v>584</v>
      </c>
      <c r="D31" s="881"/>
      <c r="E31" s="879">
        <v>0.8</v>
      </c>
      <c r="F31" s="882" t="s">
        <v>585</v>
      </c>
      <c r="G31" s="883"/>
      <c r="H31" s="875"/>
      <c r="I31" s="875"/>
    </row>
    <row r="32" spans="1:9" s="884" customFormat="1" ht="19.5" customHeight="1">
      <c r="A32" s="3702"/>
      <c r="B32" s="3702"/>
      <c r="C32" s="880" t="s">
        <v>586</v>
      </c>
      <c r="D32" s="881"/>
      <c r="E32" s="879">
        <v>0.8</v>
      </c>
      <c r="F32" s="882" t="s">
        <v>587</v>
      </c>
      <c r="G32" s="883"/>
      <c r="H32" s="875"/>
      <c r="I32" s="875"/>
    </row>
    <row r="33" spans="1:9" s="884" customFormat="1" ht="19.5" customHeight="1">
      <c r="A33" s="3702" t="s">
        <v>185</v>
      </c>
      <c r="B33" s="879" t="s">
        <v>560</v>
      </c>
      <c r="C33" s="880" t="s">
        <v>588</v>
      </c>
      <c r="D33" s="881"/>
      <c r="E33" s="879">
        <v>1</v>
      </c>
      <c r="F33" s="882" t="s">
        <v>589</v>
      </c>
      <c r="G33" s="883"/>
      <c r="H33" s="875"/>
      <c r="I33" s="875"/>
    </row>
    <row r="34" spans="1:9" s="884" customFormat="1" ht="19.5" customHeight="1">
      <c r="A34" s="3702"/>
      <c r="B34" s="879" t="s">
        <v>563</v>
      </c>
      <c r="C34" s="880" t="s">
        <v>590</v>
      </c>
      <c r="D34" s="881"/>
      <c r="E34" s="879">
        <v>1.5</v>
      </c>
      <c r="F34" s="882" t="s">
        <v>591</v>
      </c>
      <c r="G34" s="883"/>
      <c r="H34" s="875"/>
      <c r="I34" s="875"/>
    </row>
    <row r="35" spans="1:9" s="884" customFormat="1" ht="19.5" customHeight="1">
      <c r="A35" s="3702" t="s">
        <v>186</v>
      </c>
      <c r="B35" s="879" t="s">
        <v>560</v>
      </c>
      <c r="C35" s="880" t="s">
        <v>592</v>
      </c>
      <c r="D35" s="881"/>
      <c r="E35" s="879">
        <v>1</v>
      </c>
      <c r="F35" s="882" t="s">
        <v>593</v>
      </c>
      <c r="G35" s="883"/>
      <c r="H35" s="875"/>
      <c r="I35" s="875"/>
    </row>
    <row r="36" spans="1:9" s="884" customFormat="1" ht="19.5" customHeight="1">
      <c r="A36" s="3702"/>
      <c r="B36" s="3702" t="s">
        <v>563</v>
      </c>
      <c r="C36" s="880" t="s">
        <v>594</v>
      </c>
      <c r="D36" s="881"/>
      <c r="E36" s="879">
        <v>1</v>
      </c>
      <c r="F36" s="882" t="s">
        <v>595</v>
      </c>
      <c r="G36" s="883"/>
      <c r="H36" s="875"/>
      <c r="I36" s="875"/>
    </row>
    <row r="37" spans="1:9" s="884" customFormat="1" ht="19.5" customHeight="1">
      <c r="A37" s="3702"/>
      <c r="B37" s="3702"/>
      <c r="C37" s="880" t="s">
        <v>596</v>
      </c>
      <c r="D37" s="881"/>
      <c r="E37" s="879">
        <v>1.5</v>
      </c>
      <c r="F37" s="882" t="s">
        <v>597</v>
      </c>
      <c r="G37" s="883"/>
      <c r="H37" s="875"/>
      <c r="I37" s="875"/>
    </row>
    <row r="38" spans="1:9" s="884" customFormat="1" ht="19.5" customHeight="1">
      <c r="A38" s="3702"/>
      <c r="B38" s="3702"/>
      <c r="C38" s="880" t="s">
        <v>598</v>
      </c>
      <c r="D38" s="881"/>
      <c r="E38" s="879">
        <v>1</v>
      </c>
      <c r="F38" s="882" t="s">
        <v>599</v>
      </c>
      <c r="G38" s="883"/>
      <c r="H38" s="875"/>
      <c r="I38" s="875"/>
    </row>
    <row r="39" spans="1:9" s="884" customFormat="1" ht="19.5" customHeight="1">
      <c r="A39" s="3702"/>
      <c r="B39" s="37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2" t="s">
        <v>614</v>
      </c>
      <c r="C61" s="815" t="s">
        <v>615</v>
      </c>
      <c r="D61" s="815" t="s">
        <v>616</v>
      </c>
      <c r="E61" s="892">
        <v>0.5</v>
      </c>
      <c r="F61" s="879">
        <v>80</v>
      </c>
    </row>
    <row r="62" spans="1:8" s="875" customFormat="1" ht="24">
      <c r="A62" s="879">
        <v>2</v>
      </c>
      <c r="B62" s="3702"/>
      <c r="C62" s="815" t="s">
        <v>617</v>
      </c>
      <c r="D62" s="815" t="s">
        <v>618</v>
      </c>
      <c r="E62" s="892">
        <v>0.5</v>
      </c>
      <c r="F62" s="879">
        <v>80</v>
      </c>
    </row>
    <row r="63" spans="1:8" s="875" customFormat="1" ht="36">
      <c r="A63" s="879">
        <v>3</v>
      </c>
      <c r="B63" s="3702"/>
      <c r="C63" s="815" t="s">
        <v>619</v>
      </c>
      <c r="D63" s="815" t="s">
        <v>620</v>
      </c>
      <c r="E63" s="892">
        <v>0.5</v>
      </c>
      <c r="F63" s="879">
        <v>80</v>
      </c>
    </row>
    <row r="64" spans="1:8" s="875" customFormat="1" ht="36">
      <c r="A64" s="879">
        <v>4</v>
      </c>
      <c r="B64" s="3702"/>
      <c r="C64" s="815" t="s">
        <v>621</v>
      </c>
      <c r="D64" s="815" t="s">
        <v>622</v>
      </c>
      <c r="E64" s="892">
        <v>0.4</v>
      </c>
      <c r="F64" s="879">
        <v>60</v>
      </c>
    </row>
    <row r="65" spans="1:6" s="875" customFormat="1" ht="36">
      <c r="A65" s="879">
        <v>5</v>
      </c>
      <c r="B65" s="3702"/>
      <c r="C65" s="815" t="s">
        <v>623</v>
      </c>
      <c r="D65" s="815" t="s">
        <v>624</v>
      </c>
      <c r="E65" s="892">
        <v>0.2</v>
      </c>
      <c r="F65" s="879">
        <v>30</v>
      </c>
    </row>
    <row r="66" spans="1:6" s="875" customFormat="1" ht="36">
      <c r="A66" s="879">
        <v>6</v>
      </c>
      <c r="B66" s="3702"/>
      <c r="C66" s="815" t="s">
        <v>625</v>
      </c>
      <c r="D66" s="815" t="s">
        <v>626</v>
      </c>
      <c r="E66" s="892">
        <v>0.3</v>
      </c>
      <c r="F66" s="879">
        <v>50</v>
      </c>
    </row>
    <row r="67" spans="1:6" s="875" customFormat="1" ht="36">
      <c r="A67" s="879">
        <v>7</v>
      </c>
      <c r="B67" s="3702"/>
      <c r="C67" s="815" t="s">
        <v>627</v>
      </c>
      <c r="D67" s="815" t="s">
        <v>628</v>
      </c>
      <c r="E67" s="892">
        <v>0.2</v>
      </c>
      <c r="F67" s="879">
        <v>30</v>
      </c>
    </row>
    <row r="68" spans="1:6" s="875" customFormat="1" ht="36">
      <c r="A68" s="879">
        <v>8</v>
      </c>
      <c r="B68" s="3702"/>
      <c r="C68" s="815" t="s">
        <v>629</v>
      </c>
      <c r="D68" s="815" t="s">
        <v>630</v>
      </c>
      <c r="E68" s="892">
        <v>0.2</v>
      </c>
      <c r="F68" s="879">
        <v>30</v>
      </c>
    </row>
    <row r="69" spans="1:6" s="875" customFormat="1" ht="36">
      <c r="A69" s="879">
        <v>9</v>
      </c>
      <c r="B69" s="3702"/>
      <c r="C69" s="815" t="s">
        <v>631</v>
      </c>
      <c r="D69" s="815" t="s">
        <v>632</v>
      </c>
      <c r="E69" s="892">
        <v>0.2</v>
      </c>
      <c r="F69" s="879">
        <v>30</v>
      </c>
    </row>
    <row r="70" spans="1:6" s="875" customFormat="1" ht="48">
      <c r="A70" s="879">
        <v>10</v>
      </c>
      <c r="B70" s="3702"/>
      <c r="C70" s="815" t="s">
        <v>633</v>
      </c>
      <c r="D70" s="815" t="s">
        <v>634</v>
      </c>
      <c r="E70" s="892">
        <v>0.2</v>
      </c>
      <c r="F70" s="879">
        <v>30</v>
      </c>
    </row>
    <row r="71" spans="1:6" s="875" customFormat="1" ht="48">
      <c r="A71" s="879">
        <v>11</v>
      </c>
      <c r="B71" s="3702"/>
      <c r="C71" s="815" t="s">
        <v>635</v>
      </c>
      <c r="D71" s="815" t="s">
        <v>636</v>
      </c>
      <c r="E71" s="892">
        <v>0.2</v>
      </c>
      <c r="F71" s="879">
        <v>30</v>
      </c>
    </row>
    <row r="72" spans="1:6" s="875" customFormat="1" ht="36">
      <c r="A72" s="879">
        <v>12</v>
      </c>
      <c r="B72" s="3702"/>
      <c r="C72" s="815" t="s">
        <v>637</v>
      </c>
      <c r="D72" s="815" t="s">
        <v>638</v>
      </c>
      <c r="E72" s="892">
        <v>0.5</v>
      </c>
      <c r="F72" s="879">
        <v>80</v>
      </c>
    </row>
    <row r="73" spans="1:6" s="875" customFormat="1" ht="24">
      <c r="A73" s="879">
        <v>13</v>
      </c>
      <c r="B73" s="3702"/>
      <c r="C73" s="815" t="s">
        <v>639</v>
      </c>
      <c r="D73" s="815" t="s">
        <v>640</v>
      </c>
      <c r="E73" s="892">
        <v>0.4</v>
      </c>
      <c r="F73" s="879">
        <v>60</v>
      </c>
    </row>
    <row r="74" spans="1:6" s="875" customFormat="1" ht="24">
      <c r="A74" s="879">
        <v>14</v>
      </c>
      <c r="B74" s="3702"/>
      <c r="C74" s="815" t="s">
        <v>641</v>
      </c>
      <c r="D74" s="815" t="s">
        <v>642</v>
      </c>
      <c r="E74" s="892">
        <v>0.2</v>
      </c>
      <c r="F74" s="879">
        <v>30</v>
      </c>
    </row>
    <row r="75" spans="1:6" s="875" customFormat="1" ht="24">
      <c r="A75" s="879">
        <v>15</v>
      </c>
      <c r="B75" s="3702"/>
      <c r="C75" s="815" t="s">
        <v>643</v>
      </c>
      <c r="D75" s="815" t="s">
        <v>644</v>
      </c>
      <c r="E75" s="892">
        <v>0.2</v>
      </c>
      <c r="F75" s="879">
        <v>30</v>
      </c>
    </row>
    <row r="76" spans="1:6" s="875" customFormat="1" ht="24">
      <c r="A76" s="879">
        <v>16</v>
      </c>
      <c r="B76" s="3702" t="s">
        <v>645</v>
      </c>
      <c r="C76" s="815" t="s">
        <v>646</v>
      </c>
      <c r="D76" s="815" t="s">
        <v>647</v>
      </c>
      <c r="E76" s="892">
        <v>0.5</v>
      </c>
      <c r="F76" s="879">
        <v>80</v>
      </c>
    </row>
    <row r="77" spans="1:6" s="875" customFormat="1" ht="24">
      <c r="A77" s="879">
        <v>17</v>
      </c>
      <c r="B77" s="3702"/>
      <c r="C77" s="815" t="s">
        <v>648</v>
      </c>
      <c r="D77" s="815" t="s">
        <v>649</v>
      </c>
      <c r="E77" s="892">
        <v>0.5</v>
      </c>
      <c r="F77" s="879">
        <v>80</v>
      </c>
    </row>
    <row r="78" spans="1:6" s="875" customFormat="1" ht="24">
      <c r="A78" s="879">
        <v>18</v>
      </c>
      <c r="B78" s="3702"/>
      <c r="C78" s="815" t="s">
        <v>650</v>
      </c>
      <c r="D78" s="815" t="s">
        <v>651</v>
      </c>
      <c r="E78" s="892">
        <v>0.2</v>
      </c>
      <c r="F78" s="879">
        <v>30</v>
      </c>
    </row>
    <row r="79" spans="1:6" s="875" customFormat="1" ht="24">
      <c r="A79" s="879">
        <v>19</v>
      </c>
      <c r="B79" s="3702"/>
      <c r="C79" s="815" t="s">
        <v>652</v>
      </c>
      <c r="D79" s="815" t="s">
        <v>653</v>
      </c>
      <c r="E79" s="892">
        <v>0.5</v>
      </c>
      <c r="F79" s="879">
        <v>80</v>
      </c>
    </row>
    <row r="80" spans="1:6" s="875" customFormat="1" ht="36">
      <c r="A80" s="879">
        <v>20</v>
      </c>
      <c r="B80" s="3702"/>
      <c r="C80" s="815" t="s">
        <v>654</v>
      </c>
      <c r="D80" s="815" t="s">
        <v>655</v>
      </c>
      <c r="E80" s="892">
        <v>0.2</v>
      </c>
      <c r="F80" s="879">
        <v>30</v>
      </c>
    </row>
    <row r="81" spans="1:6" s="875" customFormat="1" ht="36">
      <c r="A81" s="879">
        <v>21</v>
      </c>
      <c r="B81" s="3702"/>
      <c r="C81" s="815" t="s">
        <v>656</v>
      </c>
      <c r="D81" s="815" t="s">
        <v>657</v>
      </c>
      <c r="E81" s="892">
        <v>0.2</v>
      </c>
      <c r="F81" s="879">
        <v>30</v>
      </c>
    </row>
    <row r="82" spans="1:6" s="875" customFormat="1" ht="48">
      <c r="A82" s="879">
        <v>22</v>
      </c>
      <c r="B82" s="3702"/>
      <c r="C82" s="815" t="s">
        <v>658</v>
      </c>
      <c r="D82" s="815" t="s">
        <v>659</v>
      </c>
      <c r="E82" s="892">
        <v>0.2</v>
      </c>
      <c r="F82" s="879">
        <v>30</v>
      </c>
    </row>
    <row r="83" spans="1:6" s="875" customFormat="1" ht="48">
      <c r="A83" s="879">
        <v>23</v>
      </c>
      <c r="B83" s="3702"/>
      <c r="C83" s="815" t="s">
        <v>660</v>
      </c>
      <c r="D83" s="815" t="s">
        <v>661</v>
      </c>
      <c r="E83" s="892">
        <v>0.2</v>
      </c>
      <c r="F83" s="879">
        <v>30</v>
      </c>
    </row>
    <row r="84" spans="1:6" s="875" customFormat="1" ht="36">
      <c r="A84" s="879">
        <v>24</v>
      </c>
      <c r="B84" s="3702"/>
      <c r="C84" s="815" t="s">
        <v>662</v>
      </c>
      <c r="D84" s="815" t="s">
        <v>663</v>
      </c>
      <c r="E84" s="892">
        <v>0.2</v>
      </c>
      <c r="F84" s="879">
        <v>30</v>
      </c>
    </row>
    <row r="85" spans="1:6" s="875" customFormat="1" ht="36">
      <c r="A85" s="879">
        <v>25</v>
      </c>
      <c r="B85" s="3702"/>
      <c r="C85" s="815" t="s">
        <v>664</v>
      </c>
      <c r="D85" s="815" t="s">
        <v>665</v>
      </c>
      <c r="E85" s="892">
        <v>0.5</v>
      </c>
      <c r="F85" s="879">
        <v>80</v>
      </c>
    </row>
    <row r="86" spans="1:6" s="875" customFormat="1" ht="36">
      <c r="A86" s="879">
        <v>26</v>
      </c>
      <c r="B86" s="3702"/>
      <c r="C86" s="815" t="s">
        <v>666</v>
      </c>
      <c r="D86" s="815" t="s">
        <v>667</v>
      </c>
      <c r="E86" s="892">
        <v>0.2</v>
      </c>
      <c r="F86" s="879">
        <v>30</v>
      </c>
    </row>
    <row r="87" spans="1:6" s="875" customFormat="1" ht="36">
      <c r="A87" s="879">
        <v>27</v>
      </c>
      <c r="B87" s="3702"/>
      <c r="C87" s="815" t="s">
        <v>668</v>
      </c>
      <c r="D87" s="815" t="s">
        <v>669</v>
      </c>
      <c r="E87" s="892">
        <v>0.2</v>
      </c>
      <c r="F87" s="879">
        <v>30</v>
      </c>
    </row>
    <row r="88" spans="1:6" s="875" customFormat="1" ht="36">
      <c r="A88" s="879">
        <v>28</v>
      </c>
      <c r="B88" s="3702"/>
      <c r="C88" s="815" t="s">
        <v>670</v>
      </c>
      <c r="D88" s="815" t="s">
        <v>671</v>
      </c>
      <c r="E88" s="892">
        <v>0.2</v>
      </c>
      <c r="F88" s="879">
        <v>30</v>
      </c>
    </row>
    <row r="89" spans="1:6" s="875" customFormat="1" ht="24">
      <c r="A89" s="879">
        <v>29</v>
      </c>
      <c r="B89" s="3702"/>
      <c r="C89" s="815" t="s">
        <v>672</v>
      </c>
      <c r="D89" s="815" t="s">
        <v>673</v>
      </c>
      <c r="E89" s="892">
        <v>0.2</v>
      </c>
      <c r="F89" s="879">
        <v>30</v>
      </c>
    </row>
    <row r="90" spans="1:6" s="875" customFormat="1" ht="24">
      <c r="A90" s="879">
        <v>30</v>
      </c>
      <c r="B90" s="3702"/>
      <c r="C90" s="815" t="s">
        <v>674</v>
      </c>
      <c r="D90" s="815" t="s">
        <v>675</v>
      </c>
      <c r="E90" s="892">
        <v>0.2</v>
      </c>
      <c r="F90" s="879">
        <v>30</v>
      </c>
    </row>
    <row r="91" spans="1:6" s="875" customFormat="1" ht="36">
      <c r="A91" s="879">
        <v>31</v>
      </c>
      <c r="B91" s="3702"/>
      <c r="C91" s="815" t="s">
        <v>676</v>
      </c>
      <c r="D91" s="815" t="s">
        <v>677</v>
      </c>
      <c r="E91" s="892">
        <v>0.2</v>
      </c>
      <c r="F91" s="879">
        <v>30</v>
      </c>
    </row>
    <row r="92" spans="1:6" s="875" customFormat="1" ht="24">
      <c r="A92" s="879">
        <v>32</v>
      </c>
      <c r="B92" s="3702" t="s">
        <v>678</v>
      </c>
      <c r="C92" s="879" t="s">
        <v>679</v>
      </c>
      <c r="D92" s="815" t="s">
        <v>680</v>
      </c>
      <c r="E92" s="892">
        <v>0.2</v>
      </c>
      <c r="F92" s="879">
        <v>30</v>
      </c>
    </row>
    <row r="93" spans="1:6" s="875" customFormat="1" ht="36">
      <c r="A93" s="879">
        <v>33</v>
      </c>
      <c r="B93" s="3702"/>
      <c r="C93" s="879" t="s">
        <v>681</v>
      </c>
      <c r="D93" s="815" t="s">
        <v>682</v>
      </c>
      <c r="E93" s="892">
        <v>0.2</v>
      </c>
      <c r="F93" s="879">
        <v>30</v>
      </c>
    </row>
    <row r="94" spans="1:6" s="875" customFormat="1" ht="48">
      <c r="A94" s="879">
        <v>34</v>
      </c>
      <c r="B94" s="3702"/>
      <c r="C94" s="879" t="s">
        <v>683</v>
      </c>
      <c r="D94" s="815" t="s">
        <v>684</v>
      </c>
      <c r="E94" s="892">
        <v>0.2</v>
      </c>
      <c r="F94" s="879">
        <v>30</v>
      </c>
    </row>
    <row r="95" spans="1:6" s="875" customFormat="1" ht="36">
      <c r="A95" s="879">
        <v>35</v>
      </c>
      <c r="B95" s="3702"/>
      <c r="C95" s="879" t="s">
        <v>685</v>
      </c>
      <c r="D95" s="815" t="s">
        <v>686</v>
      </c>
      <c r="E95" s="892">
        <v>0.2</v>
      </c>
      <c r="F95" s="879">
        <v>30</v>
      </c>
    </row>
    <row r="96" spans="1:6" s="875" customFormat="1" ht="48">
      <c r="A96" s="879">
        <v>36</v>
      </c>
      <c r="B96" s="3702"/>
      <c r="C96" s="815" t="s">
        <v>687</v>
      </c>
      <c r="D96" s="815" t="s">
        <v>688</v>
      </c>
      <c r="E96" s="892">
        <v>0.2</v>
      </c>
      <c r="F96" s="879">
        <v>30</v>
      </c>
    </row>
    <row r="97" spans="1:6" s="875" customFormat="1" ht="36">
      <c r="A97" s="879">
        <v>37</v>
      </c>
      <c r="B97" s="3702"/>
      <c r="C97" s="879" t="s">
        <v>689</v>
      </c>
      <c r="D97" s="815" t="s">
        <v>690</v>
      </c>
      <c r="E97" s="892">
        <v>0.2</v>
      </c>
      <c r="F97" s="879">
        <v>30</v>
      </c>
    </row>
    <row r="98" spans="1:6" s="875" customFormat="1" ht="36">
      <c r="A98" s="879">
        <v>38</v>
      </c>
      <c r="B98" s="3702"/>
      <c r="C98" s="879" t="s">
        <v>691</v>
      </c>
      <c r="D98" s="815" t="s">
        <v>692</v>
      </c>
      <c r="E98" s="892">
        <v>0.2</v>
      </c>
      <c r="F98" s="879">
        <v>30</v>
      </c>
    </row>
    <row r="99" spans="1:6" s="875" customFormat="1" ht="36">
      <c r="A99" s="879">
        <v>39</v>
      </c>
      <c r="B99" s="3702" t="s">
        <v>693</v>
      </c>
      <c r="C99" s="879" t="s">
        <v>694</v>
      </c>
      <c r="D99" s="815" t="s">
        <v>695</v>
      </c>
      <c r="E99" s="892">
        <v>0.3</v>
      </c>
      <c r="F99" s="879">
        <v>50</v>
      </c>
    </row>
    <row r="100" spans="1:6" s="875" customFormat="1" ht="24">
      <c r="A100" s="879">
        <v>40</v>
      </c>
      <c r="B100" s="3702"/>
      <c r="C100" s="879" t="s">
        <v>696</v>
      </c>
      <c r="D100" s="815" t="s">
        <v>697</v>
      </c>
      <c r="E100" s="892">
        <v>0.2</v>
      </c>
      <c r="F100" s="879">
        <v>30</v>
      </c>
    </row>
    <row r="101" spans="1:6" s="875" customFormat="1" ht="36">
      <c r="A101" s="879">
        <v>41</v>
      </c>
      <c r="B101" s="37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2" t="s">
        <v>708</v>
      </c>
      <c r="C105" s="879" t="s">
        <v>709</v>
      </c>
      <c r="D105" s="815" t="s">
        <v>710</v>
      </c>
      <c r="E105" s="892">
        <v>0.2</v>
      </c>
      <c r="F105" s="879">
        <v>30</v>
      </c>
    </row>
    <row r="106" spans="1:6" s="875" customFormat="1" ht="36">
      <c r="A106" s="879">
        <v>46</v>
      </c>
      <c r="B106" s="3702"/>
      <c r="C106" s="879" t="s">
        <v>711</v>
      </c>
      <c r="D106" s="815" t="s">
        <v>712</v>
      </c>
      <c r="E106" s="892">
        <v>0.2</v>
      </c>
      <c r="F106" s="879">
        <v>30</v>
      </c>
    </row>
    <row r="107" spans="1:6" s="875" customFormat="1" ht="36">
      <c r="A107" s="879">
        <v>47</v>
      </c>
      <c r="B107" s="3702" t="s">
        <v>713</v>
      </c>
      <c r="C107" s="879" t="s">
        <v>714</v>
      </c>
      <c r="D107" s="815" t="s">
        <v>715</v>
      </c>
      <c r="E107" s="892">
        <v>0.3</v>
      </c>
      <c r="F107" s="879">
        <v>50</v>
      </c>
    </row>
    <row r="108" spans="1:6" s="875" customFormat="1" ht="36">
      <c r="A108" s="879">
        <v>48</v>
      </c>
      <c r="B108" s="37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2" t="s">
        <v>724</v>
      </c>
      <c r="C111" s="879" t="s">
        <v>725</v>
      </c>
      <c r="D111" s="815" t="s">
        <v>726</v>
      </c>
      <c r="E111" s="892">
        <v>0.2</v>
      </c>
      <c r="F111" s="879">
        <v>30</v>
      </c>
    </row>
    <row r="112" spans="1:6" s="875" customFormat="1" ht="24">
      <c r="A112" s="879">
        <v>52</v>
      </c>
      <c r="B112" s="3702"/>
      <c r="C112" s="879" t="s">
        <v>727</v>
      </c>
      <c r="D112" s="815" t="s">
        <v>728</v>
      </c>
      <c r="E112" s="892">
        <v>0.2</v>
      </c>
      <c r="F112" s="879">
        <v>30</v>
      </c>
    </row>
    <row r="113" spans="1:6" s="875" customFormat="1" ht="24">
      <c r="A113" s="879">
        <v>53</v>
      </c>
      <c r="B113" s="37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2" t="s">
        <v>737</v>
      </c>
      <c r="C116" s="879" t="s">
        <v>738</v>
      </c>
      <c r="D116" s="815" t="s">
        <v>739</v>
      </c>
      <c r="E116" s="892">
        <v>0.2</v>
      </c>
      <c r="F116" s="879">
        <v>30</v>
      </c>
    </row>
    <row r="117" spans="1:6" ht="36">
      <c r="A117" s="879">
        <v>57</v>
      </c>
      <c r="B117" s="37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1"/>
      <c r="B4" s="3350" t="s">
        <v>1630</v>
      </c>
      <c r="C4" s="3350"/>
      <c r="D4" s="3350"/>
      <c r="E4" s="1961"/>
    </row>
    <row r="5" spans="1:5" ht="16.5" thickTop="1">
      <c r="A5" s="1959"/>
      <c r="B5" s="3348" t="s">
        <v>1622</v>
      </c>
      <c r="C5" s="1962" t="s">
        <v>1623</v>
      </c>
      <c r="D5" s="1040">
        <f ca="1">结果表!H101</f>
        <v>20295</v>
      </c>
      <c r="E5" s="1959"/>
    </row>
    <row r="6" spans="1:5" ht="15.75">
      <c r="A6" s="1959"/>
      <c r="B6" s="3348"/>
      <c r="C6" s="1962" t="s">
        <v>1624</v>
      </c>
      <c r="D6" s="1040" t="str">
        <f ca="1">NUMBERSTRING(INT(D5*10000),2)&amp;"元整"</f>
        <v>贰亿零贰佰玖拾伍万元整</v>
      </c>
      <c r="E6" s="1959"/>
    </row>
    <row r="7" spans="1:5" ht="15.75">
      <c r="A7" s="1959"/>
      <c r="B7" s="3353"/>
      <c r="C7" s="1963" t="s">
        <v>1625</v>
      </c>
      <c r="D7" s="1041">
        <f ca="1">结果表!H102</f>
        <v>2798</v>
      </c>
      <c r="E7" s="1959"/>
    </row>
    <row r="8" spans="1:5" ht="15.75">
      <c r="A8" s="1959"/>
      <c r="B8" s="3354" t="str">
        <f>结果表!E103</f>
        <v>2.估价师知悉的法定优先受偿款</v>
      </c>
      <c r="C8" s="1964" t="s">
        <v>1626</v>
      </c>
      <c r="D8" s="1041">
        <f>结果表!H103</f>
        <v>247</v>
      </c>
      <c r="E8" s="1959"/>
    </row>
    <row r="9" spans="1:5" ht="15.75">
      <c r="A9" s="1959"/>
      <c r="B9" s="3356"/>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7" t="str">
        <f>结果表!E107</f>
        <v>3.房地产抵押价值</v>
      </c>
      <c r="C13" s="1967" t="s">
        <v>1623</v>
      </c>
      <c r="D13" s="1043">
        <f ca="1">结果表!H107</f>
        <v>20048</v>
      </c>
      <c r="E13" s="1959"/>
    </row>
    <row r="14" spans="1:5" ht="15.75">
      <c r="A14" s="1959"/>
      <c r="B14" s="3348"/>
      <c r="C14" s="1962" t="s">
        <v>1624</v>
      </c>
      <c r="D14" s="1040" t="str">
        <f ca="1">NUMBERSTRING(INT(D13*10000),2)&amp;"元整"</f>
        <v>贰亿零肆拾捌万元整</v>
      </c>
      <c r="E14" s="1959"/>
    </row>
    <row r="15" spans="1:5" ht="15">
      <c r="A15" s="1959"/>
      <c r="B15" s="3353"/>
      <c r="C15" s="1963" t="s">
        <v>1634</v>
      </c>
      <c r="D15" s="1052">
        <f ca="1">结果表!H108</f>
        <v>2764</v>
      </c>
      <c r="E15" s="1959"/>
    </row>
    <row r="16" spans="1:5" ht="15">
      <c r="A16" s="1959"/>
      <c r="B16" s="3354" t="str">
        <f>结果表!E109</f>
        <v>——</v>
      </c>
      <c r="C16" s="1967" t="s">
        <v>1635</v>
      </c>
      <c r="D16" s="1968" t="str">
        <f>结果表!H109</f>
        <v>——</v>
      </c>
      <c r="E16" s="1959"/>
    </row>
    <row r="17" spans="1:5" ht="15.75">
      <c r="A17" s="1959"/>
      <c r="B17" s="3355"/>
      <c r="C17" s="1962" t="s">
        <v>1636</v>
      </c>
      <c r="D17" s="1040" t="e">
        <f>NUMBERSTRING(INT(D16*10000),2)&amp;"元整"</f>
        <v>#VALUE!</v>
      </c>
      <c r="E17" s="1959"/>
    </row>
    <row r="18" spans="1:5" ht="15">
      <c r="A18" s="1959"/>
      <c r="B18" s="3356"/>
      <c r="C18" s="1963" t="s">
        <v>1625</v>
      </c>
      <c r="D18" s="1052" t="str">
        <f>结果表!H110</f>
        <v>——</v>
      </c>
      <c r="E18" s="1959"/>
    </row>
    <row r="19" spans="1:5" ht="15.75">
      <c r="A19" s="1959"/>
      <c r="B19" s="3347" t="str">
        <f>结果表!E111</f>
        <v>——</v>
      </c>
      <c r="C19" s="1967" t="s">
        <v>1623</v>
      </c>
      <c r="D19" s="1041" t="str">
        <f>结果表!H111</f>
        <v>——</v>
      </c>
      <c r="E19" s="1959"/>
    </row>
    <row r="20" spans="1:5" ht="15.75">
      <c r="A20" s="1959"/>
      <c r="B20" s="3348"/>
      <c r="C20" s="1962" t="s">
        <v>1636</v>
      </c>
      <c r="D20" s="1040" t="e">
        <f>NUMBERSTRING(INT(D19*10000),2)&amp;"元整"</f>
        <v>#VALUE!</v>
      </c>
      <c r="E20" s="1959"/>
    </row>
    <row r="21" spans="1:5" ht="15.75" thickBot="1">
      <c r="A21" s="1959"/>
      <c r="B21" s="3349"/>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8" t="s">
        <v>1150</v>
      </c>
      <c r="C1" s="3708"/>
      <c r="D1" s="3708"/>
      <c r="E1" s="3708"/>
      <c r="F1" s="3708"/>
      <c r="G1" s="3704" t="s">
        <v>1151</v>
      </c>
      <c r="H1" s="3704"/>
      <c r="I1" s="3704"/>
      <c r="J1" s="3704"/>
      <c r="K1" s="3704"/>
      <c r="L1" s="3704"/>
      <c r="N1" s="3704" t="s">
        <v>1152</v>
      </c>
      <c r="O1" s="3704"/>
      <c r="P1" s="3704"/>
      <c r="Q1" s="3704"/>
      <c r="R1" s="1446"/>
      <c r="S1" s="3704" t="s">
        <v>1153</v>
      </c>
      <c r="T1" s="3704"/>
      <c r="U1" s="3704"/>
      <c r="V1" s="3704"/>
      <c r="X1" s="3703" t="s">
        <v>1154</v>
      </c>
      <c r="Y1" s="3704"/>
      <c r="Z1" s="3704"/>
      <c r="AA1" s="3704"/>
      <c r="AB1" s="3704"/>
      <c r="AD1" s="3703" t="s">
        <v>1155</v>
      </c>
      <c r="AE1" s="3704"/>
      <c r="AF1" s="3704"/>
      <c r="AG1" s="3704"/>
      <c r="AH1" s="370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09">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6"/>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6"/>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7"/>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5">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6"/>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6"/>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7"/>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5">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6"/>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6"/>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7"/>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10">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1"/>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1"/>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2"/>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5">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6"/>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6"/>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7"/>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5">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6">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6">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7">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5">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6">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6">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7">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5">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6">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6">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7">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5">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6">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6">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7">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5">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6">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6">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7">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5">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6">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6">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7">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5">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6">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6">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7">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5">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6">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6">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7">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5">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6">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6">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7">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5">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6">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6">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7">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4" t="s">
        <v>3006</v>
      </c>
      <c r="D1" s="3715"/>
      <c r="E1" s="3715"/>
      <c r="F1" s="3715"/>
      <c r="G1" s="3715"/>
      <c r="H1" s="3715"/>
      <c r="I1" s="3715"/>
      <c r="J1" s="3715"/>
      <c r="K1" s="3715"/>
      <c r="L1" s="3715"/>
      <c r="M1" s="3715"/>
      <c r="N1" s="3715"/>
      <c r="O1" s="3715"/>
      <c r="P1" s="3715"/>
      <c r="Q1" s="3715"/>
      <c r="R1" s="3715"/>
      <c r="S1" s="3716"/>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452" t="s">
        <v>33</v>
      </c>
      <c r="D22" s="3453"/>
      <c r="E22" s="3453"/>
      <c r="F22" s="3453"/>
      <c r="G22" s="3453"/>
      <c r="H22" s="3453"/>
      <c r="I22" s="3453"/>
      <c r="J22" s="3453"/>
      <c r="K22" s="3453"/>
      <c r="L22" s="3453"/>
      <c r="M22" s="3453"/>
      <c r="N22" s="3453"/>
      <c r="O22" s="3453"/>
      <c r="P22" s="3453"/>
      <c r="Q22" s="3713"/>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40754</v>
      </c>
      <c r="C2" s="2" t="s">
        <v>133</v>
      </c>
      <c r="D2" s="241"/>
      <c r="E2" s="241"/>
      <c r="F2" s="241"/>
      <c r="G2" s="241"/>
    </row>
    <row r="3" spans="1:7" s="242" customFormat="1" ht="18" customHeight="1" thickBot="1">
      <c r="A3" s="245" t="s">
        <v>85</v>
      </c>
      <c r="B3" s="246">
        <f ca="1">ROUND(B2*10000/'数据-汇总表'!E3,0)</f>
        <v>5619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11289</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9891</v>
      </c>
      <c r="D34" s="259"/>
      <c r="E34" s="262"/>
      <c r="F34" s="299">
        <f>IF('数据-取费表'!B24=0,1,'数据-取费表'!N16)</f>
        <v>0.58899999999999997</v>
      </c>
      <c r="G34" s="261" t="s">
        <v>116</v>
      </c>
    </row>
    <row r="35" spans="1:7" ht="13.5" customHeight="1">
      <c r="A35" s="951" t="s">
        <v>796</v>
      </c>
      <c r="B35" s="257" t="s">
        <v>60</v>
      </c>
      <c r="C35" s="262">
        <f>ROUND(C34*F35,0)</f>
        <v>396</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854</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226</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270</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265</v>
      </c>
      <c r="D42" s="280"/>
      <c r="E42" s="280"/>
      <c r="F42" s="281"/>
      <c r="G42" s="3537" t="s">
        <v>121</v>
      </c>
    </row>
    <row r="43" spans="1:7" ht="13.5" customHeight="1">
      <c r="A43" s="951" t="s">
        <v>792</v>
      </c>
      <c r="B43" s="257" t="s">
        <v>1064</v>
      </c>
      <c r="C43" s="280">
        <f ca="1">ROUND(IF('数据-取费表'!B22&lt;=1,C39*F22*'数据-取费表'!B21/2,C39*(POWER((1+F22),'数据-取费表'!B21/2)-1)),0)</f>
        <v>5</v>
      </c>
      <c r="D43" s="280"/>
      <c r="E43" s="280"/>
      <c r="F43" s="281"/>
      <c r="G43" s="3538"/>
    </row>
    <row r="44" spans="1:7" ht="13.5" customHeight="1">
      <c r="A44" s="951" t="s">
        <v>793</v>
      </c>
      <c r="B44" s="257" t="s">
        <v>1066</v>
      </c>
      <c r="C44" s="280">
        <f ca="1">ROUND(IF('数据-取费表'!B22&lt;=1,C40*F22*'数据-取费表'!B21/2,C40*(POWER((1+F22),'数据-取费表'!B21/2)-1)),4)</f>
        <v>5.0000000000000001E-4</v>
      </c>
      <c r="D44" s="280"/>
      <c r="E44" s="280"/>
      <c r="F44" s="281"/>
      <c r="G44" s="3539"/>
    </row>
    <row r="45" spans="1:7" s="256" customFormat="1" ht="13.5" customHeight="1">
      <c r="A45" s="948" t="s">
        <v>786</v>
      </c>
      <c r="B45" s="286" t="s">
        <v>112</v>
      </c>
      <c r="C45" s="287">
        <f>C46</f>
        <v>1497</v>
      </c>
      <c r="D45" s="277">
        <f>C47</f>
        <v>2.5999999999999999E-3</v>
      </c>
      <c r="E45" s="278" t="s">
        <v>129</v>
      </c>
      <c r="F45" s="288"/>
      <c r="G45" s="289" t="s">
        <v>1072</v>
      </c>
    </row>
    <row r="46" spans="1:7" s="256" customFormat="1" ht="13.5" customHeight="1">
      <c r="A46" s="951" t="s">
        <v>794</v>
      </c>
      <c r="B46" s="290" t="s">
        <v>1065</v>
      </c>
      <c r="C46" s="291">
        <f>ROUND((C33+C39)*F27,0)</f>
        <v>1497</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14366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14366</v>
      </c>
      <c r="D51" s="274"/>
      <c r="E51" s="274"/>
      <c r="F51" s="306"/>
      <c r="G51" s="276" t="s">
        <v>64</v>
      </c>
    </row>
    <row r="52" spans="1:7" s="250" customFormat="1" ht="16.5" thickBot="1">
      <c r="A52" s="307" t="s">
        <v>65</v>
      </c>
      <c r="B52" s="308"/>
      <c r="C52" s="309">
        <f ca="1">C31+C51</f>
        <v>40754</v>
      </c>
      <c r="D52" s="308"/>
      <c r="E52" s="308"/>
      <c r="F52" s="308"/>
      <c r="G52" s="310"/>
    </row>
    <row r="55" spans="1:7" ht="15">
      <c r="B55" s="312" t="s">
        <v>66</v>
      </c>
      <c r="C55" s="313"/>
    </row>
    <row r="56" spans="1:7">
      <c r="B56" s="315" t="s">
        <v>67</v>
      </c>
      <c r="C56" s="316">
        <f ca="1">ROUND(C51/C52,3)</f>
        <v>0.35299999999999998</v>
      </c>
    </row>
    <row r="57" spans="1:7">
      <c r="B57" s="315" t="s">
        <v>68</v>
      </c>
      <c r="C57" s="317">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7" t="s">
        <v>156</v>
      </c>
      <c r="B1" s="3717"/>
      <c r="C1" s="3717"/>
      <c r="D1" s="3717"/>
      <c r="E1" s="3717"/>
      <c r="F1" s="37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8" t="s">
        <v>169</v>
      </c>
      <c r="B2" s="3718"/>
      <c r="C2" s="3718"/>
      <c r="D2" s="3718"/>
      <c r="E2" s="3718"/>
      <c r="F2" s="37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7" t="s">
        <v>871</v>
      </c>
      <c r="B1" s="37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1641</v>
      </c>
      <c r="B2" s="3358" t="s">
        <v>1642</v>
      </c>
      <c r="C2" s="3358" t="s">
        <v>1643</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9"/>
      <c r="B3" s="3359"/>
      <c r="C3" s="3359"/>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6819</v>
      </c>
      <c r="E4" s="1044">
        <f ca="1">结果表!E118</f>
        <v>940</v>
      </c>
      <c r="F4" s="1044">
        <f ca="1">结果表!F118</f>
        <v>13476</v>
      </c>
      <c r="G4" s="1044">
        <f ca="1">结果表!G118</f>
        <v>1858</v>
      </c>
      <c r="H4" s="1044">
        <f ca="1">结果表!H118</f>
        <v>20295</v>
      </c>
      <c r="I4" s="1044">
        <f ca="1">结果表!I118</f>
        <v>2798</v>
      </c>
    </row>
    <row r="5" spans="1:9" ht="30" customHeight="1">
      <c r="A5" s="3359" t="s">
        <v>1640</v>
      </c>
      <c r="B5" s="3359"/>
      <c r="C5" s="3359"/>
      <c r="D5" s="3360" t="str">
        <f ca="1">结果表!D119</f>
        <v>陆仟捌佰壹拾玖万元整</v>
      </c>
      <c r="E5" s="3360"/>
      <c r="F5" s="3360" t="str">
        <f ca="1">结果表!F119</f>
        <v>壹亿叁仟肆佰柒拾陆万元整</v>
      </c>
      <c r="G5" s="3360"/>
      <c r="H5" s="3360" t="str">
        <f ca="1">结果表!H119</f>
        <v>贰亿零贰佰玖拾伍万元整</v>
      </c>
      <c r="I5" s="3360"/>
    </row>
    <row r="6" spans="1:9" ht="15.75">
      <c r="A6" s="3361" t="str">
        <f>结果表!A120</f>
        <v>估价师知悉的法定优先受偿款</v>
      </c>
      <c r="B6" s="3361"/>
      <c r="C6" s="3361"/>
      <c r="D6" s="3361">
        <f>结果表!D120</f>
        <v>247</v>
      </c>
      <c r="E6" s="3361"/>
      <c r="F6" s="3361"/>
      <c r="G6" s="3361"/>
      <c r="H6" s="3361"/>
      <c r="I6" s="3361"/>
    </row>
    <row r="7" spans="1:9" ht="15">
      <c r="A7" s="3359" t="s">
        <v>1640</v>
      </c>
      <c r="B7" s="3359"/>
      <c r="C7" s="3359"/>
      <c r="D7" s="3362" t="str">
        <f>结果表!D121</f>
        <v>贰佰肆拾柒万元整</v>
      </c>
      <c r="E7" s="3363"/>
      <c r="F7" s="3363"/>
      <c r="G7" s="3363"/>
      <c r="H7" s="3363"/>
      <c r="I7" s="3364"/>
    </row>
    <row r="8" spans="1:9" ht="15.75">
      <c r="A8" s="3361" t="str">
        <f>结果表!A122</f>
        <v>房地产抵押价值</v>
      </c>
      <c r="B8" s="3361"/>
      <c r="C8" s="3361"/>
      <c r="D8" s="3361">
        <f ca="1">结果表!D122</f>
        <v>20048</v>
      </c>
      <c r="E8" s="3361"/>
      <c r="F8" s="3361"/>
      <c r="G8" s="3361"/>
      <c r="H8" s="3361"/>
      <c r="I8" s="3361"/>
    </row>
    <row r="9" spans="1:9" ht="15">
      <c r="A9" s="3359" t="s">
        <v>1640</v>
      </c>
      <c r="B9" s="3359"/>
      <c r="C9" s="3359"/>
      <c r="D9" s="3360" t="str">
        <f ca="1">结果表!D123</f>
        <v>贰亿零肆拾捌万元整</v>
      </c>
      <c r="E9" s="3360"/>
      <c r="F9" s="3360"/>
      <c r="G9" s="3360"/>
      <c r="H9" s="3360"/>
      <c r="I9" s="3360"/>
    </row>
    <row r="10" spans="1:9" ht="15.75">
      <c r="A10" s="3361" t="str">
        <f>结果表!A124</f>
        <v/>
      </c>
      <c r="B10" s="3361"/>
      <c r="C10" s="3361"/>
      <c r="D10" s="3361" t="str">
        <f>结果表!D124</f>
        <v>——</v>
      </c>
      <c r="E10" s="3361"/>
      <c r="F10" s="3361"/>
      <c r="G10" s="3361"/>
      <c r="H10" s="3361"/>
      <c r="I10" s="3361"/>
    </row>
    <row r="11" spans="1:9" ht="15">
      <c r="A11" s="3359" t="s">
        <v>1640</v>
      </c>
      <c r="B11" s="3359"/>
      <c r="C11" s="3359"/>
      <c r="D11" s="3360" t="e">
        <f>结果表!D125</f>
        <v>#VALUE!</v>
      </c>
      <c r="E11" s="3360"/>
      <c r="F11" s="3360"/>
      <c r="G11" s="3360"/>
      <c r="H11" s="3360"/>
      <c r="I11" s="3360"/>
    </row>
    <row r="12" spans="1:9" ht="15.75">
      <c r="A12" s="3361" t="str">
        <f>结果表!A126</f>
        <v/>
      </c>
      <c r="B12" s="3361"/>
      <c r="C12" s="3361"/>
      <c r="D12" s="3361" t="str">
        <f>结果表!D126</f>
        <v>——</v>
      </c>
      <c r="E12" s="3361"/>
      <c r="F12" s="3361"/>
      <c r="G12" s="3361"/>
      <c r="H12" s="3361"/>
      <c r="I12" s="3361"/>
    </row>
    <row r="13" spans="1:9" ht="15.75" thickBot="1">
      <c r="A13" s="3365" t="s">
        <v>1640</v>
      </c>
      <c r="B13" s="3365"/>
      <c r="C13" s="3365"/>
      <c r="D13" s="3366" t="e">
        <f>结果表!D127</f>
        <v>#VALUE!</v>
      </c>
      <c r="E13" s="3366"/>
      <c r="F13" s="3366"/>
      <c r="G13" s="3366"/>
      <c r="H13" s="3366"/>
      <c r="I13" s="3366"/>
    </row>
    <row r="14" spans="1:9" ht="15" thickTop="1">
      <c r="A14" s="3367" t="s">
        <v>1645</v>
      </c>
      <c r="B14" s="3367"/>
      <c r="C14" s="3367"/>
      <c r="D14" s="3367"/>
      <c r="E14" s="3367"/>
      <c r="F14" s="3367"/>
      <c r="G14" s="3367"/>
      <c r="H14" s="3367"/>
      <c r="I14" s="3367"/>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68" t="s">
        <v>1662</v>
      </c>
      <c r="B1" s="3368"/>
      <c r="C1" s="3368"/>
      <c r="D1" s="3368"/>
    </row>
    <row r="2" spans="1:4" ht="18">
      <c r="A2" s="3369" t="s">
        <v>1646</v>
      </c>
      <c r="B2" s="3369"/>
      <c r="C2" s="3369"/>
      <c r="D2" s="3369"/>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69" t="s">
        <v>1652</v>
      </c>
      <c r="B6" s="3369"/>
      <c r="C6" s="3369"/>
      <c r="D6" s="3369"/>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0" t="s">
        <v>1655</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2"/>
      <c r="C12" s="3372"/>
      <c r="D12" s="3372"/>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spans="1:4" ht="15.75" customHeight="1">
      <c r="A14" s="3371" t="str">
        <f>IF(项目基本情况!B8="抵押","4.本次评估估价师所知悉的法定优先受偿款情况说明如下：","——")</f>
        <v>4.本次评估估价师所知悉的法定优先受偿款情况说明如下：</v>
      </c>
      <c r="B14" s="3372"/>
      <c r="C14" s="3372"/>
      <c r="D14" s="3372"/>
    </row>
    <row r="15" spans="1:4" ht="42" customHeight="1">
      <c r="A15" s="3371"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4" t="s">
        <v>1656</v>
      </c>
      <c r="B16" s="3374"/>
      <c r="C16" s="3374"/>
      <c r="D16" s="3374"/>
    </row>
    <row r="17" spans="1:4" ht="144" customHeight="1">
      <c r="A17" s="3374" t="s">
        <v>1657</v>
      </c>
      <c r="B17" s="3374"/>
      <c r="C17" s="3374"/>
      <c r="D17" s="3374"/>
    </row>
    <row r="18" spans="1:4" ht="15.75" customHeight="1">
      <c r="A18" s="3371" t="str">
        <f>IF(项目基本情况!B8="抵押",结果表!K120,"——")</f>
        <v>故，本次评估估价师知悉的法定优先受偿款为人民币247万元整。</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spans="1:4" ht="18.75" customHeight="1">
      <c r="A22" s="3376" t="s">
        <v>1658</v>
      </c>
      <c r="B22" s="3376"/>
      <c r="C22" s="3376"/>
      <c r="D22" s="337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73">
        <v>42551</v>
      </c>
      <c r="D31" s="33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2" t="s">
        <v>1669</v>
      </c>
      <c r="B15" s="3377" t="s">
        <v>136</v>
      </c>
      <c r="C15" s="3378"/>
    </row>
    <row r="16" spans="1:7" ht="13.5">
      <c r="A16" s="3383"/>
      <c r="B16" s="3377" t="s">
        <v>69</v>
      </c>
      <c r="C16" s="3378"/>
    </row>
    <row r="17" spans="1:3" ht="13.5">
      <c r="A17" s="3383"/>
      <c r="B17" s="3380" t="s">
        <v>1670</v>
      </c>
      <c r="C17" s="2000" t="s">
        <v>1669</v>
      </c>
    </row>
    <row r="18" spans="1:3" ht="13.5">
      <c r="A18" s="3383"/>
      <c r="B18" s="3380"/>
      <c r="C18" s="2000" t="s">
        <v>1671</v>
      </c>
    </row>
    <row r="19" spans="1:3" ht="13.5">
      <c r="A19" s="3383"/>
      <c r="B19" s="3380"/>
      <c r="C19" s="2000" t="s">
        <v>1672</v>
      </c>
    </row>
    <row r="20" spans="1:3" ht="13.5">
      <c r="A20" s="3384"/>
      <c r="B20" s="3379" t="s">
        <v>1673</v>
      </c>
      <c r="C20" s="3378"/>
    </row>
    <row r="21" spans="1:3" ht="13.5">
      <c r="A21" s="2001" t="s">
        <v>1674</v>
      </c>
      <c r="B21" s="2002"/>
      <c r="C21" s="2003"/>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0" t="s">
        <v>1680</v>
      </c>
    </row>
    <row r="26" spans="1:3" ht="13.5">
      <c r="A26" s="3381"/>
      <c r="B26" s="3380"/>
      <c r="C26" s="2000" t="s">
        <v>1681</v>
      </c>
    </row>
    <row r="27" spans="1:3" ht="13.5">
      <c r="A27" s="3381"/>
      <c r="B27" s="3380"/>
      <c r="C27" s="2000" t="s">
        <v>1682</v>
      </c>
    </row>
    <row r="28" spans="1:3" ht="13.5">
      <c r="A28" s="3381"/>
      <c r="B28" s="3380"/>
      <c r="C28" s="2000" t="s">
        <v>1683</v>
      </c>
    </row>
    <row r="29" spans="1:3" ht="13.5">
      <c r="A29" s="3381"/>
      <c r="B29" s="3380"/>
      <c r="C29" s="2000" t="s">
        <v>1684</v>
      </c>
    </row>
    <row r="30" spans="1:3" ht="13.5">
      <c r="A30" s="3381"/>
      <c r="B30" s="3380"/>
      <c r="C30" s="2000" t="s">
        <v>1685</v>
      </c>
    </row>
    <row r="31" spans="1:3" ht="13.5">
      <c r="A31" s="3381"/>
      <c r="B31" s="3380"/>
      <c r="C31" s="2000" t="s">
        <v>1686</v>
      </c>
    </row>
    <row r="32" spans="1:3" ht="13.5">
      <c r="A32" s="3381"/>
      <c r="B32" s="3380"/>
      <c r="C32" s="2000" t="s">
        <v>1687</v>
      </c>
    </row>
    <row r="33" spans="1:3" ht="13.5">
      <c r="A33" s="3381"/>
      <c r="B33" s="3380"/>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43276</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5" t="s">
        <v>846</v>
      </c>
      <c r="B25" s="3385"/>
      <c r="C25" s="3385"/>
      <c r="D25" s="3385"/>
      <c r="E25" s="3385"/>
      <c r="F25" s="3385"/>
      <c r="G25" s="3385"/>
    </row>
    <row r="26" spans="1:7" s="1025" customFormat="1" ht="24" customHeight="1">
      <c r="A26" s="3386" t="s">
        <v>847</v>
      </c>
      <c r="B26" s="3386"/>
      <c r="C26" s="3387"/>
      <c r="D26" s="3388" t="s">
        <v>848</v>
      </c>
      <c r="E26" s="3386"/>
      <c r="F26" s="3386"/>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2018-06-25T02:34:47Z</dcterms:modified>
</cp:coreProperties>
</file>