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externalReferences>
    <externalReference r:id="rId40"/>
  </externalReference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I15" i="62"/>
  <c r="G15"/>
  <c r="D15"/>
  <c r="B15"/>
  <c r="C76" i="57"/>
  <c r="I48" i="34"/>
  <c r="G48"/>
  <c r="E48"/>
  <c r="E20" i="1"/>
  <c r="B131" i="64"/>
  <c r="H47"/>
  <c r="B129"/>
  <c r="B127"/>
  <c r="D126"/>
  <c r="E126"/>
  <c r="D124"/>
  <c r="E124"/>
  <c r="D120"/>
  <c r="E120"/>
  <c r="F120"/>
  <c r="G120"/>
  <c r="H120"/>
  <c r="I120"/>
  <c r="J120"/>
  <c r="K120"/>
  <c r="L120"/>
  <c r="M120"/>
  <c r="D118"/>
  <c r="E118"/>
  <c r="D116"/>
  <c r="E116"/>
  <c r="F116"/>
  <c r="G116"/>
  <c r="H116"/>
  <c r="I116"/>
  <c r="J116"/>
  <c r="K116"/>
  <c r="L116"/>
  <c r="M116"/>
  <c r="D114"/>
  <c r="E114"/>
  <c r="F114"/>
  <c r="G114"/>
  <c r="H114"/>
  <c r="I114"/>
  <c r="J114"/>
  <c r="K114"/>
  <c r="L114"/>
  <c r="M114"/>
  <c r="D112"/>
  <c r="E112"/>
  <c r="F112"/>
  <c r="G112"/>
  <c r="H112"/>
  <c r="I112"/>
  <c r="J112"/>
  <c r="K112"/>
  <c r="L112"/>
  <c r="M112"/>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B99"/>
  <c r="B97"/>
  <c r="J31"/>
  <c r="B95"/>
  <c r="B93"/>
  <c r="H29"/>
  <c r="AB29"/>
  <c r="D92"/>
  <c r="E92"/>
  <c r="F92"/>
  <c r="G92"/>
  <c r="H92"/>
  <c r="I92"/>
  <c r="J92"/>
  <c r="K92"/>
  <c r="L92"/>
  <c r="M92"/>
  <c r="B91"/>
  <c r="D90"/>
  <c r="E90"/>
  <c r="B89"/>
  <c r="D88"/>
  <c r="E88"/>
  <c r="D86"/>
  <c r="E86"/>
  <c r="F86"/>
  <c r="G86"/>
  <c r="D84"/>
  <c r="E84"/>
  <c r="F84"/>
  <c r="G84"/>
  <c r="D82"/>
  <c r="E82"/>
  <c r="F82"/>
  <c r="G82"/>
  <c r="D80"/>
  <c r="E80"/>
  <c r="F80"/>
  <c r="G80"/>
  <c r="D78"/>
  <c r="E78"/>
  <c r="F78"/>
  <c r="G78"/>
  <c r="B75"/>
  <c r="J14"/>
  <c r="AC14"/>
  <c r="B73"/>
  <c r="H13"/>
  <c r="B71"/>
  <c r="D70"/>
  <c r="E70"/>
  <c r="F70"/>
  <c r="G70"/>
  <c r="H70"/>
  <c r="I70"/>
  <c r="J70"/>
  <c r="K70"/>
  <c r="L70"/>
  <c r="M70"/>
  <c r="M68"/>
  <c r="L68"/>
  <c r="K68"/>
  <c r="J68"/>
  <c r="I68"/>
  <c r="H68"/>
  <c r="G68"/>
  <c r="F68"/>
  <c r="E68"/>
  <c r="D68"/>
  <c r="C68"/>
  <c r="F67"/>
  <c r="G67"/>
  <c r="H67"/>
  <c r="I67"/>
  <c r="C64"/>
  <c r="I55"/>
  <c r="J55"/>
  <c r="G55"/>
  <c r="H55"/>
  <c r="E55"/>
  <c r="F55"/>
  <c r="P50"/>
  <c r="P49"/>
  <c r="V48"/>
  <c r="T48"/>
  <c r="R48"/>
  <c r="P48"/>
  <c r="Q47"/>
  <c r="Z47"/>
  <c r="F47"/>
  <c r="AA47"/>
  <c r="Q46"/>
  <c r="Z46"/>
  <c r="J46"/>
  <c r="AC46"/>
  <c r="H46"/>
  <c r="AB46"/>
  <c r="F46"/>
  <c r="AA46"/>
  <c r="Q45"/>
  <c r="Z45"/>
  <c r="J45"/>
  <c r="AC45"/>
  <c r="H45"/>
  <c r="AB45"/>
  <c r="F45"/>
  <c r="AA45"/>
  <c r="Q44"/>
  <c r="Z44"/>
  <c r="Q43"/>
  <c r="Z43"/>
  <c r="Q42"/>
  <c r="Z42"/>
  <c r="C42"/>
  <c r="F42"/>
  <c r="Q41"/>
  <c r="Z41"/>
  <c r="J41"/>
  <c r="AC41"/>
  <c r="H41"/>
  <c r="AB41"/>
  <c r="F41"/>
  <c r="AA41"/>
  <c r="Q40"/>
  <c r="Z40"/>
  <c r="Q39"/>
  <c r="Z39"/>
  <c r="F39"/>
  <c r="AA39"/>
  <c r="Q38"/>
  <c r="Z38"/>
  <c r="J38"/>
  <c r="AC38"/>
  <c r="H38"/>
  <c r="AB38"/>
  <c r="F38"/>
  <c r="AA38"/>
  <c r="Q37"/>
  <c r="Z37"/>
  <c r="Q36"/>
  <c r="Z36"/>
  <c r="J36"/>
  <c r="AC36"/>
  <c r="H36"/>
  <c r="AB36"/>
  <c r="F36"/>
  <c r="AA36"/>
  <c r="Q35"/>
  <c r="Z35"/>
  <c r="J35"/>
  <c r="AC35"/>
  <c r="F35"/>
  <c r="AA35"/>
  <c r="Q34"/>
  <c r="Z34"/>
  <c r="C34"/>
  <c r="F34"/>
  <c r="Q33"/>
  <c r="Z33"/>
  <c r="J33"/>
  <c r="AC33"/>
  <c r="H33"/>
  <c r="AB33"/>
  <c r="F33"/>
  <c r="AA33"/>
  <c r="Q32"/>
  <c r="Z32"/>
  <c r="J32"/>
  <c r="AC32"/>
  <c r="H32"/>
  <c r="AB32"/>
  <c r="F32"/>
  <c r="AA32"/>
  <c r="Q31"/>
  <c r="Z31"/>
  <c r="H31"/>
  <c r="AB31"/>
  <c r="Q30"/>
  <c r="Z30"/>
  <c r="J30"/>
  <c r="AC30"/>
  <c r="H30"/>
  <c r="AB30"/>
  <c r="F30"/>
  <c r="AA30"/>
  <c r="Q29"/>
  <c r="Z29"/>
  <c r="J29"/>
  <c r="AC29"/>
  <c r="F29"/>
  <c r="AA29"/>
  <c r="Q28"/>
  <c r="Z28"/>
  <c r="J28"/>
  <c r="AC28"/>
  <c r="H28"/>
  <c r="AB28"/>
  <c r="F28"/>
  <c r="AA28"/>
  <c r="Q27"/>
  <c r="Z27"/>
  <c r="Q25"/>
  <c r="Z25"/>
  <c r="Q23"/>
  <c r="Z23"/>
  <c r="J23"/>
  <c r="AC23"/>
  <c r="H23"/>
  <c r="AB23"/>
  <c r="F23"/>
  <c r="AA23"/>
  <c r="C23"/>
  <c r="Q21"/>
  <c r="Z21"/>
  <c r="J21"/>
  <c r="AC21"/>
  <c r="H21"/>
  <c r="AB21"/>
  <c r="F21"/>
  <c r="AA21"/>
  <c r="C21"/>
  <c r="Q19"/>
  <c r="Z19"/>
  <c r="J19"/>
  <c r="AC19"/>
  <c r="H19"/>
  <c r="AB19"/>
  <c r="F19"/>
  <c r="AA19"/>
  <c r="C19"/>
  <c r="Q17"/>
  <c r="Z17"/>
  <c r="J17"/>
  <c r="AC17"/>
  <c r="H17"/>
  <c r="AB17"/>
  <c r="F17"/>
  <c r="AA17"/>
  <c r="C17"/>
  <c r="Q15"/>
  <c r="Z15"/>
  <c r="J15"/>
  <c r="AC15"/>
  <c r="H15"/>
  <c r="AB15"/>
  <c r="F15"/>
  <c r="AA15"/>
  <c r="C15"/>
  <c r="Q14"/>
  <c r="Z14"/>
  <c r="H14"/>
  <c r="AB14"/>
  <c r="Q13"/>
  <c r="Z13"/>
  <c r="J13"/>
  <c r="AC13"/>
  <c r="F13"/>
  <c r="AA13"/>
  <c r="Q12"/>
  <c r="Z12"/>
  <c r="J12"/>
  <c r="AC12"/>
  <c r="H12"/>
  <c r="U12"/>
  <c r="F12"/>
  <c r="AA12"/>
  <c r="Q11"/>
  <c r="Z11"/>
  <c r="J11"/>
  <c r="AC11"/>
  <c r="H11"/>
  <c r="AB11"/>
  <c r="F11"/>
  <c r="AA11"/>
  <c r="Q10"/>
  <c r="Z10"/>
  <c r="J10"/>
  <c r="AC10"/>
  <c r="F10"/>
  <c r="AA10"/>
  <c r="Q9"/>
  <c r="Z9"/>
  <c r="J9"/>
  <c r="AC9"/>
  <c r="H9"/>
  <c r="AB9"/>
  <c r="F9"/>
  <c r="AA9"/>
  <c r="S8"/>
  <c r="J8"/>
  <c r="AC8"/>
  <c r="H8"/>
  <c r="U8"/>
  <c r="F8"/>
  <c r="AA8"/>
  <c r="D3"/>
  <c r="E2"/>
  <c r="J42"/>
  <c r="H42"/>
  <c r="F90"/>
  <c r="G90"/>
  <c r="H90"/>
  <c r="I90"/>
  <c r="J90"/>
  <c r="K90"/>
  <c r="L90"/>
  <c r="M90"/>
  <c r="H27"/>
  <c r="AB27"/>
  <c r="W8"/>
  <c r="H10"/>
  <c r="AB10"/>
  <c r="J27"/>
  <c r="AB8"/>
  <c r="F14"/>
  <c r="AA14"/>
  <c r="H35"/>
  <c r="AB35"/>
  <c r="AA34"/>
  <c r="S34"/>
  <c r="AA42"/>
  <c r="S42"/>
  <c r="H25"/>
  <c r="F25"/>
  <c r="J25"/>
  <c r="F88"/>
  <c r="G88"/>
  <c r="H88"/>
  <c r="I88"/>
  <c r="J88"/>
  <c r="K88"/>
  <c r="L88"/>
  <c r="M88"/>
  <c r="AC31"/>
  <c r="W31"/>
  <c r="H43"/>
  <c r="F124"/>
  <c r="G124"/>
  <c r="H124"/>
  <c r="I124"/>
  <c r="J124"/>
  <c r="K124"/>
  <c r="L124"/>
  <c r="M124"/>
  <c r="F43"/>
  <c r="AB47"/>
  <c r="U47"/>
  <c r="AC42"/>
  <c r="W42"/>
  <c r="J40"/>
  <c r="F40"/>
  <c r="F118"/>
  <c r="G118"/>
  <c r="H40"/>
  <c r="AB42"/>
  <c r="U42"/>
  <c r="AB13"/>
  <c r="U13"/>
  <c r="AC27"/>
  <c r="W27"/>
  <c r="J44"/>
  <c r="F44"/>
  <c r="F126"/>
  <c r="G126"/>
  <c r="H44"/>
  <c r="W9"/>
  <c r="AB12"/>
  <c r="W13"/>
  <c r="W28"/>
  <c r="S30"/>
  <c r="U31"/>
  <c r="W32"/>
  <c r="S35"/>
  <c r="U36"/>
  <c r="S39"/>
  <c r="W41"/>
  <c r="W45"/>
  <c r="S47"/>
  <c r="U9"/>
  <c r="W10"/>
  <c r="S12"/>
  <c r="W14"/>
  <c r="W15"/>
  <c r="W17"/>
  <c r="W19"/>
  <c r="W21"/>
  <c r="W23"/>
  <c r="F27"/>
  <c r="U28"/>
  <c r="W29"/>
  <c r="F31"/>
  <c r="U32"/>
  <c r="W33"/>
  <c r="J34"/>
  <c r="S36"/>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W36"/>
  <c r="S38"/>
  <c r="H39"/>
  <c r="S46"/>
  <c r="C2"/>
  <c r="F2"/>
  <c r="I42" i="34"/>
  <c r="G42"/>
  <c r="E42"/>
  <c r="C42"/>
  <c r="C34"/>
  <c r="C37"/>
  <c r="C37" i="64"/>
  <c r="AC43"/>
  <c r="W43"/>
  <c r="AA40"/>
  <c r="S40"/>
  <c r="AB43"/>
  <c r="U43"/>
  <c r="AC25"/>
  <c r="W25"/>
  <c r="AC44"/>
  <c r="W44"/>
  <c r="AA43"/>
  <c r="S43"/>
  <c r="AB25"/>
  <c r="U25"/>
  <c r="AA27"/>
  <c r="S27"/>
  <c r="AA44"/>
  <c r="S44"/>
  <c r="AC39"/>
  <c r="W39"/>
  <c r="AC34"/>
  <c r="W34"/>
  <c r="AB40"/>
  <c r="U40"/>
  <c r="AB39"/>
  <c r="U39"/>
  <c r="AC47"/>
  <c r="W47"/>
  <c r="AB34"/>
  <c r="U34"/>
  <c r="AA31"/>
  <c r="S31"/>
  <c r="AB44"/>
  <c r="U44"/>
  <c r="AC40"/>
  <c r="W40"/>
  <c r="AA25"/>
  <c r="S25"/>
  <c r="G37"/>
  <c r="H37"/>
  <c r="E37"/>
  <c r="F37"/>
  <c r="I37"/>
  <c r="J37"/>
  <c r="E37" i="34"/>
  <c r="I37"/>
  <c r="G37"/>
  <c r="B36" i="4"/>
  <c r="B35"/>
  <c r="AC37" i="64"/>
  <c r="W37"/>
  <c r="AA37"/>
  <c r="S37"/>
  <c r="U37"/>
  <c r="AB37"/>
  <c r="D2" i="4"/>
  <c r="AH5" i="59"/>
  <c r="AG5"/>
  <c r="AE5"/>
  <c r="AF5"/>
  <c r="AD5"/>
  <c r="Q5"/>
  <c r="Q6"/>
  <c r="P5"/>
  <c r="P6"/>
  <c r="O5"/>
  <c r="O6"/>
  <c r="N5"/>
  <c r="N6"/>
  <c r="B2" i="48"/>
  <c r="F4"/>
  <c r="H4"/>
  <c r="H17"/>
  <c r="D18"/>
  <c r="O7" i="59"/>
  <c r="O8"/>
  <c r="N7"/>
  <c r="N8"/>
  <c r="AH6"/>
  <c r="AG6"/>
  <c r="AE6"/>
  <c r="AF6"/>
  <c r="AD6"/>
  <c r="Q7"/>
  <c r="Q8"/>
  <c r="P7"/>
  <c r="P8"/>
  <c r="AH7"/>
  <c r="AG7"/>
  <c r="AE7"/>
  <c r="AF7"/>
  <c r="AD7"/>
  <c r="M15" i="45"/>
  <c r="L15"/>
  <c r="K15"/>
  <c r="J15"/>
  <c r="I15"/>
  <c r="H15"/>
  <c r="G15"/>
  <c r="F15"/>
  <c r="E15"/>
  <c r="D15"/>
  <c r="C15"/>
  <c r="B15"/>
  <c r="AH8" i="59"/>
  <c r="AG8"/>
  <c r="AE8"/>
  <c r="AF8"/>
  <c r="AD8"/>
  <c r="AH9"/>
  <c r="AG9"/>
  <c r="AE9"/>
  <c r="AF9"/>
  <c r="AD9"/>
  <c r="Q9"/>
  <c r="P9"/>
  <c r="O9"/>
  <c r="N9"/>
  <c r="L3"/>
  <c r="AH3"/>
  <c r="K3"/>
  <c r="J3"/>
  <c r="AE3"/>
  <c r="AF3"/>
  <c r="I3"/>
  <c r="AD3"/>
  <c r="AH10"/>
  <c r="AG10"/>
  <c r="AE10"/>
  <c r="AF10"/>
  <c r="AD10"/>
  <c r="Q10"/>
  <c r="Q11"/>
  <c r="P10"/>
  <c r="P11"/>
  <c r="O10"/>
  <c r="O11"/>
  <c r="N10"/>
  <c r="N11"/>
  <c r="N12"/>
  <c r="O12"/>
  <c r="P12"/>
  <c r="Q12"/>
  <c r="AD11"/>
  <c r="AE11"/>
  <c r="AF11"/>
  <c r="AG11"/>
  <c r="AH11"/>
  <c r="M19" i="43"/>
  <c r="M48" i="15"/>
  <c r="B2" i="1"/>
  <c r="B23"/>
  <c r="E1" i="61"/>
  <c r="J50" i="15"/>
  <c r="J51"/>
  <c r="B25" i="1"/>
  <c r="E19"/>
  <c r="AH12" i="59"/>
  <c r="AG12"/>
  <c r="AE12"/>
  <c r="AF12"/>
  <c r="AD12"/>
  <c r="AH13"/>
  <c r="AG13"/>
  <c r="AE13"/>
  <c r="AF13"/>
  <c r="AD13"/>
  <c r="Q13"/>
  <c r="P13"/>
  <c r="O13"/>
  <c r="N13"/>
  <c r="Q14"/>
  <c r="P14"/>
  <c r="O14"/>
  <c r="N14"/>
  <c r="D14"/>
  <c r="E13"/>
  <c r="E12"/>
  <c r="E11"/>
  <c r="E10"/>
  <c r="E9"/>
  <c r="E8"/>
  <c r="E7"/>
  <c r="E6"/>
  <c r="E5"/>
  <c r="F13"/>
  <c r="V13"/>
  <c r="C13"/>
  <c r="C12"/>
  <c r="T13"/>
  <c r="A2" i="50"/>
  <c r="B16" i="60"/>
  <c r="D13" i="59"/>
  <c r="K60" i="15"/>
  <c r="P59"/>
  <c r="P72"/>
  <c r="A126" i="57"/>
  <c r="A123" i="9"/>
  <c r="A16" i="54"/>
  <c r="B14" i="60"/>
  <c r="A14" i="54"/>
  <c r="B12" i="60"/>
  <c r="A19" i="55"/>
  <c r="B49" i="60"/>
  <c r="A13" i="55"/>
  <c r="A1" i="52"/>
  <c r="A4" i="50"/>
  <c r="P15" i="59"/>
  <c r="O15"/>
  <c r="N15"/>
  <c r="Q15"/>
  <c r="C76" i="9"/>
  <c r="C77" i="57"/>
  <c r="J56"/>
  <c r="K55" i="9"/>
  <c r="J55"/>
  <c r="I6" i="4"/>
  <c r="J57" i="57"/>
  <c r="E15" i="62"/>
  <c r="F15"/>
  <c r="E16"/>
  <c r="F16"/>
  <c r="E17"/>
  <c r="F17"/>
  <c r="E18"/>
  <c r="F18"/>
  <c r="E19"/>
  <c r="F19"/>
  <c r="E20"/>
  <c r="F20"/>
  <c r="E21"/>
  <c r="F21"/>
  <c r="E22"/>
  <c r="F22"/>
  <c r="E23"/>
  <c r="F23"/>
  <c r="C14"/>
  <c r="B2"/>
  <c r="B14"/>
  <c r="B1"/>
  <c r="B3"/>
  <c r="O16" i="59"/>
  <c r="P16"/>
  <c r="Q16"/>
  <c r="N16"/>
  <c r="AG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5" i="31"/>
  <c r="M5"/>
  <c r="N5"/>
  <c r="O5"/>
  <c r="P5"/>
  <c r="Q5"/>
  <c r="R5"/>
  <c r="C1" i="61"/>
  <c r="L1"/>
  <c r="B68" i="60"/>
  <c r="D28" i="57"/>
  <c r="D29"/>
  <c r="D28" i="9"/>
  <c r="D29"/>
  <c r="A10" i="54"/>
  <c r="B9" i="60"/>
  <c r="Y12" i="43"/>
  <c r="Y10"/>
  <c r="AJ9"/>
  <c r="AJ12"/>
  <c r="AI9"/>
  <c r="AI12"/>
  <c r="AH9"/>
  <c r="AH12"/>
  <c r="AG9"/>
  <c r="AG12"/>
  <c r="AF9"/>
  <c r="AF12"/>
  <c r="AE9"/>
  <c r="AE10"/>
  <c r="AE12"/>
  <c r="AD9"/>
  <c r="AD12"/>
  <c r="AC9"/>
  <c r="AC12"/>
  <c r="AB9"/>
  <c r="AB12"/>
  <c r="AA9"/>
  <c r="AA12"/>
  <c r="Z9"/>
  <c r="Z12"/>
  <c r="AA10"/>
  <c r="AC10"/>
  <c r="AG10"/>
  <c r="AI10"/>
  <c r="Z10"/>
  <c r="AB10"/>
  <c r="AD10"/>
  <c r="AF10"/>
  <c r="AH10"/>
  <c r="AJ10"/>
  <c r="K50" i="57"/>
  <c r="K49" i="9"/>
  <c r="F111" i="57"/>
  <c r="A115"/>
  <c r="A128"/>
  <c r="A112" i="9"/>
  <c r="A125"/>
  <c r="F110"/>
  <c r="F115" i="57"/>
  <c r="F4" i="61"/>
  <c r="I1"/>
  <c r="B30" i="1"/>
  <c r="F11" i="15"/>
  <c r="C7" i="64"/>
  <c r="E7"/>
  <c r="C59"/>
  <c r="D59"/>
  <c r="E59"/>
  <c r="F59"/>
  <c r="G59"/>
  <c r="H59"/>
  <c r="I59"/>
  <c r="J59"/>
  <c r="K59"/>
  <c r="L59"/>
  <c r="M59"/>
  <c r="N59"/>
  <c r="O59"/>
  <c r="F7"/>
  <c r="AA7"/>
  <c r="R49"/>
  <c r="G7"/>
  <c r="H7"/>
  <c r="AB7"/>
  <c r="T49"/>
  <c r="I7"/>
  <c r="J7"/>
  <c r="AC7"/>
  <c r="V49"/>
  <c r="R50"/>
  <c r="C49"/>
  <c r="B29" i="1"/>
  <c r="F6" i="15"/>
  <c r="F8"/>
  <c r="F7"/>
  <c r="F9"/>
  <c r="C6"/>
  <c r="C10"/>
  <c r="C5"/>
  <c r="J1" i="61"/>
  <c r="D5"/>
  <c r="K1"/>
  <c r="G1"/>
  <c r="E27" i="1"/>
  <c r="F24" i="15"/>
  <c r="C14"/>
  <c r="F15"/>
  <c r="C15"/>
  <c r="F16"/>
  <c r="C16"/>
  <c r="F17"/>
  <c r="C17"/>
  <c r="F18"/>
  <c r="C18"/>
  <c r="C19"/>
  <c r="F23"/>
  <c r="F20"/>
  <c r="C20"/>
  <c r="C23"/>
  <c r="F21"/>
  <c r="C24"/>
  <c r="F26"/>
  <c r="C26"/>
  <c r="C27"/>
  <c r="F28"/>
  <c r="F30" i="1"/>
  <c r="C28" i="15"/>
  <c r="C29"/>
  <c r="F36"/>
  <c r="C36"/>
  <c r="F13"/>
  <c r="C13"/>
  <c r="F37"/>
  <c r="C37"/>
  <c r="F38"/>
  <c r="C38"/>
  <c r="C32"/>
  <c r="C33"/>
  <c r="C34"/>
  <c r="F31"/>
  <c r="C31"/>
  <c r="C30"/>
  <c r="C39"/>
  <c r="F42"/>
  <c r="F40"/>
  <c r="B13" i="1"/>
  <c r="L49" i="15"/>
  <c r="J52"/>
  <c r="J54"/>
  <c r="B33" i="1"/>
  <c r="F41" i="15"/>
  <c r="C40"/>
  <c r="J61"/>
  <c r="L47"/>
  <c r="F43"/>
  <c r="B3"/>
  <c r="C20" i="9"/>
  <c r="C7" i="34"/>
  <c r="E7"/>
  <c r="C59"/>
  <c r="D59"/>
  <c r="E59"/>
  <c r="F59"/>
  <c r="G59"/>
  <c r="H59"/>
  <c r="I59"/>
  <c r="J59"/>
  <c r="K59"/>
  <c r="L59"/>
  <c r="M59"/>
  <c r="N59"/>
  <c r="O59"/>
  <c r="F7"/>
  <c r="AA7"/>
  <c r="F34"/>
  <c r="AA34"/>
  <c r="F37"/>
  <c r="AA37"/>
  <c r="F42"/>
  <c r="AA42"/>
  <c r="R49"/>
  <c r="G7"/>
  <c r="H7"/>
  <c r="AB7"/>
  <c r="H34"/>
  <c r="AB34"/>
  <c r="H37"/>
  <c r="AB37"/>
  <c r="H42"/>
  <c r="AB42"/>
  <c r="T49"/>
  <c r="I7"/>
  <c r="J7"/>
  <c r="AC7"/>
  <c r="J34"/>
  <c r="AC34"/>
  <c r="J37"/>
  <c r="AC37"/>
  <c r="J42"/>
  <c r="AC42"/>
  <c r="V49"/>
  <c r="R50"/>
  <c r="C50"/>
  <c r="B3"/>
  <c r="D20" i="9"/>
  <c r="G20"/>
  <c r="R27" i="31"/>
  <c r="B27"/>
  <c r="S27"/>
  <c r="C28"/>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R525"/>
  <c r="S525"/>
  <c r="R526"/>
  <c r="S526"/>
  <c r="R527"/>
  <c r="S527"/>
  <c r="S25"/>
  <c r="C23"/>
  <c r="B23"/>
  <c r="B2"/>
  <c r="C33" i="57"/>
  <c r="H124"/>
  <c r="I103"/>
  <c r="F113"/>
  <c r="I113"/>
  <c r="I111"/>
  <c r="M50"/>
  <c r="D46"/>
  <c r="C65"/>
  <c r="C64"/>
  <c r="C68"/>
  <c r="D69"/>
  <c r="C69"/>
  <c r="D55"/>
  <c r="D49"/>
  <c r="M53"/>
  <c r="I56"/>
  <c r="D56"/>
  <c r="M54"/>
  <c r="C73"/>
  <c r="D79"/>
  <c r="C79"/>
  <c r="D78"/>
  <c r="C78"/>
  <c r="C75"/>
  <c r="C74"/>
  <c r="C80"/>
  <c r="C81"/>
  <c r="C82"/>
  <c r="D59"/>
  <c r="D57"/>
  <c r="M55"/>
  <c r="D60"/>
  <c r="M56"/>
  <c r="M57"/>
  <c r="N58"/>
  <c r="N60"/>
  <c r="I115"/>
  <c r="D132"/>
  <c r="C32" i="9"/>
  <c r="I121"/>
  <c r="H121"/>
  <c r="I102"/>
  <c r="I110"/>
  <c r="M49"/>
  <c r="D45"/>
  <c r="D53"/>
  <c r="C64"/>
  <c r="C63"/>
  <c r="C67"/>
  <c r="C68"/>
  <c r="D54"/>
  <c r="D48"/>
  <c r="M52"/>
  <c r="D55"/>
  <c r="M53"/>
  <c r="C85"/>
  <c r="C93"/>
  <c r="C86"/>
  <c r="C95"/>
  <c r="C96"/>
  <c r="C97"/>
  <c r="C72"/>
  <c r="C78"/>
  <c r="C73"/>
  <c r="C79"/>
  <c r="C80"/>
  <c r="C81"/>
  <c r="D58"/>
  <c r="D56"/>
  <c r="M54"/>
  <c r="D59"/>
  <c r="M55"/>
  <c r="N57"/>
  <c r="N59"/>
  <c r="I114"/>
  <c r="D129"/>
  <c r="I14" i="62"/>
  <c r="B8"/>
  <c r="A119" i="57"/>
  <c r="A116" i="9"/>
  <c r="A117" i="57"/>
  <c r="D109"/>
  <c r="D117"/>
  <c r="A114" i="9"/>
  <c r="A127"/>
  <c r="F114"/>
  <c r="B21" i="50"/>
  <c r="F112" i="9"/>
  <c r="B45" i="50"/>
  <c r="B59" i="60"/>
  <c r="D2" i="52"/>
  <c r="B60" i="60"/>
  <c r="B15" i="50"/>
  <c r="B36"/>
  <c r="B10"/>
  <c r="B31"/>
  <c r="C6"/>
  <c r="B18" i="60"/>
  <c r="A13" i="54"/>
  <c r="B51" i="60"/>
  <c r="B50"/>
  <c r="B47"/>
  <c r="B51" i="10"/>
  <c r="A15" i="55"/>
  <c r="B45" i="60"/>
  <c r="A14" i="55"/>
  <c r="B44" i="60"/>
  <c r="B43"/>
  <c r="C10" i="50"/>
  <c r="B24" i="60"/>
  <c r="C7" i="50"/>
  <c r="C21"/>
  <c r="C35"/>
  <c r="C34"/>
  <c r="C33"/>
  <c r="C12"/>
  <c r="C13"/>
  <c r="B13" i="60"/>
  <c r="C42" i="50"/>
  <c r="C36"/>
  <c r="C39"/>
  <c r="I19" i="43"/>
  <c r="A135" i="57"/>
  <c r="F118"/>
  <c r="D78" i="59"/>
  <c r="F77"/>
  <c r="E77"/>
  <c r="E76"/>
  <c r="E75"/>
  <c r="C77"/>
  <c r="D77"/>
  <c r="B77"/>
  <c r="B76"/>
  <c r="F76"/>
  <c r="F75"/>
  <c r="B75"/>
  <c r="D74"/>
  <c r="F73"/>
  <c r="F72"/>
  <c r="F71"/>
  <c r="E73"/>
  <c r="E72"/>
  <c r="E71"/>
  <c r="C73"/>
  <c r="B73"/>
  <c r="B72"/>
  <c r="B71"/>
  <c r="D70"/>
  <c r="Q69"/>
  <c r="P69"/>
  <c r="O69"/>
  <c r="N69"/>
  <c r="F69"/>
  <c r="V69"/>
  <c r="E69"/>
  <c r="U69"/>
  <c r="C69"/>
  <c r="T69"/>
  <c r="B69"/>
  <c r="S69"/>
  <c r="Q68"/>
  <c r="P68"/>
  <c r="O68"/>
  <c r="N68"/>
  <c r="F68"/>
  <c r="F67"/>
  <c r="Q67"/>
  <c r="P67"/>
  <c r="O67"/>
  <c r="N67"/>
  <c r="Q66"/>
  <c r="P66"/>
  <c r="O66"/>
  <c r="N66"/>
  <c r="D66"/>
  <c r="Q65"/>
  <c r="P65"/>
  <c r="O65"/>
  <c r="N65"/>
  <c r="F65"/>
  <c r="F64"/>
  <c r="E65"/>
  <c r="U65"/>
  <c r="C65"/>
  <c r="T65"/>
  <c r="B65"/>
  <c r="S65"/>
  <c r="Q64"/>
  <c r="P64"/>
  <c r="O64"/>
  <c r="N64"/>
  <c r="F63"/>
  <c r="B64"/>
  <c r="B63"/>
  <c r="Q63"/>
  <c r="P63"/>
  <c r="O63"/>
  <c r="N63"/>
  <c r="Q62"/>
  <c r="P62"/>
  <c r="O62"/>
  <c r="N62"/>
  <c r="D62"/>
  <c r="Q61"/>
  <c r="P61"/>
  <c r="O61"/>
  <c r="N61"/>
  <c r="F61"/>
  <c r="V61"/>
  <c r="E61"/>
  <c r="C61"/>
  <c r="B61"/>
  <c r="B60"/>
  <c r="B59"/>
  <c r="Q60"/>
  <c r="P60"/>
  <c r="O60"/>
  <c r="N60"/>
  <c r="Q59"/>
  <c r="P59"/>
  <c r="O59"/>
  <c r="N59"/>
  <c r="Q58"/>
  <c r="P58"/>
  <c r="O58"/>
  <c r="N58"/>
  <c r="D58"/>
  <c r="F57"/>
  <c r="V57"/>
  <c r="E57"/>
  <c r="U57"/>
  <c r="C57"/>
  <c r="C56"/>
  <c r="B57"/>
  <c r="S57"/>
  <c r="F56"/>
  <c r="F55"/>
  <c r="Q55"/>
  <c r="B56"/>
  <c r="N56"/>
  <c r="D54"/>
  <c r="Q53"/>
  <c r="P53"/>
  <c r="O53"/>
  <c r="N53"/>
  <c r="Q52"/>
  <c r="P52"/>
  <c r="O52"/>
  <c r="N52"/>
  <c r="Q51"/>
  <c r="P51"/>
  <c r="O51"/>
  <c r="N51"/>
  <c r="Q50"/>
  <c r="F51"/>
  <c r="F52"/>
  <c r="F53"/>
  <c r="V53"/>
  <c r="P50"/>
  <c r="E51"/>
  <c r="E52"/>
  <c r="E53"/>
  <c r="U53"/>
  <c r="O50"/>
  <c r="C51"/>
  <c r="N50"/>
  <c r="B51"/>
  <c r="B52"/>
  <c r="B53"/>
  <c r="S53"/>
  <c r="D50"/>
  <c r="Q49"/>
  <c r="P49"/>
  <c r="O49"/>
  <c r="N49"/>
  <c r="Q48"/>
  <c r="P48"/>
  <c r="O48"/>
  <c r="N48"/>
  <c r="F48"/>
  <c r="F49"/>
  <c r="V49"/>
  <c r="Q47"/>
  <c r="P47"/>
  <c r="O47"/>
  <c r="N47"/>
  <c r="Q46"/>
  <c r="F47"/>
  <c r="P46"/>
  <c r="E47"/>
  <c r="O46"/>
  <c r="C47"/>
  <c r="D47"/>
  <c r="N46"/>
  <c r="B47"/>
  <c r="B48"/>
  <c r="B49"/>
  <c r="S49"/>
  <c r="D46"/>
  <c r="Q45"/>
  <c r="P45"/>
  <c r="O45"/>
  <c r="N45"/>
  <c r="Q44"/>
  <c r="P44"/>
  <c r="O44"/>
  <c r="N44"/>
  <c r="Q43"/>
  <c r="P43"/>
  <c r="O43"/>
  <c r="N43"/>
  <c r="Q42"/>
  <c r="F43"/>
  <c r="F44"/>
  <c r="F45"/>
  <c r="V45"/>
  <c r="P42"/>
  <c r="E43"/>
  <c r="E44"/>
  <c r="E45"/>
  <c r="U45"/>
  <c r="O42"/>
  <c r="C43"/>
  <c r="N42"/>
  <c r="B43"/>
  <c r="B44"/>
  <c r="B45"/>
  <c r="S45"/>
  <c r="D42"/>
  <c r="Q41"/>
  <c r="P41"/>
  <c r="O41"/>
  <c r="N41"/>
  <c r="Q40"/>
  <c r="P40"/>
  <c r="O40"/>
  <c r="N40"/>
  <c r="Q39"/>
  <c r="P39"/>
  <c r="O39"/>
  <c r="N39"/>
  <c r="B40"/>
  <c r="B41"/>
  <c r="S41"/>
  <c r="Q38"/>
  <c r="F39"/>
  <c r="F40"/>
  <c r="F41"/>
  <c r="V41"/>
  <c r="P38"/>
  <c r="E39"/>
  <c r="E40"/>
  <c r="E41"/>
  <c r="U41"/>
  <c r="O38"/>
  <c r="C39"/>
  <c r="N38"/>
  <c r="B39"/>
  <c r="D38"/>
  <c r="T37"/>
  <c r="Q37"/>
  <c r="P37"/>
  <c r="O37"/>
  <c r="N37"/>
  <c r="D37"/>
  <c r="Q36"/>
  <c r="P36"/>
  <c r="O36"/>
  <c r="N36"/>
  <c r="Q35"/>
  <c r="P35"/>
  <c r="O35"/>
  <c r="N35"/>
  <c r="Q34"/>
  <c r="F35"/>
  <c r="F36"/>
  <c r="F37"/>
  <c r="V37"/>
  <c r="P34"/>
  <c r="E35"/>
  <c r="E36"/>
  <c r="E37"/>
  <c r="U37"/>
  <c r="O34"/>
  <c r="C35"/>
  <c r="N34"/>
  <c r="B35"/>
  <c r="D34"/>
  <c r="Q33"/>
  <c r="P33"/>
  <c r="O33"/>
  <c r="N33"/>
  <c r="Q32"/>
  <c r="P32"/>
  <c r="O32"/>
  <c r="N32"/>
  <c r="Q31"/>
  <c r="P31"/>
  <c r="O31"/>
  <c r="N31"/>
  <c r="Q30"/>
  <c r="F31"/>
  <c r="F32"/>
  <c r="F33"/>
  <c r="V33"/>
  <c r="P30"/>
  <c r="E31"/>
  <c r="E32"/>
  <c r="E33"/>
  <c r="U33"/>
  <c r="O30"/>
  <c r="C31"/>
  <c r="C32"/>
  <c r="N30"/>
  <c r="B31"/>
  <c r="D30"/>
  <c r="Q29"/>
  <c r="P29"/>
  <c r="O29"/>
  <c r="N29"/>
  <c r="Q28"/>
  <c r="AB28"/>
  <c r="P28"/>
  <c r="AA28"/>
  <c r="O28"/>
  <c r="Y28"/>
  <c r="Z28"/>
  <c r="N28"/>
  <c r="Q27"/>
  <c r="P27"/>
  <c r="O27"/>
  <c r="N27"/>
  <c r="Q26"/>
  <c r="F27"/>
  <c r="F28"/>
  <c r="P26"/>
  <c r="E27"/>
  <c r="O26"/>
  <c r="N26"/>
  <c r="D26"/>
  <c r="Q25"/>
  <c r="P25"/>
  <c r="O25"/>
  <c r="N25"/>
  <c r="Q24"/>
  <c r="AB24"/>
  <c r="P24"/>
  <c r="O24"/>
  <c r="N24"/>
  <c r="Q23"/>
  <c r="P23"/>
  <c r="O23"/>
  <c r="N23"/>
  <c r="Q22"/>
  <c r="P22"/>
  <c r="E23"/>
  <c r="E24"/>
  <c r="E25"/>
  <c r="U25"/>
  <c r="O22"/>
  <c r="Y22"/>
  <c r="Z22"/>
  <c r="N22"/>
  <c r="D22"/>
  <c r="Q21"/>
  <c r="P21"/>
  <c r="O21"/>
  <c r="N21"/>
  <c r="Q20"/>
  <c r="P20"/>
  <c r="O20"/>
  <c r="N20"/>
  <c r="Q19"/>
  <c r="P19"/>
  <c r="O19"/>
  <c r="N19"/>
  <c r="Q18"/>
  <c r="F19"/>
  <c r="F20"/>
  <c r="F21"/>
  <c r="V21"/>
  <c r="P18"/>
  <c r="O18"/>
  <c r="N18"/>
  <c r="B19"/>
  <c r="D18"/>
  <c r="O17"/>
  <c r="N17"/>
  <c r="C17"/>
  <c r="B17"/>
  <c r="D31"/>
  <c r="P17"/>
  <c r="U61"/>
  <c r="E60"/>
  <c r="E59"/>
  <c r="Q17"/>
  <c r="D43"/>
  <c r="B55"/>
  <c r="N54"/>
  <c r="O57"/>
  <c r="Q57"/>
  <c r="E64"/>
  <c r="E63"/>
  <c r="C68"/>
  <c r="C67"/>
  <c r="D67"/>
  <c r="D69"/>
  <c r="F17"/>
  <c r="V17"/>
  <c r="E17"/>
  <c r="U17"/>
  <c r="C16"/>
  <c r="D68"/>
  <c r="O56"/>
  <c r="N55"/>
  <c r="F16"/>
  <c r="F15"/>
  <c r="Q25" i="40"/>
  <c r="Z25"/>
  <c r="E94"/>
  <c r="F94"/>
  <c r="D94"/>
  <c r="H25"/>
  <c r="U25"/>
  <c r="F25"/>
  <c r="AA25"/>
  <c r="Q27" i="39"/>
  <c r="Z27"/>
  <c r="D101"/>
  <c r="E101"/>
  <c r="F101"/>
  <c r="G101"/>
  <c r="Z18" i="36"/>
  <c r="Q18"/>
  <c r="F18"/>
  <c r="AA18"/>
  <c r="C18"/>
  <c r="D66"/>
  <c r="E66"/>
  <c r="F66"/>
  <c r="G66"/>
  <c r="Q18" i="35"/>
  <c r="Z18"/>
  <c r="D68"/>
  <c r="E68"/>
  <c r="F68"/>
  <c r="G68"/>
  <c r="J18"/>
  <c r="AC18"/>
  <c r="H18"/>
  <c r="AB18"/>
  <c r="F18"/>
  <c r="C18"/>
  <c r="Z21" i="37"/>
  <c r="Q21"/>
  <c r="D77"/>
  <c r="E77"/>
  <c r="F77"/>
  <c r="G77"/>
  <c r="H21"/>
  <c r="AB21"/>
  <c r="F21"/>
  <c r="AA21"/>
  <c r="C21"/>
  <c r="Z21" i="34"/>
  <c r="Q21"/>
  <c r="D84"/>
  <c r="E84"/>
  <c r="F84"/>
  <c r="G84"/>
  <c r="F21"/>
  <c r="S21"/>
  <c r="C21"/>
  <c r="Q21" i="33"/>
  <c r="Z21"/>
  <c r="D83"/>
  <c r="E83"/>
  <c r="F83"/>
  <c r="H21"/>
  <c r="U21"/>
  <c r="AB21"/>
  <c r="F21"/>
  <c r="C21"/>
  <c r="Q21" i="21"/>
  <c r="Z21"/>
  <c r="D83"/>
  <c r="E83"/>
  <c r="F21"/>
  <c r="AA21"/>
  <c r="C21"/>
  <c r="G20" i="20"/>
  <c r="B86" i="43"/>
  <c r="C22" i="20"/>
  <c r="B66" i="43"/>
  <c r="S18" i="36"/>
  <c r="S21" i="37"/>
  <c r="G94" i="40"/>
  <c r="J25"/>
  <c r="J27" i="39"/>
  <c r="H27"/>
  <c r="F27"/>
  <c r="H18" i="36"/>
  <c r="J18"/>
  <c r="J21" i="37"/>
  <c r="H21" i="34"/>
  <c r="AB21"/>
  <c r="G83" i="33"/>
  <c r="J21"/>
  <c r="F83" i="21"/>
  <c r="H21"/>
  <c r="F52" i="15"/>
  <c r="D23"/>
  <c r="C21"/>
  <c r="F33"/>
  <c r="F62"/>
  <c r="F65"/>
  <c r="F66"/>
  <c r="F67"/>
  <c r="M6"/>
  <c r="M8"/>
  <c r="M9"/>
  <c r="G58" i="40"/>
  <c r="C58"/>
  <c r="M19" i="15"/>
  <c r="M24"/>
  <c r="M22"/>
  <c r="J15"/>
  <c r="M23"/>
  <c r="C2" i="11"/>
  <c r="F2"/>
  <c r="C7" i="12"/>
  <c r="C8"/>
  <c r="C4"/>
  <c r="D20"/>
  <c r="D19"/>
  <c r="D17"/>
  <c r="D14"/>
  <c r="C2"/>
  <c r="B24" i="1"/>
  <c r="F11" i="12"/>
  <c r="F28"/>
  <c r="I1" i="4"/>
  <c r="F101" i="9"/>
  <c r="B1" i="4"/>
  <c r="B9" i="49"/>
  <c r="B2" i="60"/>
  <c r="C31" i="58"/>
  <c r="C27"/>
  <c r="C30"/>
  <c r="I23"/>
  <c r="D20"/>
  <c r="I19"/>
  <c r="I18"/>
  <c r="I17"/>
  <c r="E15"/>
  <c r="I14"/>
  <c r="I13"/>
  <c r="I12"/>
  <c r="I9"/>
  <c r="I8"/>
  <c r="I7"/>
  <c r="I6"/>
  <c r="I5"/>
  <c r="I4"/>
  <c r="I3"/>
  <c r="G57" i="40"/>
  <c r="C57"/>
  <c r="G56"/>
  <c r="C56"/>
  <c r="D1" i="43"/>
  <c r="F113"/>
  <c r="N99"/>
  <c r="N100"/>
  <c r="N108"/>
  <c r="M99"/>
  <c r="M108"/>
  <c r="L99"/>
  <c r="K99"/>
  <c r="K108"/>
  <c r="J99"/>
  <c r="J108"/>
  <c r="I99"/>
  <c r="I108"/>
  <c r="H99"/>
  <c r="H108"/>
  <c r="G99"/>
  <c r="F99"/>
  <c r="F100"/>
  <c r="F108"/>
  <c r="E99"/>
  <c r="E108"/>
  <c r="D99"/>
  <c r="C99"/>
  <c r="E100"/>
  <c r="K100"/>
  <c r="M100"/>
  <c r="H100"/>
  <c r="J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D3" i="34"/>
  <c r="B25" i="3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X27" i="31"/>
  <c r="Y27"/>
  <c r="V27"/>
  <c r="U27"/>
  <c r="U25"/>
  <c r="C35" i="57"/>
  <c r="D124"/>
  <c r="D114"/>
  <c r="D113"/>
  <c r="D112"/>
  <c r="I109"/>
  <c r="I108"/>
  <c r="I107"/>
  <c r="D101"/>
  <c r="C101"/>
  <c r="C92"/>
  <c r="E91"/>
  <c r="D90"/>
  <c r="C90"/>
  <c r="C88"/>
  <c r="H78"/>
  <c r="F60"/>
  <c r="O56"/>
  <c r="E60"/>
  <c r="N56"/>
  <c r="F57"/>
  <c r="K56"/>
  <c r="F56"/>
  <c r="O54"/>
  <c r="O55"/>
  <c r="N55"/>
  <c r="N54"/>
  <c r="E49"/>
  <c r="N53"/>
  <c r="D27"/>
  <c r="C24"/>
  <c r="H19"/>
  <c r="A134"/>
  <c r="D17"/>
  <c r="C17"/>
  <c r="L4"/>
  <c r="K4"/>
  <c r="B32" i="9"/>
  <c r="D32"/>
  <c r="C2" i="36"/>
  <c r="F2"/>
  <c r="C2" i="35"/>
  <c r="F2"/>
  <c r="C2" i="37"/>
  <c r="F2"/>
  <c r="C2" i="34"/>
  <c r="C2" i="33"/>
  <c r="C2" i="21"/>
  <c r="C2" i="15"/>
  <c r="P73"/>
  <c r="H19" i="9"/>
  <c r="C108"/>
  <c r="C111"/>
  <c r="H108"/>
  <c r="C91"/>
  <c r="I30" i="31"/>
  <c r="C145" i="21"/>
  <c r="K139"/>
  <c r="J142"/>
  <c r="J140"/>
  <c r="E87"/>
  <c r="F87"/>
  <c r="G87"/>
  <c r="H87"/>
  <c r="I87"/>
  <c r="J87"/>
  <c r="K87"/>
  <c r="L87"/>
  <c r="M87"/>
  <c r="D87"/>
  <c r="T31" i="31"/>
  <c r="T33"/>
  <c r="T35"/>
  <c r="T37"/>
  <c r="T39"/>
  <c r="T41"/>
  <c r="T42"/>
  <c r="T43"/>
  <c r="T45"/>
  <c r="T46"/>
  <c r="T47"/>
  <c r="T48"/>
  <c r="T50"/>
  <c r="T51"/>
  <c r="T53"/>
  <c r="T55"/>
  <c r="T58"/>
  <c r="T60"/>
  <c r="T62"/>
  <c r="T64"/>
  <c r="T65"/>
  <c r="T66"/>
  <c r="T67"/>
  <c r="T68"/>
  <c r="T70"/>
  <c r="T72"/>
  <c r="T74"/>
  <c r="T75"/>
  <c r="T79"/>
  <c r="T82"/>
  <c r="T84"/>
  <c r="T85"/>
  <c r="T86"/>
  <c r="T87"/>
  <c r="T88"/>
  <c r="T89"/>
  <c r="T90"/>
  <c r="T91"/>
  <c r="T92"/>
  <c r="T94"/>
  <c r="T96"/>
  <c r="T98"/>
  <c r="T100"/>
  <c r="T102"/>
  <c r="T103"/>
  <c r="T104"/>
  <c r="T105"/>
  <c r="T106"/>
  <c r="T107"/>
  <c r="T108"/>
  <c r="T109"/>
  <c r="T110"/>
  <c r="T112"/>
  <c r="T114"/>
  <c r="T115"/>
  <c r="T116"/>
  <c r="T117"/>
  <c r="T120"/>
  <c r="T122"/>
  <c r="T123"/>
  <c r="T124"/>
  <c r="T125"/>
  <c r="T126"/>
  <c r="T128"/>
  <c r="T130"/>
  <c r="T132"/>
  <c r="T134"/>
  <c r="T135"/>
  <c r="T137"/>
  <c r="T138"/>
  <c r="T139"/>
  <c r="T140"/>
  <c r="T141"/>
  <c r="T142"/>
  <c r="T146"/>
  <c r="T148"/>
  <c r="T150"/>
  <c r="T151"/>
  <c r="T153"/>
  <c r="T155"/>
  <c r="T156"/>
  <c r="T157"/>
  <c r="T158"/>
  <c r="T160"/>
  <c r="T162"/>
  <c r="T164"/>
  <c r="T166"/>
  <c r="T167"/>
  <c r="T169"/>
  <c r="T170"/>
  <c r="T171"/>
  <c r="T172"/>
  <c r="T173"/>
  <c r="T174"/>
  <c r="T178"/>
  <c r="T180"/>
  <c r="T182"/>
  <c r="T183"/>
  <c r="T185"/>
  <c r="T187"/>
  <c r="T188"/>
  <c r="T189"/>
  <c r="T190"/>
  <c r="T192"/>
  <c r="T194"/>
  <c r="T196"/>
  <c r="T198"/>
  <c r="T199"/>
  <c r="T201"/>
  <c r="T202"/>
  <c r="T203"/>
  <c r="T204"/>
  <c r="T205"/>
  <c r="T206"/>
  <c r="T210"/>
  <c r="T212"/>
  <c r="T214"/>
  <c r="T215"/>
  <c r="T217"/>
  <c r="T218"/>
  <c r="T219"/>
  <c r="T220"/>
  <c r="T221"/>
  <c r="T222"/>
  <c r="T224"/>
  <c r="T226"/>
  <c r="T227"/>
  <c r="T228"/>
  <c r="T230"/>
  <c r="T231"/>
  <c r="T232"/>
  <c r="T234"/>
  <c r="T235"/>
  <c r="T236"/>
  <c r="T239"/>
  <c r="T242"/>
  <c r="T243"/>
  <c r="T244"/>
  <c r="T246"/>
  <c r="T247"/>
  <c r="T250"/>
  <c r="T251"/>
  <c r="T252"/>
  <c r="T254"/>
  <c r="T255"/>
  <c r="T256"/>
  <c r="T258"/>
  <c r="T260"/>
  <c r="T262"/>
  <c r="T264"/>
  <c r="T265"/>
  <c r="T266"/>
  <c r="T268"/>
  <c r="T270"/>
  <c r="T272"/>
  <c r="T273"/>
  <c r="T274"/>
  <c r="T277"/>
  <c r="T278"/>
  <c r="T280"/>
  <c r="T282"/>
  <c r="T284"/>
  <c r="T288"/>
  <c r="T292"/>
  <c r="T296"/>
  <c r="T298"/>
  <c r="T300"/>
  <c r="T301"/>
  <c r="T302"/>
  <c r="T303"/>
  <c r="T304"/>
  <c r="T306"/>
  <c r="T309"/>
  <c r="T310"/>
  <c r="T312"/>
  <c r="T316"/>
  <c r="T320"/>
  <c r="T322"/>
  <c r="T325"/>
  <c r="T326"/>
  <c r="T327"/>
  <c r="T328"/>
  <c r="T330"/>
  <c r="T331"/>
  <c r="T332"/>
  <c r="T333"/>
  <c r="T334"/>
  <c r="T335"/>
  <c r="T336"/>
  <c r="T337"/>
  <c r="T339"/>
  <c r="T340"/>
  <c r="T341"/>
  <c r="T342"/>
  <c r="T343"/>
  <c r="T345"/>
  <c r="T346"/>
  <c r="T347"/>
  <c r="T350"/>
  <c r="T351"/>
  <c r="T352"/>
  <c r="T353"/>
  <c r="T354"/>
  <c r="T355"/>
  <c r="T357"/>
  <c r="T358"/>
  <c r="T359"/>
  <c r="T360"/>
  <c r="T361"/>
  <c r="T362"/>
  <c r="T363"/>
  <c r="T364"/>
  <c r="T365"/>
  <c r="T366"/>
  <c r="T367"/>
  <c r="T368"/>
  <c r="T369"/>
  <c r="T371"/>
  <c r="T372"/>
  <c r="T373"/>
  <c r="T374"/>
  <c r="T375"/>
  <c r="T376"/>
  <c r="T377"/>
  <c r="T378"/>
  <c r="T379"/>
  <c r="T382"/>
  <c r="T383"/>
  <c r="T385"/>
  <c r="T386"/>
  <c r="T387"/>
  <c r="T388"/>
  <c r="T389"/>
  <c r="T390"/>
  <c r="T391"/>
  <c r="T392"/>
  <c r="T394"/>
  <c r="T395"/>
  <c r="T396"/>
  <c r="T397"/>
  <c r="T398"/>
  <c r="T399"/>
  <c r="T400"/>
  <c r="T401"/>
  <c r="T403"/>
  <c r="T404"/>
  <c r="T405"/>
  <c r="T406"/>
  <c r="T407"/>
  <c r="T408"/>
  <c r="T409"/>
  <c r="T410"/>
  <c r="T411"/>
  <c r="T412"/>
  <c r="T414"/>
  <c r="T415"/>
  <c r="T416"/>
  <c r="T417"/>
  <c r="T418"/>
  <c r="T419"/>
  <c r="T421"/>
  <c r="T422"/>
  <c r="T423"/>
  <c r="T424"/>
  <c r="T425"/>
  <c r="T426"/>
  <c r="T427"/>
  <c r="T428"/>
  <c r="T430"/>
  <c r="T431"/>
  <c r="T433"/>
  <c r="T435"/>
  <c r="T436"/>
  <c r="T437"/>
  <c r="T438"/>
  <c r="T440"/>
  <c r="T441"/>
  <c r="T444"/>
  <c r="T445"/>
  <c r="T446"/>
  <c r="T447"/>
  <c r="T450"/>
  <c r="T451"/>
  <c r="T452"/>
  <c r="T453"/>
  <c r="T455"/>
  <c r="T456"/>
  <c r="T457"/>
  <c r="T458"/>
  <c r="T459"/>
  <c r="T461"/>
  <c r="T463"/>
  <c r="T464"/>
  <c r="T465"/>
  <c r="T468"/>
  <c r="T469"/>
  <c r="T470"/>
  <c r="T471"/>
  <c r="T472"/>
  <c r="T473"/>
  <c r="T476"/>
  <c r="T479"/>
  <c r="T481"/>
  <c r="T483"/>
  <c r="T484"/>
  <c r="T485"/>
  <c r="T487"/>
  <c r="T488"/>
  <c r="T491"/>
  <c r="T495"/>
  <c r="T496"/>
  <c r="T497"/>
  <c r="T499"/>
  <c r="T500"/>
  <c r="T501"/>
  <c r="T502"/>
  <c r="T503"/>
  <c r="T505"/>
  <c r="T506"/>
  <c r="T507"/>
  <c r="T508"/>
  <c r="T509"/>
  <c r="T510"/>
  <c r="T512"/>
  <c r="T515"/>
  <c r="T516"/>
  <c r="T517"/>
  <c r="T518"/>
  <c r="T520"/>
  <c r="T521"/>
  <c r="T522"/>
  <c r="T524"/>
  <c r="T525"/>
  <c r="T526"/>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c r="A4" i="55"/>
  <c r="B52" i="60"/>
  <c r="C8" i="11"/>
  <c r="H23" i="48"/>
  <c r="H24"/>
  <c r="D24"/>
  <c r="D21"/>
  <c r="B21" i="49"/>
  <c r="B5" i="60"/>
  <c r="B12" i="49"/>
  <c r="B3" i="60"/>
  <c r="I2" i="43"/>
  <c r="H6" i="44"/>
  <c r="G2" i="43"/>
  <c r="H17"/>
  <c r="E30" i="4"/>
  <c r="C7"/>
  <c r="G3" i="43"/>
  <c r="C121" i="9"/>
  <c r="C4" i="52"/>
  <c r="B36" i="60"/>
  <c r="B121" i="9"/>
  <c r="B4" i="52"/>
  <c r="A40" i="1"/>
  <c r="A39"/>
  <c r="A38"/>
  <c r="A37"/>
  <c r="A36"/>
  <c r="A29"/>
  <c r="A34"/>
  <c r="D111" i="9"/>
  <c r="I108"/>
  <c r="D110"/>
  <c r="I107"/>
  <c r="D109"/>
  <c r="I106"/>
  <c r="I105"/>
  <c r="H101"/>
  <c r="J35" i="15"/>
  <c r="Q69"/>
  <c r="F27" i="11"/>
  <c r="F36"/>
  <c r="M28" i="15"/>
  <c r="M26"/>
  <c r="F69"/>
  <c r="G55" i="40"/>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I4"/>
  <c r="J4"/>
  <c r="D4"/>
  <c r="B5"/>
  <c r="B12"/>
  <c r="B10"/>
  <c r="B8"/>
  <c r="B6"/>
  <c r="B4"/>
  <c r="B40"/>
  <c r="B39"/>
  <c r="B38"/>
  <c r="B37"/>
  <c r="B33"/>
  <c r="B30"/>
  <c r="B29"/>
  <c r="B19"/>
  <c r="B28"/>
  <c r="B27"/>
  <c r="B26"/>
  <c r="B23"/>
  <c r="B21"/>
  <c r="B17"/>
  <c r="B16"/>
  <c r="B15"/>
  <c r="A12" i="43"/>
  <c r="A16"/>
  <c r="J20"/>
  <c r="F33"/>
  <c r="C18"/>
  <c r="F15"/>
  <c r="E15"/>
  <c r="D15"/>
  <c r="C15"/>
  <c r="C10"/>
  <c r="C11"/>
  <c r="C9"/>
  <c r="A7"/>
  <c r="E31" i="1"/>
  <c r="E29"/>
  <c r="G1" i="15"/>
  <c r="F35" i="11"/>
  <c r="F38"/>
  <c r="E37"/>
  <c r="F20"/>
  <c r="F21"/>
  <c r="C40"/>
  <c r="F7"/>
  <c r="C7"/>
  <c r="F12" i="12"/>
  <c r="F13"/>
  <c r="F15"/>
  <c r="E14"/>
  <c r="E19"/>
  <c r="E20"/>
  <c r="E17"/>
  <c r="F22"/>
  <c r="F23"/>
  <c r="F24"/>
  <c r="C17" i="9"/>
  <c r="D17"/>
  <c r="I55"/>
  <c r="F55"/>
  <c r="O53"/>
  <c r="D89"/>
  <c r="C89"/>
  <c r="C87"/>
  <c r="E15" i="1"/>
  <c r="E19" i="1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c r="F15"/>
  <c r="G15"/>
  <c r="H15"/>
  <c r="I15"/>
  <c r="J15"/>
  <c r="K15"/>
  <c r="L15"/>
  <c r="M15"/>
  <c r="N15"/>
  <c r="O15"/>
  <c r="P15"/>
  <c r="Q15"/>
  <c r="R15"/>
  <c r="S15"/>
  <c r="K28"/>
  <c r="D13"/>
  <c r="E13"/>
  <c r="F13"/>
  <c r="G13"/>
  <c r="H13"/>
  <c r="I13"/>
  <c r="J13"/>
  <c r="K13"/>
  <c r="L13"/>
  <c r="M13"/>
  <c r="N13"/>
  <c r="O13"/>
  <c r="P13"/>
  <c r="Q13"/>
  <c r="R13"/>
  <c r="S13"/>
  <c r="D11"/>
  <c r="E11"/>
  <c r="G38"/>
  <c r="E28"/>
  <c r="L5"/>
  <c r="K5"/>
  <c r="J5"/>
  <c r="I5"/>
  <c r="H5"/>
  <c r="G5"/>
  <c r="F5"/>
  <c r="E5"/>
  <c r="D5"/>
  <c r="C5"/>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S31"/>
  <c r="D87"/>
  <c r="E87"/>
  <c r="F87"/>
  <c r="G87"/>
  <c r="H87"/>
  <c r="I87"/>
  <c r="J87"/>
  <c r="K87"/>
  <c r="L87"/>
  <c r="M87"/>
  <c r="H29"/>
  <c r="H34" i="37"/>
  <c r="D101"/>
  <c r="E101"/>
  <c r="F34"/>
  <c r="AA34"/>
  <c r="D99"/>
  <c r="E99"/>
  <c r="F99"/>
  <c r="G99"/>
  <c r="U42" i="34"/>
  <c r="W42"/>
  <c r="S42"/>
  <c r="J38"/>
  <c r="AC38"/>
  <c r="D114"/>
  <c r="D112"/>
  <c r="E112"/>
  <c r="F112"/>
  <c r="G112"/>
  <c r="H112"/>
  <c r="I112"/>
  <c r="J112"/>
  <c r="K112"/>
  <c r="L112"/>
  <c r="M112"/>
  <c r="F40" i="33"/>
  <c r="J41"/>
  <c r="W41"/>
  <c r="D113"/>
  <c r="F37"/>
  <c r="S37"/>
  <c r="D111"/>
  <c r="E111"/>
  <c r="F111"/>
  <c r="G111"/>
  <c r="H111"/>
  <c r="I111"/>
  <c r="J111"/>
  <c r="K111"/>
  <c r="L111"/>
  <c r="M111"/>
  <c r="F41" i="21"/>
  <c r="S4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B101"/>
  <c r="J31"/>
  <c r="AC31"/>
  <c r="D100"/>
  <c r="E100"/>
  <c r="F100"/>
  <c r="G100"/>
  <c r="H100"/>
  <c r="I100"/>
  <c r="J100"/>
  <c r="K100"/>
  <c r="L100"/>
  <c r="M100"/>
  <c r="D98"/>
  <c r="E98"/>
  <c r="D96"/>
  <c r="E96"/>
  <c r="B95"/>
  <c r="J27"/>
  <c r="D92"/>
  <c r="E92"/>
  <c r="F92"/>
  <c r="G92"/>
  <c r="D90"/>
  <c r="E90"/>
  <c r="D88"/>
  <c r="E88"/>
  <c r="F88"/>
  <c r="G88"/>
  <c r="D86"/>
  <c r="E86"/>
  <c r="F86"/>
  <c r="G86"/>
  <c r="D84"/>
  <c r="E84"/>
  <c r="B81"/>
  <c r="B79"/>
  <c r="B77"/>
  <c r="M74"/>
  <c r="L74"/>
  <c r="K74"/>
  <c r="J74"/>
  <c r="I74"/>
  <c r="H74"/>
  <c r="G74"/>
  <c r="F74"/>
  <c r="E74"/>
  <c r="D74"/>
  <c r="C74"/>
  <c r="P43"/>
  <c r="P42"/>
  <c r="V41"/>
  <c r="T41"/>
  <c r="R41"/>
  <c r="P41"/>
  <c r="Q40"/>
  <c r="Z40"/>
  <c r="Q39"/>
  <c r="Z39"/>
  <c r="J39"/>
  <c r="AC39"/>
  <c r="H39"/>
  <c r="U39"/>
  <c r="F39"/>
  <c r="S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c r="I124"/>
  <c r="J124"/>
  <c r="K124"/>
  <c r="L124"/>
  <c r="M124"/>
  <c r="D120"/>
  <c r="E120"/>
  <c r="F120"/>
  <c r="G120"/>
  <c r="H120"/>
  <c r="I120"/>
  <c r="J120"/>
  <c r="K120"/>
  <c r="L120"/>
  <c r="M120"/>
  <c r="B114"/>
  <c r="J37"/>
  <c r="W37"/>
  <c r="D109"/>
  <c r="E109"/>
  <c r="F109"/>
  <c r="G109"/>
  <c r="H109"/>
  <c r="I109"/>
  <c r="J109"/>
  <c r="K109"/>
  <c r="F34"/>
  <c r="AA34"/>
  <c r="D107"/>
  <c r="E107"/>
  <c r="F107"/>
  <c r="G107"/>
  <c r="H107"/>
  <c r="I107"/>
  <c r="J107"/>
  <c r="K107"/>
  <c r="L107"/>
  <c r="M107"/>
  <c r="D105"/>
  <c r="E105"/>
  <c r="F105"/>
  <c r="G105"/>
  <c r="H105"/>
  <c r="I105"/>
  <c r="J105"/>
  <c r="K105"/>
  <c r="L105"/>
  <c r="M105"/>
  <c r="D103"/>
  <c r="E103"/>
  <c r="F103"/>
  <c r="D99"/>
  <c r="E99"/>
  <c r="F99"/>
  <c r="G99"/>
  <c r="Q39"/>
  <c r="Z39"/>
  <c r="Q40"/>
  <c r="Z40"/>
  <c r="Q41"/>
  <c r="Z41"/>
  <c r="Q42"/>
  <c r="Z42"/>
  <c r="Q43"/>
  <c r="Z43"/>
  <c r="Q44"/>
  <c r="Z44"/>
  <c r="Q45"/>
  <c r="Z45"/>
  <c r="Q38"/>
  <c r="Z38"/>
  <c r="Q36"/>
  <c r="Z36"/>
  <c r="Q37"/>
  <c r="Z37"/>
  <c r="M116"/>
  <c r="L116"/>
  <c r="K116"/>
  <c r="J116"/>
  <c r="I116"/>
  <c r="H116"/>
  <c r="G116"/>
  <c r="F116"/>
  <c r="E116"/>
  <c r="D116"/>
  <c r="C116"/>
  <c r="B131"/>
  <c r="F45"/>
  <c r="B129"/>
  <c r="H44"/>
  <c r="B127"/>
  <c r="J43"/>
  <c r="AC43"/>
  <c r="D126"/>
  <c r="E126"/>
  <c r="F126"/>
  <c r="G126"/>
  <c r="H126"/>
  <c r="I126"/>
  <c r="J126"/>
  <c r="K126"/>
  <c r="L126"/>
  <c r="M126"/>
  <c r="D122"/>
  <c r="E122"/>
  <c r="F122"/>
  <c r="G122"/>
  <c r="H122"/>
  <c r="I122"/>
  <c r="J122"/>
  <c r="K122"/>
  <c r="L122"/>
  <c r="M122"/>
  <c r="B104"/>
  <c r="D97"/>
  <c r="D95"/>
  <c r="E95"/>
  <c r="F95"/>
  <c r="G95"/>
  <c r="J21"/>
  <c r="D93"/>
  <c r="E93"/>
  <c r="F93"/>
  <c r="G93"/>
  <c r="D91"/>
  <c r="E91"/>
  <c r="F91"/>
  <c r="G91"/>
  <c r="D89"/>
  <c r="E89"/>
  <c r="F89"/>
  <c r="G89"/>
  <c r="B86"/>
  <c r="F14"/>
  <c r="AA14"/>
  <c r="B84"/>
  <c r="B82"/>
  <c r="H12"/>
  <c r="M79"/>
  <c r="L79"/>
  <c r="K79"/>
  <c r="J79"/>
  <c r="I79"/>
  <c r="H79"/>
  <c r="G79"/>
  <c r="F79"/>
  <c r="E79"/>
  <c r="D79"/>
  <c r="C79"/>
  <c r="P48"/>
  <c r="P47"/>
  <c r="V46"/>
  <c r="T46"/>
  <c r="R46"/>
  <c r="P46"/>
  <c r="F44"/>
  <c r="J40"/>
  <c r="AC40"/>
  <c r="F40"/>
  <c r="AA40"/>
  <c r="J39"/>
  <c r="AC39"/>
  <c r="F39"/>
  <c r="AA39"/>
  <c r="Q35"/>
  <c r="Z35"/>
  <c r="Q34"/>
  <c r="Z34"/>
  <c r="Q32"/>
  <c r="Z32"/>
  <c r="Q31"/>
  <c r="Z31"/>
  <c r="Q29"/>
  <c r="Z29"/>
  <c r="Q25"/>
  <c r="Z25"/>
  <c r="Q23"/>
  <c r="Z23"/>
  <c r="Q21"/>
  <c r="Z21"/>
  <c r="Q19"/>
  <c r="Z19"/>
  <c r="Q17"/>
  <c r="Z17"/>
  <c r="Q15"/>
  <c r="Z15"/>
  <c r="Q14"/>
  <c r="Z14"/>
  <c r="Q13"/>
  <c r="Z13"/>
  <c r="Q12"/>
  <c r="Z12"/>
  <c r="Q11"/>
  <c r="Z11"/>
  <c r="Q10"/>
  <c r="Z10"/>
  <c r="Q9"/>
  <c r="Z9"/>
  <c r="J9"/>
  <c r="AC9"/>
  <c r="H9"/>
  <c r="AB9"/>
  <c r="F9"/>
  <c r="J8"/>
  <c r="AC8"/>
  <c r="H8"/>
  <c r="F8"/>
  <c r="AA8"/>
  <c r="C20" i="36"/>
  <c r="C20" i="35"/>
  <c r="C16" i="36"/>
  <c r="C16" i="35"/>
  <c r="C14" i="36"/>
  <c r="C14" i="35"/>
  <c r="B80" i="37"/>
  <c r="F25"/>
  <c r="H25"/>
  <c r="B110"/>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H26"/>
  <c r="D79"/>
  <c r="E79"/>
  <c r="F79"/>
  <c r="G79"/>
  <c r="D75"/>
  <c r="E75"/>
  <c r="F75"/>
  <c r="D73"/>
  <c r="E73"/>
  <c r="J17"/>
  <c r="D71"/>
  <c r="E71"/>
  <c r="F71"/>
  <c r="G71"/>
  <c r="B68"/>
  <c r="H14"/>
  <c r="AB14"/>
  <c r="B66"/>
  <c r="B64"/>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AA25"/>
  <c r="Q23"/>
  <c r="Z23"/>
  <c r="Q19"/>
  <c r="Z19"/>
  <c r="Q17"/>
  <c r="Z17"/>
  <c r="Q15"/>
  <c r="Z15"/>
  <c r="Q14"/>
  <c r="Z14"/>
  <c r="Q13"/>
  <c r="Z13"/>
  <c r="Q12"/>
  <c r="Z12"/>
  <c r="Q11"/>
  <c r="Z11"/>
  <c r="Q10"/>
  <c r="Z10"/>
  <c r="Q9"/>
  <c r="Z9"/>
  <c r="J8"/>
  <c r="W8"/>
  <c r="H8"/>
  <c r="AB8"/>
  <c r="F8"/>
  <c r="S8"/>
  <c r="J31" i="36"/>
  <c r="H31"/>
  <c r="U31"/>
  <c r="F31"/>
  <c r="M86"/>
  <c r="L86"/>
  <c r="K86"/>
  <c r="J86"/>
  <c r="I86"/>
  <c r="H86"/>
  <c r="G86"/>
  <c r="F86"/>
  <c r="E86"/>
  <c r="D86"/>
  <c r="C86"/>
  <c r="D85"/>
  <c r="H29"/>
  <c r="D81"/>
  <c r="E81"/>
  <c r="F81"/>
  <c r="G81"/>
  <c r="H81"/>
  <c r="I81"/>
  <c r="J81"/>
  <c r="K81"/>
  <c r="L81"/>
  <c r="M81"/>
  <c r="G79"/>
  <c r="F79"/>
  <c r="E79"/>
  <c r="D79"/>
  <c r="C79"/>
  <c r="B93"/>
  <c r="H33"/>
  <c r="B91"/>
  <c r="F32"/>
  <c r="B95"/>
  <c r="H34"/>
  <c r="U34"/>
  <c r="D83"/>
  <c r="E83"/>
  <c r="D78"/>
  <c r="E78"/>
  <c r="F78"/>
  <c r="G78"/>
  <c r="H78"/>
  <c r="I78"/>
  <c r="J78"/>
  <c r="K78"/>
  <c r="L78"/>
  <c r="M78"/>
  <c r="B75"/>
  <c r="B73"/>
  <c r="H24"/>
  <c r="B71"/>
  <c r="D70"/>
  <c r="H22"/>
  <c r="AB22"/>
  <c r="D68"/>
  <c r="E68"/>
  <c r="F68"/>
  <c r="G68"/>
  <c r="D64"/>
  <c r="E64"/>
  <c r="F64"/>
  <c r="G64"/>
  <c r="J16"/>
  <c r="W16"/>
  <c r="D62"/>
  <c r="E62"/>
  <c r="F62"/>
  <c r="G62"/>
  <c r="H14"/>
  <c r="AB14"/>
  <c r="B59"/>
  <c r="B57"/>
  <c r="F12"/>
  <c r="AA12"/>
  <c r="B55"/>
  <c r="F54"/>
  <c r="G54"/>
  <c r="H54"/>
  <c r="I54"/>
  <c r="C51"/>
  <c r="P37"/>
  <c r="P36"/>
  <c r="V35"/>
  <c r="T35"/>
  <c r="R35"/>
  <c r="P35"/>
  <c r="Q34"/>
  <c r="Z34"/>
  <c r="Q33"/>
  <c r="Z33"/>
  <c r="Q32"/>
  <c r="Z32"/>
  <c r="Q31"/>
  <c r="Z31"/>
  <c r="Q30"/>
  <c r="Z30"/>
  <c r="Q29"/>
  <c r="Z29"/>
  <c r="Q28"/>
  <c r="Z28"/>
  <c r="J28"/>
  <c r="Q27"/>
  <c r="Z27"/>
  <c r="Q26"/>
  <c r="Z26"/>
  <c r="H26"/>
  <c r="Q25"/>
  <c r="Z25"/>
  <c r="Q24"/>
  <c r="Z24"/>
  <c r="Q23"/>
  <c r="Z23"/>
  <c r="J23"/>
  <c r="AC23"/>
  <c r="H23"/>
  <c r="AB23"/>
  <c r="F23"/>
  <c r="AA23"/>
  <c r="Q22"/>
  <c r="Z22"/>
  <c r="J22"/>
  <c r="W22"/>
  <c r="Q20"/>
  <c r="Z20"/>
  <c r="Q16"/>
  <c r="Z16"/>
  <c r="Q14"/>
  <c r="Z14"/>
  <c r="Q13"/>
  <c r="Z13"/>
  <c r="Q12"/>
  <c r="Z12"/>
  <c r="Q11"/>
  <c r="Z11"/>
  <c r="Q10"/>
  <c r="Z10"/>
  <c r="F10"/>
  <c r="AA10"/>
  <c r="Q9"/>
  <c r="Z9"/>
  <c r="J9"/>
  <c r="AC9"/>
  <c r="J8"/>
  <c r="H8"/>
  <c r="U8"/>
  <c r="F8"/>
  <c r="AA8"/>
  <c r="D89" i="35"/>
  <c r="E89"/>
  <c r="F89"/>
  <c r="G89"/>
  <c r="M90"/>
  <c r="L90"/>
  <c r="K90"/>
  <c r="J90"/>
  <c r="I90"/>
  <c r="H90"/>
  <c r="G90"/>
  <c r="F90"/>
  <c r="E90"/>
  <c r="D90"/>
  <c r="C90"/>
  <c r="G85"/>
  <c r="F85"/>
  <c r="E85"/>
  <c r="D85"/>
  <c r="C85"/>
  <c r="J27"/>
  <c r="W27"/>
  <c r="H27"/>
  <c r="U27"/>
  <c r="F27"/>
  <c r="AA27"/>
  <c r="J22"/>
  <c r="B101"/>
  <c r="H36"/>
  <c r="AB36"/>
  <c r="B99"/>
  <c r="J35"/>
  <c r="B97"/>
  <c r="J34"/>
  <c r="AC34"/>
  <c r="B77"/>
  <c r="B75"/>
  <c r="F24"/>
  <c r="AA24"/>
  <c r="B73"/>
  <c r="H23"/>
  <c r="U23"/>
  <c r="B57"/>
  <c r="B61"/>
  <c r="B59"/>
  <c r="H12"/>
  <c r="U12"/>
  <c r="B131" i="34"/>
  <c r="B129"/>
  <c r="H46"/>
  <c r="U46"/>
  <c r="B127"/>
  <c r="B99"/>
  <c r="F32"/>
  <c r="B97"/>
  <c r="B95"/>
  <c r="H30"/>
  <c r="AB30"/>
  <c r="B93"/>
  <c r="J29"/>
  <c r="B75"/>
  <c r="F14"/>
  <c r="B73"/>
  <c r="J13"/>
  <c r="B71"/>
  <c r="J12"/>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Q35"/>
  <c r="Z35"/>
  <c r="Q34"/>
  <c r="Z34"/>
  <c r="Q33"/>
  <c r="Z33"/>
  <c r="Q32"/>
  <c r="Z32"/>
  <c r="H32"/>
  <c r="AB32"/>
  <c r="F32"/>
  <c r="Q31"/>
  <c r="Z31"/>
  <c r="AC31"/>
  <c r="AA31"/>
  <c r="Q30"/>
  <c r="Z30"/>
  <c r="Q29"/>
  <c r="Z29"/>
  <c r="Q28"/>
  <c r="Z28"/>
  <c r="J28"/>
  <c r="H28"/>
  <c r="AB28"/>
  <c r="F28"/>
  <c r="AA28"/>
  <c r="Q27"/>
  <c r="Z27"/>
  <c r="Q26"/>
  <c r="Z26"/>
  <c r="Q25"/>
  <c r="Z25"/>
  <c r="Q24"/>
  <c r="Z24"/>
  <c r="Q23"/>
  <c r="Z23"/>
  <c r="J23"/>
  <c r="AC23"/>
  <c r="Q22"/>
  <c r="Z22"/>
  <c r="Q20"/>
  <c r="Z20"/>
  <c r="Q16"/>
  <c r="Z16"/>
  <c r="Q14"/>
  <c r="Z14"/>
  <c r="Q13"/>
  <c r="Z13"/>
  <c r="Q12"/>
  <c r="Z12"/>
  <c r="J12"/>
  <c r="W12"/>
  <c r="Q11"/>
  <c r="Z11"/>
  <c r="Q10"/>
  <c r="Z10"/>
  <c r="Q9"/>
  <c r="Z9"/>
  <c r="J9"/>
  <c r="AC9"/>
  <c r="H9"/>
  <c r="F9"/>
  <c r="J8"/>
  <c r="W8"/>
  <c r="H8"/>
  <c r="AB8"/>
  <c r="F8"/>
  <c r="AA8"/>
  <c r="C7"/>
  <c r="C48"/>
  <c r="D120" i="34"/>
  <c r="E120"/>
  <c r="F120"/>
  <c r="G120"/>
  <c r="H120"/>
  <c r="I120"/>
  <c r="J120"/>
  <c r="K120"/>
  <c r="L120"/>
  <c r="M120"/>
  <c r="D90"/>
  <c r="E90"/>
  <c r="C15"/>
  <c r="F67"/>
  <c r="D126"/>
  <c r="D124"/>
  <c r="E124"/>
  <c r="D118"/>
  <c r="E118"/>
  <c r="F118"/>
  <c r="G118"/>
  <c r="D116"/>
  <c r="H39"/>
  <c r="AB39"/>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D88"/>
  <c r="E88"/>
  <c r="D86"/>
  <c r="J23"/>
  <c r="D82"/>
  <c r="H19"/>
  <c r="D80"/>
  <c r="H17"/>
  <c r="U17"/>
  <c r="D78"/>
  <c r="D70"/>
  <c r="E70"/>
  <c r="F70"/>
  <c r="G70"/>
  <c r="H70"/>
  <c r="I70"/>
  <c r="J70"/>
  <c r="K70"/>
  <c r="L70"/>
  <c r="M70"/>
  <c r="F11"/>
  <c r="S11"/>
  <c r="M68"/>
  <c r="L68"/>
  <c r="K68"/>
  <c r="J68"/>
  <c r="I68"/>
  <c r="H68"/>
  <c r="G68"/>
  <c r="F68"/>
  <c r="E68"/>
  <c r="D68"/>
  <c r="C68"/>
  <c r="C64"/>
  <c r="P50"/>
  <c r="P49"/>
  <c r="V48"/>
  <c r="T48"/>
  <c r="R48"/>
  <c r="P48"/>
  <c r="Q47"/>
  <c r="Z47"/>
  <c r="Q46"/>
  <c r="Z46"/>
  <c r="Q45"/>
  <c r="Z45"/>
  <c r="Q44"/>
  <c r="Z44"/>
  <c r="Q43"/>
  <c r="Z43"/>
  <c r="Q42"/>
  <c r="Z42"/>
  <c r="Q41"/>
  <c r="Z41"/>
  <c r="Q40"/>
  <c r="Z40"/>
  <c r="Q39"/>
  <c r="Z39"/>
  <c r="Q38"/>
  <c r="Z38"/>
  <c r="Q37"/>
  <c r="Z37"/>
  <c r="Q36"/>
  <c r="Z36"/>
  <c r="Q35"/>
  <c r="Z35"/>
  <c r="Q34"/>
  <c r="Z34"/>
  <c r="U34"/>
  <c r="Q33"/>
  <c r="Z33"/>
  <c r="Q32"/>
  <c r="Z32"/>
  <c r="Q31"/>
  <c r="Z31"/>
  <c r="Q30"/>
  <c r="Z30"/>
  <c r="Q29"/>
  <c r="Z29"/>
  <c r="Q28"/>
  <c r="Z28"/>
  <c r="Q27"/>
  <c r="Z27"/>
  <c r="Q25"/>
  <c r="Z25"/>
  <c r="Q23"/>
  <c r="Z23"/>
  <c r="C23"/>
  <c r="Q19"/>
  <c r="Z19"/>
  <c r="C19"/>
  <c r="Q17"/>
  <c r="Z17"/>
  <c r="C17"/>
  <c r="Q15"/>
  <c r="Z15"/>
  <c r="Q14"/>
  <c r="Z14"/>
  <c r="Q13"/>
  <c r="Z13"/>
  <c r="Q12"/>
  <c r="Z12"/>
  <c r="H12"/>
  <c r="Q11"/>
  <c r="Z11"/>
  <c r="Q10"/>
  <c r="Z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F28"/>
  <c r="S28"/>
  <c r="B90"/>
  <c r="D87"/>
  <c r="E87"/>
  <c r="F87"/>
  <c r="G87"/>
  <c r="H87"/>
  <c r="I87"/>
  <c r="J87"/>
  <c r="K87"/>
  <c r="L87"/>
  <c r="M87"/>
  <c r="D85"/>
  <c r="E85"/>
  <c r="F85"/>
  <c r="G85"/>
  <c r="D81"/>
  <c r="E81"/>
  <c r="F81"/>
  <c r="G81"/>
  <c r="D79"/>
  <c r="E79"/>
  <c r="F79"/>
  <c r="G79"/>
  <c r="D77"/>
  <c r="E77"/>
  <c r="F77"/>
  <c r="G77"/>
  <c r="D69"/>
  <c r="E69"/>
  <c r="F69"/>
  <c r="G69"/>
  <c r="H69"/>
  <c r="I69"/>
  <c r="J69"/>
  <c r="K69"/>
  <c r="L69"/>
  <c r="M69"/>
  <c r="H11"/>
  <c r="M67"/>
  <c r="L67"/>
  <c r="K67"/>
  <c r="J67"/>
  <c r="I67"/>
  <c r="H67"/>
  <c r="G67"/>
  <c r="F67"/>
  <c r="E67"/>
  <c r="D67"/>
  <c r="C67"/>
  <c r="G66"/>
  <c r="H66"/>
  <c r="I66"/>
  <c r="J10"/>
  <c r="C63"/>
  <c r="H9"/>
  <c r="F54"/>
  <c r="P49"/>
  <c r="P48"/>
  <c r="V47"/>
  <c r="T47"/>
  <c r="R47"/>
  <c r="P47"/>
  <c r="Q46"/>
  <c r="Z46"/>
  <c r="Q45"/>
  <c r="Z45"/>
  <c r="Q44"/>
  <c r="Z44"/>
  <c r="Q43"/>
  <c r="Z43"/>
  <c r="Q42"/>
  <c r="Z42"/>
  <c r="J42"/>
  <c r="Q41"/>
  <c r="Z41"/>
  <c r="Q40"/>
  <c r="Z40"/>
  <c r="J40"/>
  <c r="AC40"/>
  <c r="H40"/>
  <c r="AB40"/>
  <c r="AA40"/>
  <c r="Q39"/>
  <c r="Z39"/>
  <c r="Q38"/>
  <c r="Z38"/>
  <c r="J38"/>
  <c r="H38"/>
  <c r="AB38"/>
  <c r="F38"/>
  <c r="Q37"/>
  <c r="Z37"/>
  <c r="Q36"/>
  <c r="Z36"/>
  <c r="Q35"/>
  <c r="Z35"/>
  <c r="H35"/>
  <c r="AB35"/>
  <c r="F35"/>
  <c r="S35"/>
  <c r="Q34"/>
  <c r="Z34"/>
  <c r="H34"/>
  <c r="AB34"/>
  <c r="F34"/>
  <c r="Q33"/>
  <c r="Z33"/>
  <c r="J33"/>
  <c r="H33"/>
  <c r="AB33"/>
  <c r="F33"/>
  <c r="AA33"/>
  <c r="Q32"/>
  <c r="Z32"/>
  <c r="Q31"/>
  <c r="Z31"/>
  <c r="Q30"/>
  <c r="Z30"/>
  <c r="Q29"/>
  <c r="Z29"/>
  <c r="Q28"/>
  <c r="Z28"/>
  <c r="Q27"/>
  <c r="Z27"/>
  <c r="Q26"/>
  <c r="Z26"/>
  <c r="Q25"/>
  <c r="Z25"/>
  <c r="Q23"/>
  <c r="Z23"/>
  <c r="Q19"/>
  <c r="Z19"/>
  <c r="Q17"/>
  <c r="Z17"/>
  <c r="Q15"/>
  <c r="Z15"/>
  <c r="F15"/>
  <c r="Q14"/>
  <c r="Z14"/>
  <c r="Q13"/>
  <c r="Z13"/>
  <c r="Q12"/>
  <c r="Z12"/>
  <c r="H12"/>
  <c r="Q11"/>
  <c r="Z11"/>
  <c r="Q10"/>
  <c r="Z10"/>
  <c r="F10"/>
  <c r="AA10"/>
  <c r="Q9"/>
  <c r="Z9"/>
  <c r="J8"/>
  <c r="AC8"/>
  <c r="H8"/>
  <c r="AB8"/>
  <c r="F8"/>
  <c r="S8"/>
  <c r="AA8"/>
  <c r="M102" i="21"/>
  <c r="D102"/>
  <c r="E102"/>
  <c r="F102"/>
  <c r="G102"/>
  <c r="H102"/>
  <c r="I102"/>
  <c r="J102"/>
  <c r="K102"/>
  <c r="L102"/>
  <c r="C102"/>
  <c r="C63"/>
  <c r="G18" i="20"/>
  <c r="B88" i="43"/>
  <c r="G19" i="20"/>
  <c r="G16"/>
  <c r="B82" i="43"/>
  <c r="G15" i="20"/>
  <c r="C24"/>
  <c r="B52" i="43"/>
  <c r="C21" i="20"/>
  <c r="C27" i="39"/>
  <c r="C20" i="20"/>
  <c r="C25" i="39"/>
  <c r="C18" i="20"/>
  <c r="C17"/>
  <c r="B59" i="43"/>
  <c r="C16" i="20"/>
  <c r="B48" i="43"/>
  <c r="C15" i="20"/>
  <c r="B70" i="43"/>
  <c r="E54" i="21"/>
  <c r="F54"/>
  <c r="I54"/>
  <c r="J54"/>
  <c r="G54"/>
  <c r="H54"/>
  <c r="D125"/>
  <c r="E125"/>
  <c r="F125"/>
  <c r="G125"/>
  <c r="D123"/>
  <c r="E123"/>
  <c r="F123"/>
  <c r="G123"/>
  <c r="H123"/>
  <c r="I123"/>
  <c r="J123"/>
  <c r="K123"/>
  <c r="L123"/>
  <c r="M123"/>
  <c r="F42"/>
  <c r="AA42"/>
  <c r="D119"/>
  <c r="E119"/>
  <c r="F119"/>
  <c r="G119"/>
  <c r="H119"/>
  <c r="I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B126"/>
  <c r="B98"/>
  <c r="H31"/>
  <c r="U31"/>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H8"/>
  <c r="U8"/>
  <c r="H10"/>
  <c r="AB10"/>
  <c r="H36"/>
  <c r="U36"/>
  <c r="F35"/>
  <c r="AA35"/>
  <c r="J33"/>
  <c r="W33"/>
  <c r="H33"/>
  <c r="U33"/>
  <c r="AB33"/>
  <c r="F33"/>
  <c r="AA33"/>
  <c r="J10"/>
  <c r="AC10"/>
  <c r="H26"/>
  <c r="AB26"/>
  <c r="F19"/>
  <c r="AA19"/>
  <c r="H19"/>
  <c r="AB19"/>
  <c r="J19"/>
  <c r="W19"/>
  <c r="H12"/>
  <c r="AB12"/>
  <c r="J26"/>
  <c r="W26"/>
  <c r="F26"/>
  <c r="S26"/>
  <c r="AA41"/>
  <c r="W41"/>
  <c r="J45" i="39"/>
  <c r="W45"/>
  <c r="J44"/>
  <c r="AC44"/>
  <c r="F36"/>
  <c r="S36"/>
  <c r="H36"/>
  <c r="AB36"/>
  <c r="J36"/>
  <c r="AC36"/>
  <c r="S8"/>
  <c r="U38"/>
  <c r="H32" i="37"/>
  <c r="AB32"/>
  <c r="U8"/>
  <c r="W31"/>
  <c r="U14"/>
  <c r="S30"/>
  <c r="W30"/>
  <c r="F29" i="36"/>
  <c r="AA29"/>
  <c r="F16"/>
  <c r="S16"/>
  <c r="U22"/>
  <c r="S23"/>
  <c r="AC31"/>
  <c r="W31"/>
  <c r="J33"/>
  <c r="AB34"/>
  <c r="H22" i="35"/>
  <c r="AB22"/>
  <c r="U31"/>
  <c r="W31"/>
  <c r="U32"/>
  <c r="F36" i="34"/>
  <c r="AA36"/>
  <c r="H39" i="33"/>
  <c r="AB39"/>
  <c r="F26"/>
  <c r="S40"/>
  <c r="W8" i="21"/>
  <c r="S27" i="35"/>
  <c r="F11" i="40"/>
  <c r="AA11"/>
  <c r="S8"/>
  <c r="H11"/>
  <c r="AB11"/>
  <c r="W8"/>
  <c r="U9"/>
  <c r="S34"/>
  <c r="U34"/>
  <c r="W39"/>
  <c r="F42" i="39"/>
  <c r="AA42"/>
  <c r="F41"/>
  <c r="AA41"/>
  <c r="H40"/>
  <c r="H39"/>
  <c r="U39"/>
  <c r="S38"/>
  <c r="H34"/>
  <c r="AB34"/>
  <c r="H31"/>
  <c r="AB31"/>
  <c r="F31"/>
  <c r="AA31"/>
  <c r="H19"/>
  <c r="AB19"/>
  <c r="F19"/>
  <c r="S19"/>
  <c r="H17"/>
  <c r="U17"/>
  <c r="F17"/>
  <c r="AA17"/>
  <c r="J23" i="40"/>
  <c r="AC23"/>
  <c r="H42" i="39"/>
  <c r="AB42"/>
  <c r="J34"/>
  <c r="AC34"/>
  <c r="L109"/>
  <c r="M109"/>
  <c r="J31"/>
  <c r="W31"/>
  <c r="H29"/>
  <c r="U29"/>
  <c r="J19"/>
  <c r="AC19"/>
  <c r="J17"/>
  <c r="W17"/>
  <c r="J29"/>
  <c r="F29"/>
  <c r="AA29"/>
  <c r="F11" i="21"/>
  <c r="S11"/>
  <c r="H11" i="39"/>
  <c r="AB11"/>
  <c r="AB39"/>
  <c r="H11" i="21"/>
  <c r="U11"/>
  <c r="J11"/>
  <c r="AC11"/>
  <c r="H36" i="40"/>
  <c r="U36"/>
  <c r="F35"/>
  <c r="S35"/>
  <c r="J30"/>
  <c r="W30"/>
  <c r="F30"/>
  <c r="AA30"/>
  <c r="F96"/>
  <c r="G96"/>
  <c r="H96"/>
  <c r="I96"/>
  <c r="J96"/>
  <c r="K96"/>
  <c r="L96"/>
  <c r="M96"/>
  <c r="H27"/>
  <c r="U27"/>
  <c r="H23"/>
  <c r="AB23"/>
  <c r="J11"/>
  <c r="W11"/>
  <c r="F37" i="39"/>
  <c r="S37"/>
  <c r="J34" i="36"/>
  <c r="U30"/>
  <c r="F22" i="35"/>
  <c r="AA22"/>
  <c r="H10"/>
  <c r="U10"/>
  <c r="F33" i="36"/>
  <c r="S33"/>
  <c r="E85"/>
  <c r="F85"/>
  <c r="G85"/>
  <c r="H85"/>
  <c r="I85"/>
  <c r="J85"/>
  <c r="K85"/>
  <c r="L85"/>
  <c r="M85"/>
  <c r="J29"/>
  <c r="AC29"/>
  <c r="F34"/>
  <c r="AA34"/>
  <c r="H20"/>
  <c r="J20"/>
  <c r="W20"/>
  <c r="AB8"/>
  <c r="W9" i="35"/>
  <c r="F14"/>
  <c r="F23"/>
  <c r="AA23"/>
  <c r="J32"/>
  <c r="AC32"/>
  <c r="J16"/>
  <c r="W16"/>
  <c r="H14"/>
  <c r="AB14"/>
  <c r="H33"/>
  <c r="AB33"/>
  <c r="S8"/>
  <c r="J20"/>
  <c r="W20"/>
  <c r="H20"/>
  <c r="U20"/>
  <c r="F20"/>
  <c r="AA20"/>
  <c r="F101" i="37"/>
  <c r="G101"/>
  <c r="H101"/>
  <c r="I101"/>
  <c r="J101"/>
  <c r="K101"/>
  <c r="L101"/>
  <c r="M101"/>
  <c r="J34"/>
  <c r="W34"/>
  <c r="H40" i="34"/>
  <c r="U40"/>
  <c r="E114"/>
  <c r="F114"/>
  <c r="G114"/>
  <c r="H114"/>
  <c r="I114"/>
  <c r="J114"/>
  <c r="K114"/>
  <c r="L114"/>
  <c r="M114"/>
  <c r="F38"/>
  <c r="AA38"/>
  <c r="J15"/>
  <c r="AC15"/>
  <c r="H15"/>
  <c r="AB15"/>
  <c r="F41" i="33"/>
  <c r="E113"/>
  <c r="F113"/>
  <c r="G113"/>
  <c r="H113"/>
  <c r="I113"/>
  <c r="J113"/>
  <c r="K113"/>
  <c r="L113"/>
  <c r="M113"/>
  <c r="J34"/>
  <c r="F36"/>
  <c r="S36"/>
  <c r="F25"/>
  <c r="J25"/>
  <c r="AC25"/>
  <c r="H25"/>
  <c r="AB25"/>
  <c r="J23"/>
  <c r="AC23"/>
  <c r="F23"/>
  <c r="AA23"/>
  <c r="H23"/>
  <c r="AB23"/>
  <c r="F19"/>
  <c r="S19"/>
  <c r="J19"/>
  <c r="W19"/>
  <c r="J17"/>
  <c r="AC17"/>
  <c r="H17"/>
  <c r="AB17"/>
  <c r="J15"/>
  <c r="AC15"/>
  <c r="F11"/>
  <c r="AA11"/>
  <c r="H10"/>
  <c r="U10"/>
  <c r="S10" i="21"/>
  <c r="U8" i="33"/>
  <c r="F37" i="40"/>
  <c r="AA37"/>
  <c r="F36"/>
  <c r="AA36"/>
  <c r="W27"/>
  <c r="F27"/>
  <c r="F23"/>
  <c r="AA23"/>
  <c r="AB30" i="36"/>
  <c r="F29" i="35"/>
  <c r="S29"/>
  <c r="H38" i="34"/>
  <c r="U38"/>
  <c r="H37" i="33"/>
  <c r="AB37"/>
  <c r="AA37"/>
  <c r="H36"/>
  <c r="U36"/>
  <c r="F17"/>
  <c r="AA17"/>
  <c r="H15"/>
  <c r="AB15"/>
  <c r="AC27" i="40"/>
  <c r="J37" i="33"/>
  <c r="W37"/>
  <c r="J36"/>
  <c r="AC36"/>
  <c r="J11"/>
  <c r="AC11"/>
  <c r="J42" i="21"/>
  <c r="AC42"/>
  <c r="H42"/>
  <c r="AB42"/>
  <c r="J10" i="35"/>
  <c r="AC10"/>
  <c r="J14" i="21"/>
  <c r="AC14"/>
  <c r="F14"/>
  <c r="S14"/>
  <c r="H14"/>
  <c r="AB14"/>
  <c r="F28"/>
  <c r="AA28"/>
  <c r="H30"/>
  <c r="AB30"/>
  <c r="F30"/>
  <c r="S30"/>
  <c r="J30"/>
  <c r="W30"/>
  <c r="H44"/>
  <c r="H46"/>
  <c r="U46"/>
  <c r="J46"/>
  <c r="W46"/>
  <c r="F46"/>
  <c r="AA46"/>
  <c r="J119"/>
  <c r="K119"/>
  <c r="L119"/>
  <c r="M119"/>
  <c r="H26" i="33"/>
  <c r="AB26"/>
  <c r="H28"/>
  <c r="U28"/>
  <c r="J28"/>
  <c r="F33" i="35"/>
  <c r="S33"/>
  <c r="J33"/>
  <c r="AC33"/>
  <c r="F30"/>
  <c r="H89"/>
  <c r="I89"/>
  <c r="J89"/>
  <c r="K89"/>
  <c r="L89"/>
  <c r="M89"/>
  <c r="H10" i="36"/>
  <c r="AB10"/>
  <c r="F83"/>
  <c r="G83"/>
  <c r="H83"/>
  <c r="I83"/>
  <c r="J83"/>
  <c r="K83"/>
  <c r="L83"/>
  <c r="M83"/>
  <c r="F28"/>
  <c r="AA28"/>
  <c r="H13" i="33"/>
  <c r="AB13"/>
  <c r="J29"/>
  <c r="W29"/>
  <c r="H29"/>
  <c r="U29"/>
  <c r="F29"/>
  <c r="S29"/>
  <c r="J31"/>
  <c r="W31"/>
  <c r="H31"/>
  <c r="F31"/>
  <c r="AA31"/>
  <c r="H45"/>
  <c r="AB45"/>
  <c r="U45"/>
  <c r="J45"/>
  <c r="W45"/>
  <c r="F45"/>
  <c r="S45"/>
  <c r="H14" i="34"/>
  <c r="AB14"/>
  <c r="F30"/>
  <c r="S30"/>
  <c r="J30"/>
  <c r="W30"/>
  <c r="J32"/>
  <c r="W32"/>
  <c r="F46"/>
  <c r="AA46"/>
  <c r="J46"/>
  <c r="W46"/>
  <c r="H11" i="35"/>
  <c r="U11"/>
  <c r="J11"/>
  <c r="AC11"/>
  <c r="F11"/>
  <c r="S11"/>
  <c r="J26" i="36"/>
  <c r="W26"/>
  <c r="H28"/>
  <c r="U28"/>
  <c r="H32"/>
  <c r="AB32"/>
  <c r="J32"/>
  <c r="W32"/>
  <c r="J11"/>
  <c r="W11"/>
  <c r="H11"/>
  <c r="AB11"/>
  <c r="F11"/>
  <c r="AA11"/>
  <c r="H13"/>
  <c r="AB13"/>
  <c r="J13"/>
  <c r="W13"/>
  <c r="F13"/>
  <c r="S13"/>
  <c r="H36" i="37"/>
  <c r="AB36"/>
  <c r="H37"/>
  <c r="U37"/>
  <c r="H14" i="33"/>
  <c r="U14"/>
  <c r="F14"/>
  <c r="AA14"/>
  <c r="J14"/>
  <c r="AC14"/>
  <c r="F30"/>
  <c r="H44"/>
  <c r="AB44"/>
  <c r="J44"/>
  <c r="F44"/>
  <c r="S44"/>
  <c r="H13" i="34"/>
  <c r="AB13"/>
  <c r="F13"/>
  <c r="AA13"/>
  <c r="J31"/>
  <c r="W31"/>
  <c r="H31"/>
  <c r="AB31"/>
  <c r="F31"/>
  <c r="S31"/>
  <c r="H47"/>
  <c r="AB47"/>
  <c r="F47"/>
  <c r="J47"/>
  <c r="W47"/>
  <c r="J13" i="35"/>
  <c r="J25"/>
  <c r="W25"/>
  <c r="F25"/>
  <c r="S25"/>
  <c r="H25"/>
  <c r="F35"/>
  <c r="AA35"/>
  <c r="J25" i="36"/>
  <c r="F25"/>
  <c r="S25"/>
  <c r="H25"/>
  <c r="H13" i="37"/>
  <c r="U13"/>
  <c r="F13"/>
  <c r="S13"/>
  <c r="J13"/>
  <c r="W13"/>
  <c r="F28"/>
  <c r="J28"/>
  <c r="AC28"/>
  <c r="H28"/>
  <c r="U28"/>
  <c r="H38"/>
  <c r="AB38"/>
  <c r="J38"/>
  <c r="F38"/>
  <c r="S38"/>
  <c r="F43" i="39"/>
  <c r="AA43"/>
  <c r="H43"/>
  <c r="U43"/>
  <c r="J14"/>
  <c r="H14"/>
  <c r="AB14"/>
  <c r="H30" i="40"/>
  <c r="U30"/>
  <c r="F33"/>
  <c r="AA33"/>
  <c r="H33"/>
  <c r="U33"/>
  <c r="AB33"/>
  <c r="J35"/>
  <c r="AC35"/>
  <c r="H13"/>
  <c r="U13"/>
  <c r="J13"/>
  <c r="W13"/>
  <c r="F13"/>
  <c r="AA13"/>
  <c r="F14" i="37"/>
  <c r="S14"/>
  <c r="F13" i="39"/>
  <c r="AA13"/>
  <c r="J13"/>
  <c r="W13"/>
  <c r="H13"/>
  <c r="AB13"/>
  <c r="U13"/>
  <c r="H14" i="40"/>
  <c r="AB14"/>
  <c r="J14"/>
  <c r="AC14"/>
  <c r="F14"/>
  <c r="AA14"/>
  <c r="J14" i="37"/>
  <c r="AC14"/>
  <c r="AB14" i="33"/>
  <c r="W28" i="37"/>
  <c r="J10" i="36"/>
  <c r="AC10"/>
  <c r="AB46" i="21"/>
  <c r="U14"/>
  <c r="AC11" i="36"/>
  <c r="U32"/>
  <c r="AC29" i="33"/>
  <c r="S33" i="21"/>
  <c r="S19"/>
  <c r="J41" i="39"/>
  <c r="W41"/>
  <c r="AC45"/>
  <c r="U36"/>
  <c r="O30" i="31"/>
  <c r="O31"/>
  <c r="O29"/>
  <c r="M30"/>
  <c r="M31"/>
  <c r="M29"/>
  <c r="I29"/>
  <c r="I28"/>
  <c r="W43" i="21"/>
  <c r="Q29" i="31"/>
  <c r="K29"/>
  <c r="Q30"/>
  <c r="K30"/>
  <c r="I31"/>
  <c r="Q31"/>
  <c r="K31"/>
  <c r="S12" i="21"/>
  <c r="H25"/>
  <c r="U25"/>
  <c r="F25"/>
  <c r="S25"/>
  <c r="J25"/>
  <c r="AC25"/>
  <c r="H17" i="37"/>
  <c r="U17"/>
  <c r="F73"/>
  <c r="G73"/>
  <c r="F23"/>
  <c r="S23"/>
  <c r="F32"/>
  <c r="S32"/>
  <c r="AA36" i="39"/>
  <c r="F39" i="33"/>
  <c r="AA39"/>
  <c r="F42"/>
  <c r="AA42"/>
  <c r="F14" i="36"/>
  <c r="AA14"/>
  <c r="F22"/>
  <c r="AA22"/>
  <c r="F26"/>
  <c r="AA26"/>
  <c r="H35" i="34"/>
  <c r="AB35"/>
  <c r="F41"/>
  <c r="S41"/>
  <c r="H41"/>
  <c r="AB41"/>
  <c r="J41"/>
  <c r="AC41"/>
  <c r="F10" i="35"/>
  <c r="AA10"/>
  <c r="H23" i="37"/>
  <c r="AB23"/>
  <c r="J32"/>
  <c r="AC32"/>
  <c r="F36"/>
  <c r="F37"/>
  <c r="AA37"/>
  <c r="F31" i="40"/>
  <c r="AA31"/>
  <c r="H31"/>
  <c r="U31"/>
  <c r="F32"/>
  <c r="S32"/>
  <c r="J36"/>
  <c r="W36"/>
  <c r="H42" i="33"/>
  <c r="U42"/>
  <c r="J23" i="37"/>
  <c r="W23"/>
  <c r="U11" i="40"/>
  <c r="AB20" i="35"/>
  <c r="AA11"/>
  <c r="AC12"/>
  <c r="AC8" i="37"/>
  <c r="S25"/>
  <c r="AB8" i="34"/>
  <c r="W14" i="33"/>
  <c r="AB10"/>
  <c r="AC33" i="21"/>
  <c r="W10" i="36"/>
  <c r="H37" i="21"/>
  <c r="U37"/>
  <c r="J37"/>
  <c r="F36" i="35"/>
  <c r="AA36"/>
  <c r="J9" i="37"/>
  <c r="H9"/>
  <c r="AB9"/>
  <c r="F9"/>
  <c r="AA9"/>
  <c r="F11"/>
  <c r="S11"/>
  <c r="J42" i="39"/>
  <c r="S37" i="21"/>
  <c r="AB37"/>
  <c r="AB27" i="40"/>
  <c r="U31" i="39"/>
  <c r="C12" i="43"/>
  <c r="D15" i="47"/>
  <c r="D17"/>
  <c r="D19"/>
  <c r="D21"/>
  <c r="D23"/>
  <c r="D27"/>
  <c r="D33"/>
  <c r="D37"/>
  <c r="D39"/>
  <c r="D41"/>
  <c r="D43"/>
  <c r="D16"/>
  <c r="D18"/>
  <c r="D20"/>
  <c r="D22"/>
  <c r="D26"/>
  <c r="D28"/>
  <c r="D30"/>
  <c r="D32"/>
  <c r="D34"/>
  <c r="D38"/>
  <c r="D40"/>
  <c r="D42"/>
  <c r="D44"/>
  <c r="D9"/>
  <c r="D8"/>
  <c r="D6"/>
  <c r="F4"/>
  <c r="B2"/>
  <c r="H19" i="40"/>
  <c r="AB19"/>
  <c r="F19"/>
  <c r="S19"/>
  <c r="S13"/>
  <c r="S17" i="39"/>
  <c r="W43"/>
  <c r="AB44"/>
  <c r="U44"/>
  <c r="G103"/>
  <c r="AC13"/>
  <c r="H37"/>
  <c r="U37"/>
  <c r="AC37"/>
  <c r="H25"/>
  <c r="U25"/>
  <c r="J25"/>
  <c r="W25"/>
  <c r="F25"/>
  <c r="S25"/>
  <c r="F15"/>
  <c r="AA15"/>
  <c r="H15"/>
  <c r="U15"/>
  <c r="J15"/>
  <c r="AC15"/>
  <c r="W15"/>
  <c r="H41"/>
  <c r="AB41"/>
  <c r="F11"/>
  <c r="AA11"/>
  <c r="H21"/>
  <c r="U21"/>
  <c r="F32"/>
  <c r="AA32"/>
  <c r="S32"/>
  <c r="U34"/>
  <c r="S42"/>
  <c r="S41"/>
  <c r="W8"/>
  <c r="J11"/>
  <c r="W11"/>
  <c r="J32"/>
  <c r="AC32"/>
  <c r="E66"/>
  <c r="E61" i="40"/>
  <c r="F34" i="43"/>
  <c r="C21" i="11"/>
  <c r="H55" i="39"/>
  <c r="S30" i="40"/>
  <c r="G60"/>
  <c r="C60"/>
  <c r="H16" i="44"/>
  <c r="D17" i="43"/>
  <c r="I17"/>
  <c r="D108" i="9"/>
  <c r="F22" i="43"/>
  <c r="B56" i="60"/>
  <c r="G22" i="43"/>
  <c r="E22"/>
  <c r="H14" i="44"/>
  <c r="W40" i="39"/>
  <c r="AC20" i="35"/>
  <c r="H23" i="34"/>
  <c r="AB23"/>
  <c r="F33"/>
  <c r="S33"/>
  <c r="H36"/>
  <c r="AB36"/>
  <c r="F35"/>
  <c r="AA35"/>
  <c r="J35"/>
  <c r="AC35"/>
  <c r="J33"/>
  <c r="W33"/>
  <c r="J26" i="35"/>
  <c r="W26"/>
  <c r="F26"/>
  <c r="AA26"/>
  <c r="H26"/>
  <c r="U26"/>
  <c r="K145" i="21"/>
  <c r="K144"/>
  <c r="K141"/>
  <c r="K143"/>
  <c r="B101" i="9"/>
  <c r="C114"/>
  <c r="H112"/>
  <c r="F23" i="21"/>
  <c r="AA23"/>
  <c r="J23"/>
  <c r="AC23"/>
  <c r="H23"/>
  <c r="U23"/>
  <c r="F17"/>
  <c r="AA17"/>
  <c r="J17"/>
  <c r="AC17"/>
  <c r="H17"/>
  <c r="AB17"/>
  <c r="J15"/>
  <c r="W15"/>
  <c r="U35"/>
  <c r="AC35"/>
  <c r="A131" i="9"/>
  <c r="A14" i="52"/>
  <c r="B61" i="60"/>
  <c r="B102" i="57"/>
  <c r="B106"/>
  <c r="C111"/>
  <c r="C112"/>
  <c r="H107"/>
  <c r="D127"/>
  <c r="S23" i="21"/>
  <c r="W17"/>
  <c r="AC15"/>
  <c r="B113" i="43"/>
  <c r="I118"/>
  <c r="J118"/>
  <c r="K118"/>
  <c r="L118"/>
  <c r="M118"/>
  <c r="M101"/>
  <c r="M105"/>
  <c r="M103"/>
  <c r="K101"/>
  <c r="K109"/>
  <c r="I101"/>
  <c r="I103"/>
  <c r="G101"/>
  <c r="G107"/>
  <c r="E101"/>
  <c r="E102"/>
  <c r="E109"/>
  <c r="C101"/>
  <c r="N101"/>
  <c r="N109"/>
  <c r="L101"/>
  <c r="L107"/>
  <c r="J101"/>
  <c r="J109"/>
  <c r="J103"/>
  <c r="H101"/>
  <c r="H109"/>
  <c r="F101"/>
  <c r="F107"/>
  <c r="D101"/>
  <c r="D107"/>
  <c r="C18" i="57"/>
  <c r="D18"/>
  <c r="D47" i="15"/>
  <c r="J37" i="37"/>
  <c r="W37"/>
  <c r="AB40"/>
  <c r="U40"/>
  <c r="U15" i="21"/>
  <c r="AA16" i="35"/>
  <c r="S14" i="39"/>
  <c r="AB29" i="35"/>
  <c r="U29"/>
  <c r="AA35" i="39"/>
  <c r="AB21"/>
  <c r="U36" i="37"/>
  <c r="AB46" i="34"/>
  <c r="F40"/>
  <c r="S40"/>
  <c r="U20" i="36"/>
  <c r="AB20"/>
  <c r="AA16"/>
  <c r="W44" i="39"/>
  <c r="H13" i="21"/>
  <c r="J13"/>
  <c r="F13"/>
  <c r="S13"/>
  <c r="J45"/>
  <c r="AC45"/>
  <c r="F45"/>
  <c r="AA45"/>
  <c r="S42"/>
  <c r="W12" i="34"/>
  <c r="AC12"/>
  <c r="U23" i="36"/>
  <c r="J12"/>
  <c r="W12"/>
  <c r="H12"/>
  <c r="AB12"/>
  <c r="AB12" i="39"/>
  <c r="U12"/>
  <c r="J12"/>
  <c r="F12"/>
  <c r="S12"/>
  <c r="T29" i="31"/>
  <c r="F15" i="21"/>
  <c r="S15"/>
  <c r="AA30"/>
  <c r="J36" i="34"/>
  <c r="W36"/>
  <c r="S8"/>
  <c r="J19" i="40"/>
  <c r="AC19"/>
  <c r="U14" i="39"/>
  <c r="H32"/>
  <c r="U32"/>
  <c r="F21"/>
  <c r="AA21"/>
  <c r="F31" i="37"/>
  <c r="F17"/>
  <c r="AA17"/>
  <c r="AA29" i="33"/>
  <c r="AB13" i="40"/>
  <c r="U44" i="33"/>
  <c r="AB11" i="35"/>
  <c r="AA30" i="34"/>
  <c r="H45" i="21"/>
  <c r="AB45"/>
  <c r="J14" i="36"/>
  <c r="AC14"/>
  <c r="AC30" i="21"/>
  <c r="J40" i="34"/>
  <c r="AC40"/>
  <c r="S37" i="40"/>
  <c r="H19" i="33"/>
  <c r="AB19"/>
  <c r="U23"/>
  <c r="W23"/>
  <c r="AC30" i="40"/>
  <c r="AB17" i="39"/>
  <c r="S38" i="21"/>
  <c r="AA38"/>
  <c r="E106"/>
  <c r="F106"/>
  <c r="G106"/>
  <c r="H106"/>
  <c r="I106"/>
  <c r="J106"/>
  <c r="K106"/>
  <c r="L106"/>
  <c r="M106"/>
  <c r="F34"/>
  <c r="S34"/>
  <c r="H34"/>
  <c r="J34"/>
  <c r="AC34"/>
  <c r="AC36"/>
  <c r="W36"/>
  <c r="E101" i="33"/>
  <c r="F101"/>
  <c r="F32"/>
  <c r="AA32"/>
  <c r="H28" i="34"/>
  <c r="U28"/>
  <c r="E116"/>
  <c r="F116"/>
  <c r="G116"/>
  <c r="H116"/>
  <c r="I116"/>
  <c r="J116"/>
  <c r="K116"/>
  <c r="L116"/>
  <c r="M116"/>
  <c r="J39"/>
  <c r="W39"/>
  <c r="J27" i="36"/>
  <c r="AC27"/>
  <c r="U37" i="34"/>
  <c r="F26" i="47"/>
  <c r="B24"/>
  <c r="S31" i="33"/>
  <c r="U10" i="36"/>
  <c r="W34" i="33"/>
  <c r="AC34"/>
  <c r="AA14" i="35"/>
  <c r="S14"/>
  <c r="S45" i="39"/>
  <c r="AA45"/>
  <c r="H27" i="21"/>
  <c r="AB27"/>
  <c r="J27"/>
  <c r="AC27"/>
  <c r="W27"/>
  <c r="F27"/>
  <c r="AA27"/>
  <c r="J29"/>
  <c r="AC29"/>
  <c r="H29"/>
  <c r="U29"/>
  <c r="F29"/>
  <c r="J31"/>
  <c r="W31"/>
  <c r="F31"/>
  <c r="AA31"/>
  <c r="H39"/>
  <c r="U39"/>
  <c r="F117"/>
  <c r="G117"/>
  <c r="AA15" i="33"/>
  <c r="S15"/>
  <c r="AA35"/>
  <c r="E117"/>
  <c r="F117"/>
  <c r="G117"/>
  <c r="J39"/>
  <c r="AC39"/>
  <c r="E125"/>
  <c r="H43"/>
  <c r="E91"/>
  <c r="F91"/>
  <c r="G91"/>
  <c r="H91"/>
  <c r="I91"/>
  <c r="J91"/>
  <c r="K91"/>
  <c r="L91"/>
  <c r="M91"/>
  <c r="F27"/>
  <c r="AA27"/>
  <c r="S27"/>
  <c r="H41"/>
  <c r="U41"/>
  <c r="AA11" i="34"/>
  <c r="H16" i="35"/>
  <c r="U16"/>
  <c r="H24"/>
  <c r="H34"/>
  <c r="U34"/>
  <c r="F34"/>
  <c r="S34"/>
  <c r="G60" i="37"/>
  <c r="H60"/>
  <c r="I60"/>
  <c r="F10"/>
  <c r="AA10"/>
  <c r="H27"/>
  <c r="U27"/>
  <c r="F27"/>
  <c r="J27"/>
  <c r="AC27"/>
  <c r="J29"/>
  <c r="W29"/>
  <c r="F29"/>
  <c r="S29"/>
  <c r="H31"/>
  <c r="AB31"/>
  <c r="J36"/>
  <c r="AC36"/>
  <c r="F40"/>
  <c r="AA40"/>
  <c r="U8" i="39"/>
  <c r="AB8"/>
  <c r="J29" i="35"/>
  <c r="AC29"/>
  <c r="AC30" i="36"/>
  <c r="W30"/>
  <c r="H35" i="39"/>
  <c r="U35"/>
  <c r="J35"/>
  <c r="AC35"/>
  <c r="AA19"/>
  <c r="H16" i="36"/>
  <c r="U32" i="37"/>
  <c r="E101" i="21"/>
  <c r="F101"/>
  <c r="G101"/>
  <c r="H101"/>
  <c r="I101"/>
  <c r="J101"/>
  <c r="K101"/>
  <c r="L101"/>
  <c r="M101"/>
  <c r="F32"/>
  <c r="J32"/>
  <c r="W32"/>
  <c r="H32"/>
  <c r="U32"/>
  <c r="F40"/>
  <c r="H40"/>
  <c r="AB40"/>
  <c r="J40"/>
  <c r="AC40"/>
  <c r="B44" i="47"/>
  <c r="C21" i="40"/>
  <c r="AC33" i="33"/>
  <c r="W33"/>
  <c r="AA38"/>
  <c r="S38"/>
  <c r="AC38"/>
  <c r="W38"/>
  <c r="J9"/>
  <c r="AC9"/>
  <c r="F9"/>
  <c r="AA9"/>
  <c r="E126" i="34"/>
  <c r="F126"/>
  <c r="G126"/>
  <c r="W9" i="36"/>
  <c r="AB26"/>
  <c r="U26"/>
  <c r="F20"/>
  <c r="AA20"/>
  <c r="J24"/>
  <c r="AC24"/>
  <c r="F24"/>
  <c r="AA32"/>
  <c r="S32"/>
  <c r="J26" i="37"/>
  <c r="AC26"/>
  <c r="F26"/>
  <c r="S26"/>
  <c r="J23" i="39"/>
  <c r="W23"/>
  <c r="E97"/>
  <c r="F97"/>
  <c r="G97"/>
  <c r="H15" i="37"/>
  <c r="F15"/>
  <c r="S15"/>
  <c r="AA15"/>
  <c r="F38" i="40"/>
  <c r="J38"/>
  <c r="W38"/>
  <c r="H38"/>
  <c r="AB38"/>
  <c r="J40"/>
  <c r="AC40"/>
  <c r="H40"/>
  <c r="AB40"/>
  <c r="F40"/>
  <c r="N6" i="43"/>
  <c r="F70"/>
  <c r="H78"/>
  <c r="M1"/>
  <c r="F33" i="9"/>
  <c r="C25" i="57"/>
  <c r="N102" i="43"/>
  <c r="C102"/>
  <c r="G103"/>
  <c r="D103"/>
  <c r="H106"/>
  <c r="E103"/>
  <c r="F59"/>
  <c r="H63"/>
  <c r="G15" i="47"/>
  <c r="W40" i="40"/>
  <c r="AB35" i="39"/>
  <c r="AA34" i="35"/>
  <c r="J17" i="34"/>
  <c r="AC17"/>
  <c r="H27" i="33"/>
  <c r="F43"/>
  <c r="S43"/>
  <c r="F125"/>
  <c r="G125"/>
  <c r="J43"/>
  <c r="AC43"/>
  <c r="AB31" i="21"/>
  <c r="AA29"/>
  <c r="S29"/>
  <c r="H27" i="36"/>
  <c r="F27"/>
  <c r="H11" i="34"/>
  <c r="U11"/>
  <c r="S17" i="37"/>
  <c r="J11"/>
  <c r="AC11"/>
  <c r="W12" i="39"/>
  <c r="AC12"/>
  <c r="S45" i="21"/>
  <c r="AC37" i="37"/>
  <c r="F23" i="39"/>
  <c r="AA23"/>
  <c r="J44" i="34"/>
  <c r="AC44"/>
  <c r="H10" i="37"/>
  <c r="U10"/>
  <c r="S31" i="21"/>
  <c r="AB29"/>
  <c r="G101" i="33"/>
  <c r="H101"/>
  <c r="I101"/>
  <c r="J101"/>
  <c r="K101"/>
  <c r="L101"/>
  <c r="M101"/>
  <c r="J32"/>
  <c r="W32"/>
  <c r="H32"/>
  <c r="AB32"/>
  <c r="U45" i="21"/>
  <c r="U12" i="36"/>
  <c r="W45" i="21"/>
  <c r="W13"/>
  <c r="AC13"/>
  <c r="J10" i="37"/>
  <c r="H23" i="39"/>
  <c r="AB23"/>
  <c r="J11" i="34"/>
  <c r="W11"/>
  <c r="J27" i="33"/>
  <c r="W27"/>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F72" i="15"/>
  <c r="D93" i="9"/>
  <c r="D37" i="11"/>
  <c r="C37"/>
  <c r="D10"/>
  <c r="C10"/>
  <c r="P60" i="15"/>
  <c r="D78" i="9"/>
  <c r="D94" i="57"/>
  <c r="D3" i="33"/>
  <c r="D3" i="37"/>
  <c r="AB36" i="40"/>
  <c r="AA32"/>
  <c r="W31"/>
  <c r="AC9"/>
  <c r="S9"/>
  <c r="AC38"/>
  <c r="W35"/>
  <c r="W33"/>
  <c r="W34"/>
  <c r="AB39"/>
  <c r="J37"/>
  <c r="AC37"/>
  <c r="H35"/>
  <c r="H37"/>
  <c r="H28"/>
  <c r="U28"/>
  <c r="F28"/>
  <c r="AA28"/>
  <c r="J28"/>
  <c r="F98"/>
  <c r="G98"/>
  <c r="H98"/>
  <c r="I98"/>
  <c r="J98"/>
  <c r="K98"/>
  <c r="L98"/>
  <c r="M98"/>
  <c r="F21"/>
  <c r="S21"/>
  <c r="H21"/>
  <c r="U21"/>
  <c r="F90"/>
  <c r="G90"/>
  <c r="J21"/>
  <c r="W21"/>
  <c r="W19"/>
  <c r="H17"/>
  <c r="U17"/>
  <c r="J17"/>
  <c r="F17"/>
  <c r="S17"/>
  <c r="F84"/>
  <c r="G84"/>
  <c r="F15"/>
  <c r="J15"/>
  <c r="AC15"/>
  <c r="H15"/>
  <c r="AC25"/>
  <c r="W25"/>
  <c r="U19"/>
  <c r="U8"/>
  <c r="AA19"/>
  <c r="S36"/>
  <c r="AA35"/>
  <c r="AC38" i="39"/>
  <c r="AC17"/>
  <c r="AA37"/>
  <c r="AB29"/>
  <c r="AC25"/>
  <c r="S23"/>
  <c r="AC23"/>
  <c r="W27"/>
  <c r="AC27"/>
  <c r="W35"/>
  <c r="U41"/>
  <c r="AB15"/>
  <c r="U42"/>
  <c r="U19"/>
  <c r="AB27"/>
  <c r="U27"/>
  <c r="AA27"/>
  <c r="S27"/>
  <c r="S40"/>
  <c r="S31"/>
  <c r="AC11"/>
  <c r="AA12"/>
  <c r="S13"/>
  <c r="S34" i="36"/>
  <c r="S11"/>
  <c r="S12"/>
  <c r="S22"/>
  <c r="AC16"/>
  <c r="W14"/>
  <c r="S26"/>
  <c r="AC26"/>
  <c r="AA25"/>
  <c r="S14"/>
  <c r="U14"/>
  <c r="S10"/>
  <c r="W18"/>
  <c r="AC18"/>
  <c r="AC12"/>
  <c r="AC32"/>
  <c r="AC20"/>
  <c r="W29"/>
  <c r="U13"/>
  <c r="AB18"/>
  <c r="U18"/>
  <c r="S28"/>
  <c r="AC25" i="35"/>
  <c r="W23"/>
  <c r="AB23"/>
  <c r="W11"/>
  <c r="W10"/>
  <c r="AB16"/>
  <c r="W14"/>
  <c r="W34"/>
  <c r="AC27"/>
  <c r="U14"/>
  <c r="AB10"/>
  <c r="U8"/>
  <c r="AB12"/>
  <c r="S20"/>
  <c r="S10"/>
  <c r="S34" i="37"/>
  <c r="W32"/>
  <c r="W26"/>
  <c r="AB28"/>
  <c r="J33"/>
  <c r="W33"/>
  <c r="F33"/>
  <c r="AA33"/>
  <c r="H99"/>
  <c r="I99"/>
  <c r="J99"/>
  <c r="K99"/>
  <c r="L99"/>
  <c r="M99"/>
  <c r="H33"/>
  <c r="AB33"/>
  <c r="AC35"/>
  <c r="W35"/>
  <c r="H35"/>
  <c r="F35"/>
  <c r="S35"/>
  <c r="E103"/>
  <c r="F103"/>
  <c r="G103"/>
  <c r="H103"/>
  <c r="I103"/>
  <c r="J103"/>
  <c r="K103"/>
  <c r="L103"/>
  <c r="M103"/>
  <c r="AC23"/>
  <c r="J19"/>
  <c r="W19"/>
  <c r="F19"/>
  <c r="AA19"/>
  <c r="G75"/>
  <c r="H19"/>
  <c r="W17"/>
  <c r="AC17"/>
  <c r="AB17"/>
  <c r="J15"/>
  <c r="AC15"/>
  <c r="S10"/>
  <c r="AA11"/>
  <c r="U9"/>
  <c r="AB10"/>
  <c r="AC21"/>
  <c r="W21"/>
  <c r="W11"/>
  <c r="W14"/>
  <c r="AB11"/>
  <c r="S37"/>
  <c r="AA38"/>
  <c r="S38" i="34"/>
  <c r="S36"/>
  <c r="U21"/>
  <c r="AA41"/>
  <c r="U25" i="33"/>
  <c r="W11"/>
  <c r="U17"/>
  <c r="W25"/>
  <c r="U34"/>
  <c r="U38"/>
  <c r="AC41"/>
  <c r="AC27"/>
  <c r="AA45"/>
  <c r="S23"/>
  <c r="S17"/>
  <c r="W17"/>
  <c r="U15"/>
  <c r="AB9"/>
  <c r="U9"/>
  <c r="S10"/>
  <c r="W9"/>
  <c r="AC19"/>
  <c r="W21"/>
  <c r="AC21"/>
  <c r="AB41"/>
  <c r="AB42"/>
  <c r="U39"/>
  <c r="S42"/>
  <c r="S9"/>
  <c r="W42" i="21"/>
  <c r="W39"/>
  <c r="AA34"/>
  <c r="AA15"/>
  <c r="AC26"/>
  <c r="AC32"/>
  <c r="AB39"/>
  <c r="W40"/>
  <c r="U27"/>
  <c r="AB23"/>
  <c r="U19"/>
  <c r="U43"/>
  <c r="U26"/>
  <c r="U30"/>
  <c r="AB36"/>
  <c r="S17"/>
  <c r="AA36"/>
  <c r="AA43"/>
  <c r="S28"/>
  <c r="AB21"/>
  <c r="U21"/>
  <c r="AC19"/>
  <c r="U17"/>
  <c r="U12"/>
  <c r="AB11"/>
  <c r="U10"/>
  <c r="AB8"/>
  <c r="AA11"/>
  <c r="AA14"/>
  <c r="S8"/>
  <c r="T59" i="31"/>
  <c r="D33" i="50"/>
  <c r="D12"/>
  <c r="B26" i="60"/>
  <c r="D34" i="50"/>
  <c r="D13"/>
  <c r="B27" i="60"/>
  <c r="D111" i="57"/>
  <c r="D35" i="50"/>
  <c r="D14"/>
  <c r="B28" i="60"/>
  <c r="C18" i="9"/>
  <c r="D18"/>
  <c r="D22" i="15"/>
  <c r="A4" i="54"/>
  <c r="B6" i="60"/>
  <c r="H102" i="43"/>
  <c r="K107"/>
  <c r="D3" i="21"/>
  <c r="M6" i="43"/>
  <c r="M5"/>
  <c r="F81"/>
  <c r="H13" i="44"/>
  <c r="G59" i="40"/>
  <c r="C59"/>
  <c r="H11" i="44"/>
  <c r="A6" i="54"/>
  <c r="B7" i="60"/>
  <c r="A8" i="54"/>
  <c r="B8" i="60"/>
  <c r="F2" i="21"/>
  <c r="F2" i="34"/>
  <c r="F2" i="33"/>
  <c r="D35" i="57"/>
  <c r="B104"/>
  <c r="T480" i="31"/>
  <c r="T442"/>
  <c r="T76"/>
  <c r="A132" i="9"/>
  <c r="M20" i="15"/>
  <c r="D9" i="11"/>
  <c r="C9"/>
  <c r="D19"/>
  <c r="C17" i="12"/>
  <c r="G22" i="11"/>
  <c r="G41"/>
  <c r="H113" i="43"/>
  <c r="X7"/>
  <c r="E59"/>
  <c r="B57"/>
  <c r="E70"/>
  <c r="B68"/>
  <c r="H22"/>
  <c r="AI11"/>
  <c r="AI13"/>
  <c r="AG11"/>
  <c r="AG13"/>
  <c r="AE11"/>
  <c r="AE13"/>
  <c r="AC11"/>
  <c r="AC13"/>
  <c r="AA11"/>
  <c r="AA13"/>
  <c r="Y11"/>
  <c r="Y13"/>
  <c r="S2"/>
  <c r="AJ11"/>
  <c r="AJ13"/>
  <c r="AH11"/>
  <c r="AH13"/>
  <c r="AF11"/>
  <c r="AF13"/>
  <c r="AD11"/>
  <c r="AD13"/>
  <c r="AB11"/>
  <c r="AB13"/>
  <c r="Z11"/>
  <c r="Z13"/>
  <c r="Z7"/>
  <c r="S5"/>
  <c r="E9"/>
  <c r="E8"/>
  <c r="E10"/>
  <c r="E11"/>
  <c r="C53" i="10"/>
  <c r="D123" i="9"/>
  <c r="D124"/>
  <c r="D7" i="52"/>
  <c r="M48" i="57"/>
  <c r="L105" i="43"/>
  <c r="H105"/>
  <c r="H107"/>
  <c r="D104"/>
  <c r="K102"/>
  <c r="G105"/>
  <c r="C107"/>
  <c r="A4" i="52"/>
  <c r="A124" i="57"/>
  <c r="M47" i="9"/>
  <c r="N104" i="46"/>
  <c r="J17" i="43"/>
  <c r="I104"/>
  <c r="I115"/>
  <c r="J115"/>
  <c r="K115"/>
  <c r="L115"/>
  <c r="M115"/>
  <c r="L106"/>
  <c r="L104"/>
  <c r="H104"/>
  <c r="H103"/>
  <c r="D105"/>
  <c r="D102"/>
  <c r="K105"/>
  <c r="K103"/>
  <c r="G104"/>
  <c r="G102"/>
  <c r="C105"/>
  <c r="H70"/>
  <c r="D115"/>
  <c r="E115"/>
  <c r="F115"/>
  <c r="G115"/>
  <c r="H115"/>
  <c r="B117"/>
  <c r="C117"/>
  <c r="M109"/>
  <c r="I107"/>
  <c r="N106"/>
  <c r="F104"/>
  <c r="G37" i="47"/>
  <c r="F36" i="43"/>
  <c r="C17"/>
  <c r="F35"/>
  <c r="F37"/>
  <c r="F39"/>
  <c r="K17"/>
  <c r="F38"/>
  <c r="J20" i="15"/>
  <c r="K86" i="43"/>
  <c r="J86"/>
  <c r="D86"/>
  <c r="M87"/>
  <c r="N87"/>
  <c r="K82"/>
  <c r="J82"/>
  <c r="D82"/>
  <c r="M83"/>
  <c r="N83"/>
  <c r="I116"/>
  <c r="J116"/>
  <c r="K116"/>
  <c r="L116"/>
  <c r="M116"/>
  <c r="B118"/>
  <c r="C118"/>
  <c r="B116"/>
  <c r="C116"/>
  <c r="I106"/>
  <c r="E105"/>
  <c r="N104"/>
  <c r="M12"/>
  <c r="M8"/>
  <c r="N7"/>
  <c r="M3"/>
  <c r="M11"/>
  <c r="N8"/>
  <c r="H8" i="44"/>
  <c r="H12"/>
  <c r="C63" i="39"/>
  <c r="M85" i="43"/>
  <c r="N85"/>
  <c r="K85"/>
  <c r="J85"/>
  <c r="D85"/>
  <c r="M82"/>
  <c r="N82"/>
  <c r="K83"/>
  <c r="J83"/>
  <c r="D83"/>
  <c r="F109"/>
  <c r="F103"/>
  <c r="F105"/>
  <c r="J102"/>
  <c r="J104"/>
  <c r="J106"/>
  <c r="N103"/>
  <c r="N105"/>
  <c r="E107"/>
  <c r="E104"/>
  <c r="E106"/>
  <c r="I109"/>
  <c r="I105"/>
  <c r="M107"/>
  <c r="M102"/>
  <c r="M106"/>
  <c r="B115"/>
  <c r="C115"/>
  <c r="I117"/>
  <c r="J117"/>
  <c r="K117"/>
  <c r="L117"/>
  <c r="M117"/>
  <c r="D118"/>
  <c r="E118"/>
  <c r="F118"/>
  <c r="F35" i="15"/>
  <c r="F64"/>
  <c r="C63"/>
  <c r="W23" i="40"/>
  <c r="S23"/>
  <c r="U23"/>
  <c r="U40"/>
  <c r="S33"/>
  <c r="AB31"/>
  <c r="AC13"/>
  <c r="S14"/>
  <c r="S31"/>
  <c r="S11"/>
  <c r="AB32" i="39"/>
  <c r="AB37"/>
  <c r="W34"/>
  <c r="S11"/>
  <c r="AA25"/>
  <c r="S29"/>
  <c r="AB43"/>
  <c r="AC41"/>
  <c r="U11"/>
  <c r="W36"/>
  <c r="S34"/>
  <c r="S39"/>
  <c r="U9"/>
  <c r="S20" i="36"/>
  <c r="AA13"/>
  <c r="AA33"/>
  <c r="S8"/>
  <c r="AB34" i="35"/>
  <c r="W29"/>
  <c r="U33"/>
  <c r="W33"/>
  <c r="S36"/>
  <c r="U22"/>
  <c r="AA33"/>
  <c r="AA29"/>
  <c r="S22"/>
  <c r="U28"/>
  <c r="AB27"/>
  <c r="U36"/>
  <c r="S35"/>
  <c r="S26"/>
  <c r="AB26"/>
  <c r="AC16"/>
  <c r="AA25"/>
  <c r="S28"/>
  <c r="AC34" i="37"/>
  <c r="U29"/>
  <c r="U30"/>
  <c r="S40"/>
  <c r="AC29"/>
  <c r="AC13"/>
  <c r="U38"/>
  <c r="AA13"/>
  <c r="AA8"/>
  <c r="W25"/>
  <c r="S9"/>
  <c r="J21" i="34"/>
  <c r="AC21"/>
  <c r="U31"/>
  <c r="S13"/>
  <c r="AC32" i="33"/>
  <c r="AA43"/>
  <c r="S32"/>
  <c r="U33"/>
  <c r="AA28"/>
  <c r="S39"/>
  <c r="AA36"/>
  <c r="W35"/>
  <c r="W40"/>
  <c r="W26"/>
  <c r="S33"/>
  <c r="U35"/>
  <c r="U32"/>
  <c r="AB29"/>
  <c r="AB36"/>
  <c r="W15"/>
  <c r="AA19"/>
  <c r="G83" i="21"/>
  <c r="J21"/>
  <c r="W21"/>
  <c r="AC31"/>
  <c r="W23"/>
  <c r="AA25"/>
  <c r="S46"/>
  <c r="AC46"/>
  <c r="AA26"/>
  <c r="W10"/>
  <c r="S35"/>
  <c r="C15" i="39"/>
  <c r="C17"/>
  <c r="C19"/>
  <c r="C17" i="40"/>
  <c r="B54" i="43"/>
  <c r="B65"/>
  <c r="B49"/>
  <c r="B60"/>
  <c r="AC21" i="40"/>
  <c r="U35"/>
  <c r="AB35"/>
  <c r="S28"/>
  <c r="AC28"/>
  <c r="W28"/>
  <c r="AB28"/>
  <c r="AB21"/>
  <c r="AA21"/>
  <c r="AB17"/>
  <c r="AA17"/>
  <c r="W17"/>
  <c r="AC17"/>
  <c r="AA15"/>
  <c r="S15"/>
  <c r="S33" i="37"/>
  <c r="AC33"/>
  <c r="S19"/>
  <c r="W15"/>
  <c r="M86" i="43"/>
  <c r="N86"/>
  <c r="D20" i="1"/>
  <c r="F18"/>
  <c r="C11" i="12"/>
  <c r="K87" i="43"/>
  <c r="J87"/>
  <c r="D87"/>
  <c r="K106" i="9"/>
  <c r="A18" i="55"/>
  <c r="B48" i="60"/>
  <c r="J22" i="43"/>
  <c r="M84"/>
  <c r="N84"/>
  <c r="K84"/>
  <c r="J84"/>
  <c r="D84"/>
  <c r="M81"/>
  <c r="N81"/>
  <c r="K81"/>
  <c r="J81"/>
  <c r="D81"/>
  <c r="M88"/>
  <c r="N88"/>
  <c r="K88"/>
  <c r="J88"/>
  <c r="D88"/>
  <c r="B40" i="1"/>
  <c r="M27" i="15"/>
  <c r="C24" i="43"/>
  <c r="C13" i="12"/>
  <c r="C36" i="11"/>
  <c r="D118" i="57"/>
  <c r="I114"/>
  <c r="D131"/>
  <c r="D133"/>
  <c r="D13" i="52"/>
  <c r="D130" i="9"/>
  <c r="D23" i="48"/>
  <c r="H67" i="43"/>
  <c r="H9" i="44"/>
  <c r="H7"/>
  <c r="H10"/>
  <c r="N12" i="43"/>
  <c r="N4"/>
  <c r="M7"/>
  <c r="N1"/>
  <c r="M10"/>
  <c r="M2"/>
  <c r="C6"/>
  <c r="H15" i="44"/>
  <c r="H61" i="43"/>
  <c r="H5" i="44"/>
  <c r="N10" i="43"/>
  <c r="N2"/>
  <c r="N11"/>
  <c r="N9"/>
  <c r="M4"/>
  <c r="N5"/>
  <c r="N3"/>
  <c r="M9"/>
  <c r="E17"/>
  <c r="N17"/>
  <c r="L17"/>
  <c r="O17"/>
  <c r="M17"/>
  <c r="C11" i="59"/>
  <c r="D11"/>
  <c r="D12"/>
  <c r="B13"/>
  <c r="S13"/>
  <c r="AB13"/>
  <c r="U13"/>
  <c r="AA12"/>
  <c r="X12"/>
  <c r="AB12"/>
  <c r="AA11"/>
  <c r="Y11"/>
  <c r="Z11"/>
  <c r="Y9"/>
  <c r="Z9"/>
  <c r="AB9"/>
  <c r="AB7"/>
  <c r="X9"/>
  <c r="X7"/>
  <c r="AA9"/>
  <c r="AA7"/>
  <c r="AB8"/>
  <c r="X8"/>
  <c r="U9"/>
  <c r="J30" i="35"/>
  <c r="W30"/>
  <c r="H30"/>
  <c r="N56" i="9"/>
  <c r="D48" i="35"/>
  <c r="E48"/>
  <c r="F48"/>
  <c r="G48"/>
  <c r="H48"/>
  <c r="I48"/>
  <c r="J48"/>
  <c r="K48"/>
  <c r="L48"/>
  <c r="M48"/>
  <c r="N48"/>
  <c r="O48"/>
  <c r="X3" i="59"/>
  <c r="Y3"/>
  <c r="Z3"/>
  <c r="H16" i="48"/>
  <c r="D15"/>
  <c r="D5"/>
  <c r="H5"/>
  <c r="F48" i="43"/>
  <c r="H56"/>
  <c r="G4" i="47"/>
  <c r="B12" i="59"/>
  <c r="B11"/>
  <c r="B10"/>
  <c r="B9"/>
  <c r="AC30" i="35"/>
  <c r="AB30"/>
  <c r="U30"/>
  <c r="G20" i="43"/>
  <c r="H51"/>
  <c r="H50"/>
  <c r="H55"/>
  <c r="H49"/>
  <c r="H48"/>
  <c r="H54"/>
  <c r="D119" i="57"/>
  <c r="E41" i="43"/>
  <c r="C41"/>
  <c r="I112" i="9"/>
  <c r="C92"/>
  <c r="C94"/>
  <c r="M56"/>
  <c r="D127"/>
  <c r="D116"/>
  <c r="D106"/>
  <c r="D114"/>
  <c r="D107"/>
  <c r="D115"/>
  <c r="H15" i="48"/>
  <c r="D16"/>
  <c r="F5" i="61"/>
  <c r="E2" i="21"/>
  <c r="E2" i="35"/>
  <c r="F6" i="61"/>
  <c r="E2" i="37"/>
  <c r="E2" i="11"/>
  <c r="F7" i="61"/>
  <c r="H23" i="31"/>
  <c r="E2" i="36"/>
  <c r="E2" i="34"/>
  <c r="E2" i="33"/>
  <c r="F3" i="61"/>
  <c r="C10" i="59"/>
  <c r="C9"/>
  <c r="AA35" i="37"/>
  <c r="W37" i="40"/>
  <c r="U40" i="21"/>
  <c r="AB32"/>
  <c r="W43" i="33"/>
  <c r="U35" i="37"/>
  <c r="AB35"/>
  <c r="U23" i="39"/>
  <c r="AC10" i="37"/>
  <c r="W10"/>
  <c r="U31"/>
  <c r="S4" i="43"/>
  <c r="S6"/>
  <c r="S3"/>
  <c r="C23"/>
  <c r="S24" i="36"/>
  <c r="AA24"/>
  <c r="S40" i="21"/>
  <c r="AA40"/>
  <c r="U16" i="36"/>
  <c r="AB16"/>
  <c r="AA27" i="37"/>
  <c r="S27"/>
  <c r="H88" i="43"/>
  <c r="H81"/>
  <c r="U37" i="40"/>
  <c r="AB37"/>
  <c r="AB27" i="36"/>
  <c r="U27"/>
  <c r="AB27" i="33"/>
  <c r="U27"/>
  <c r="AA40" i="40"/>
  <c r="S40"/>
  <c r="S32" i="21"/>
  <c r="AA32"/>
  <c r="W34"/>
  <c r="W39" i="33"/>
  <c r="E48" i="43"/>
  <c r="B46"/>
  <c r="W29" i="21"/>
  <c r="U11" i="36"/>
  <c r="AB13" i="37"/>
  <c r="AB28" i="36"/>
  <c r="AA13" i="21"/>
  <c r="F102" i="43"/>
  <c r="N107"/>
  <c r="I102"/>
  <c r="W25" i="21"/>
  <c r="AC30" i="34"/>
  <c r="AB25" i="39"/>
  <c r="S15"/>
  <c r="F15" i="47"/>
  <c r="B13"/>
  <c r="F37"/>
  <c r="B35"/>
  <c r="AA23" i="37"/>
  <c r="S11" i="33"/>
  <c r="AC31"/>
  <c r="W36"/>
  <c r="U42" i="21"/>
  <c r="AC13" i="36"/>
  <c r="S14" i="33"/>
  <c r="AB37" i="37"/>
  <c r="AA44" i="33"/>
  <c r="W14" i="40"/>
  <c r="AB30"/>
  <c r="U26" i="33"/>
  <c r="W14" i="21"/>
  <c r="AC37" i="33"/>
  <c r="J12" i="21"/>
  <c r="AB11" i="33"/>
  <c r="U11"/>
  <c r="G483" i="31"/>
  <c r="D100" i="43"/>
  <c r="D108"/>
  <c r="D109"/>
  <c r="G108"/>
  <c r="G109"/>
  <c r="G100"/>
  <c r="L100"/>
  <c r="L108"/>
  <c r="I10" i="58"/>
  <c r="E26"/>
  <c r="C32"/>
  <c r="F12" i="34"/>
  <c r="F39"/>
  <c r="AA39"/>
  <c r="F19"/>
  <c r="S19"/>
  <c r="F12" i="35"/>
  <c r="J36"/>
  <c r="H45" i="39"/>
  <c r="AA39" i="40"/>
  <c r="C108" i="43"/>
  <c r="C109"/>
  <c r="C100"/>
  <c r="X27" i="59"/>
  <c r="C44"/>
  <c r="E48"/>
  <c r="E49"/>
  <c r="U49"/>
  <c r="AB26"/>
  <c r="A18" i="54"/>
  <c r="B15" i="60"/>
  <c r="I106" i="57"/>
  <c r="I15" i="58"/>
  <c r="I20"/>
  <c r="S21" i="21"/>
  <c r="U18" i="35"/>
  <c r="AB25" i="40"/>
  <c r="E16" i="59"/>
  <c r="E15"/>
  <c r="AB16"/>
  <c r="C76"/>
  <c r="E68"/>
  <c r="E67"/>
  <c r="D57"/>
  <c r="Q56"/>
  <c r="AB15"/>
  <c r="Q54"/>
  <c r="Y12"/>
  <c r="Z12"/>
  <c r="B20"/>
  <c r="B21"/>
  <c r="S21"/>
  <c r="Y19"/>
  <c r="Z19"/>
  <c r="AB20"/>
  <c r="AB21"/>
  <c r="Y23"/>
  <c r="Z23"/>
  <c r="AB23"/>
  <c r="AB25"/>
  <c r="F29"/>
  <c r="V29"/>
  <c r="Y27"/>
  <c r="Z27"/>
  <c r="AB27"/>
  <c r="B32"/>
  <c r="B33"/>
  <c r="S33"/>
  <c r="B36"/>
  <c r="B37"/>
  <c r="S37"/>
  <c r="E56"/>
  <c r="N57"/>
  <c r="S61"/>
  <c r="B20" i="60"/>
  <c r="G419" i="31"/>
  <c r="G291"/>
  <c r="G163"/>
  <c r="G435"/>
  <c r="G307"/>
  <c r="G115"/>
  <c r="T78"/>
  <c r="T267"/>
  <c r="G467"/>
  <c r="G403"/>
  <c r="G339"/>
  <c r="G275"/>
  <c r="G211"/>
  <c r="G147"/>
  <c r="G83"/>
  <c r="G355"/>
  <c r="G227"/>
  <c r="G99"/>
  <c r="G499"/>
  <c r="G371"/>
  <c r="G243"/>
  <c r="G179"/>
  <c r="G515"/>
  <c r="G451"/>
  <c r="G387"/>
  <c r="G323"/>
  <c r="G259"/>
  <c r="G195"/>
  <c r="G131"/>
  <c r="G54"/>
  <c r="C29" i="11"/>
  <c r="D27"/>
  <c r="C47"/>
  <c r="D45"/>
  <c r="C8" i="59"/>
  <c r="D9"/>
  <c r="T9"/>
  <c r="B8"/>
  <c r="B7"/>
  <c r="B6"/>
  <c r="B5"/>
  <c r="S9"/>
  <c r="AB25" i="35"/>
  <c r="U25"/>
  <c r="AC44" i="33"/>
  <c r="W44"/>
  <c r="AA9" i="35"/>
  <c r="S9"/>
  <c r="H12" i="37"/>
  <c r="F12"/>
  <c r="AC21" i="21"/>
  <c r="W37"/>
  <c r="AC37"/>
  <c r="D10" i="59"/>
  <c r="E81" i="43"/>
  <c r="B79"/>
  <c r="U33" i="37"/>
  <c r="U37" i="33"/>
  <c r="S43" i="39"/>
  <c r="U13" i="33"/>
  <c r="AA29" i="37"/>
  <c r="U19"/>
  <c r="AB19"/>
  <c r="S29" i="36"/>
  <c r="AB15" i="40"/>
  <c r="U15"/>
  <c r="AB27" i="37"/>
  <c r="F44" i="34"/>
  <c r="AA44"/>
  <c r="J12" i="37"/>
  <c r="J24" i="35"/>
  <c r="U43" i="33"/>
  <c r="AB43"/>
  <c r="W9" i="39"/>
  <c r="W9" i="37"/>
  <c r="AC9"/>
  <c r="U23"/>
  <c r="AA36"/>
  <c r="S36"/>
  <c r="W14" i="39"/>
  <c r="AC14"/>
  <c r="AA28" i="37"/>
  <c r="S28"/>
  <c r="S30" i="35"/>
  <c r="AA30"/>
  <c r="S27" i="40"/>
  <c r="AA27"/>
  <c r="AA25" i="33"/>
  <c r="S25"/>
  <c r="S41"/>
  <c r="AA41"/>
  <c r="AB40" i="39"/>
  <c r="U40"/>
  <c r="J9" i="21"/>
  <c r="F9"/>
  <c r="H9"/>
  <c r="W8" i="34"/>
  <c r="AC8"/>
  <c r="H9"/>
  <c r="U9"/>
  <c r="J9"/>
  <c r="W9"/>
  <c r="F9"/>
  <c r="S32" i="35"/>
  <c r="AA32"/>
  <c r="J12" i="33"/>
  <c r="F12"/>
  <c r="J30"/>
  <c r="H30"/>
  <c r="F46"/>
  <c r="H46"/>
  <c r="J46"/>
  <c r="H45" i="34"/>
  <c r="J45"/>
  <c r="W45"/>
  <c r="F13" i="35"/>
  <c r="H13"/>
  <c r="AC8" i="36"/>
  <c r="W8"/>
  <c r="U25" i="37"/>
  <c r="AB25"/>
  <c r="AA9" i="39"/>
  <c r="S9"/>
  <c r="AA44"/>
  <c r="S44"/>
  <c r="J32" i="40"/>
  <c r="H32"/>
  <c r="U24" i="35"/>
  <c r="AB24"/>
  <c r="AC13"/>
  <c r="W13"/>
  <c r="AC28" i="33"/>
  <c r="W28"/>
  <c r="U12" i="34"/>
  <c r="AB12"/>
  <c r="J12" i="40"/>
  <c r="H12"/>
  <c r="B56" i="43"/>
  <c r="W8" i="33"/>
  <c r="W32" i="39"/>
  <c r="C7" i="43"/>
  <c r="S24" i="35"/>
  <c r="W27" i="37"/>
  <c r="U38" i="40"/>
  <c r="F12"/>
  <c r="AC25" i="36"/>
  <c r="W25"/>
  <c r="AA47" i="34"/>
  <c r="S47"/>
  <c r="S30" i="33"/>
  <c r="AA30"/>
  <c r="AC11" i="40"/>
  <c r="AC34" i="36"/>
  <c r="W34"/>
  <c r="W33"/>
  <c r="AC33"/>
  <c r="B85" i="43"/>
  <c r="B41" i="47"/>
  <c r="C23" i="40"/>
  <c r="U12" i="33"/>
  <c r="AB12"/>
  <c r="AA34"/>
  <c r="S34"/>
  <c r="AC42"/>
  <c r="W42"/>
  <c r="F124" i="34"/>
  <c r="G124"/>
  <c r="H124"/>
  <c r="I124"/>
  <c r="J124"/>
  <c r="K124"/>
  <c r="L124"/>
  <c r="M124"/>
  <c r="J43"/>
  <c r="W43"/>
  <c r="F43"/>
  <c r="AA43"/>
  <c r="H43"/>
  <c r="AC28" i="35"/>
  <c r="W28"/>
  <c r="U24" i="36"/>
  <c r="AB24"/>
  <c r="S31"/>
  <c r="AA31"/>
  <c r="AB34" i="37"/>
  <c r="U34"/>
  <c r="AA38" i="40"/>
  <c r="S38"/>
  <c r="AA31" i="37"/>
  <c r="S31"/>
  <c r="U13" i="21"/>
  <c r="AB13"/>
  <c r="W15" i="40"/>
  <c r="S7" i="43"/>
  <c r="AC19" i="37"/>
  <c r="S21" i="39"/>
  <c r="AA27" i="36"/>
  <c r="S27"/>
  <c r="AB15" i="37"/>
  <c r="U15"/>
  <c r="AA26"/>
  <c r="W24" i="36"/>
  <c r="H44" i="34"/>
  <c r="AB44"/>
  <c r="W36" i="37"/>
  <c r="U34" i="21"/>
  <c r="AB34"/>
  <c r="AC36" i="40"/>
  <c r="AC42" i="39"/>
  <c r="W42"/>
  <c r="AC38" i="37"/>
  <c r="W38"/>
  <c r="AB25" i="36"/>
  <c r="U25"/>
  <c r="AB31" i="33"/>
  <c r="U31"/>
  <c r="U44" i="21"/>
  <c r="AB44"/>
  <c r="U40" i="33"/>
  <c r="AC29" i="39"/>
  <c r="W29"/>
  <c r="B81" i="43"/>
  <c r="C15" i="40"/>
  <c r="W10" i="33"/>
  <c r="AC10"/>
  <c r="W35" i="35"/>
  <c r="AC35"/>
  <c r="AC22"/>
  <c r="W22"/>
  <c r="AC28" i="36"/>
  <c r="W28"/>
  <c r="U26" i="37"/>
  <c r="AB26"/>
  <c r="AC21" i="39"/>
  <c r="W21"/>
  <c r="U41" i="21"/>
  <c r="AB41"/>
  <c r="AB9" i="35"/>
  <c r="U9"/>
  <c r="W27" i="36"/>
  <c r="AB25" i="21"/>
  <c r="S27"/>
  <c r="AC45" i="33"/>
  <c r="U19"/>
  <c r="W41" i="34"/>
  <c r="G118" i="43"/>
  <c r="H118"/>
  <c r="D116"/>
  <c r="E116"/>
  <c r="F116"/>
  <c r="G116"/>
  <c r="H116"/>
  <c r="M104"/>
  <c r="J107"/>
  <c r="F106"/>
  <c r="D117"/>
  <c r="E117"/>
  <c r="F117"/>
  <c r="G117"/>
  <c r="H117"/>
  <c r="J105"/>
  <c r="C103"/>
  <c r="G106"/>
  <c r="D106"/>
  <c r="L102"/>
  <c r="C104"/>
  <c r="K106"/>
  <c r="L109"/>
  <c r="C106"/>
  <c r="L103"/>
  <c r="AA39" i="21"/>
  <c r="AA14" i="37"/>
  <c r="AC26" i="35"/>
  <c r="S23"/>
  <c r="U14" i="40"/>
  <c r="C115" i="57"/>
  <c r="H111"/>
  <c r="K104" i="43"/>
  <c r="J40" i="37"/>
  <c r="W11" i="21"/>
  <c r="AC46" i="34"/>
  <c r="AA32" i="37"/>
  <c r="S30" i="36"/>
  <c r="S39" i="34"/>
  <c r="D22" i="43"/>
  <c r="C21"/>
  <c r="W39" i="39"/>
  <c r="W19"/>
  <c r="AC31"/>
  <c r="AB38" i="21"/>
  <c r="AB28" i="33"/>
  <c r="H35" i="35"/>
  <c r="W32"/>
  <c r="AC38" i="21"/>
  <c r="H28"/>
  <c r="J28"/>
  <c r="J44"/>
  <c r="F44"/>
  <c r="E78" i="34"/>
  <c r="F78"/>
  <c r="G78"/>
  <c r="F15"/>
  <c r="F23"/>
  <c r="S23"/>
  <c r="G67"/>
  <c r="H67"/>
  <c r="I67"/>
  <c r="F10"/>
  <c r="AC8" i="35"/>
  <c r="W23" i="36"/>
  <c r="B71" i="43"/>
  <c r="C21" i="39"/>
  <c r="AB33" i="36"/>
  <c r="U33"/>
  <c r="U29"/>
  <c r="AB29"/>
  <c r="F39" i="37"/>
  <c r="H39"/>
  <c r="J39"/>
  <c r="G526" i="31"/>
  <c r="G510"/>
  <c r="G494"/>
  <c r="G478"/>
  <c r="G462"/>
  <c r="G446"/>
  <c r="G430"/>
  <c r="G414"/>
  <c r="G398"/>
  <c r="G382"/>
  <c r="G366"/>
  <c r="G350"/>
  <c r="G334"/>
  <c r="G318"/>
  <c r="G302"/>
  <c r="G286"/>
  <c r="G270"/>
  <c r="G254"/>
  <c r="G238"/>
  <c r="G222"/>
  <c r="G206"/>
  <c r="G190"/>
  <c r="G174"/>
  <c r="G158"/>
  <c r="G142"/>
  <c r="G126"/>
  <c r="G110"/>
  <c r="G94"/>
  <c r="G78"/>
  <c r="G46"/>
  <c r="AA26" i="33"/>
  <c r="S26"/>
  <c r="J13"/>
  <c r="F13"/>
  <c r="AC22" i="36"/>
  <c r="AB31"/>
  <c r="G28" i="31"/>
  <c r="G523"/>
  <c r="G507"/>
  <c r="G491"/>
  <c r="G475"/>
  <c r="G459"/>
  <c r="G443"/>
  <c r="G427"/>
  <c r="G411"/>
  <c r="G395"/>
  <c r="G379"/>
  <c r="G363"/>
  <c r="G347"/>
  <c r="G331"/>
  <c r="G315"/>
  <c r="G299"/>
  <c r="G283"/>
  <c r="G267"/>
  <c r="G251"/>
  <c r="G235"/>
  <c r="G219"/>
  <c r="G203"/>
  <c r="G187"/>
  <c r="G171"/>
  <c r="G155"/>
  <c r="G139"/>
  <c r="G123"/>
  <c r="G107"/>
  <c r="G91"/>
  <c r="G70"/>
  <c r="H9" i="36"/>
  <c r="F9"/>
  <c r="G35" i="31"/>
  <c r="G36"/>
  <c r="G40"/>
  <c r="G44"/>
  <c r="G48"/>
  <c r="G52"/>
  <c r="G56"/>
  <c r="G60"/>
  <c r="G64"/>
  <c r="G68"/>
  <c r="G72"/>
  <c r="G76"/>
  <c r="G80"/>
  <c r="G84"/>
  <c r="G88"/>
  <c r="G92"/>
  <c r="G96"/>
  <c r="G100"/>
  <c r="G104"/>
  <c r="G108"/>
  <c r="G112"/>
  <c r="G116"/>
  <c r="G120"/>
  <c r="G124"/>
  <c r="G128"/>
  <c r="G132"/>
  <c r="G136"/>
  <c r="G140"/>
  <c r="G144"/>
  <c r="G148"/>
  <c r="G152"/>
  <c r="G156"/>
  <c r="G160"/>
  <c r="G164"/>
  <c r="G168"/>
  <c r="G172"/>
  <c r="G176"/>
  <c r="G180"/>
  <c r="G184"/>
  <c r="G188"/>
  <c r="G192"/>
  <c r="G196"/>
  <c r="G200"/>
  <c r="G204"/>
  <c r="G208"/>
  <c r="G212"/>
  <c r="G216"/>
  <c r="G220"/>
  <c r="G224"/>
  <c r="G228"/>
  <c r="G232"/>
  <c r="G236"/>
  <c r="G240"/>
  <c r="G244"/>
  <c r="G248"/>
  <c r="G252"/>
  <c r="G256"/>
  <c r="G260"/>
  <c r="G264"/>
  <c r="G268"/>
  <c r="G272"/>
  <c r="G276"/>
  <c r="G280"/>
  <c r="G284"/>
  <c r="G288"/>
  <c r="G292"/>
  <c r="G296"/>
  <c r="G300"/>
  <c r="G304"/>
  <c r="G308"/>
  <c r="G312"/>
  <c r="G316"/>
  <c r="G320"/>
  <c r="G324"/>
  <c r="G328"/>
  <c r="G332"/>
  <c r="G336"/>
  <c r="G340"/>
  <c r="G344"/>
  <c r="G348"/>
  <c r="G352"/>
  <c r="G356"/>
  <c r="G360"/>
  <c r="G364"/>
  <c r="G368"/>
  <c r="G372"/>
  <c r="G376"/>
  <c r="G380"/>
  <c r="G384"/>
  <c r="G388"/>
  <c r="G392"/>
  <c r="G396"/>
  <c r="G400"/>
  <c r="G404"/>
  <c r="G408"/>
  <c r="G412"/>
  <c r="G416"/>
  <c r="G420"/>
  <c r="G424"/>
  <c r="G428"/>
  <c r="G432"/>
  <c r="G436"/>
  <c r="G440"/>
  <c r="G444"/>
  <c r="G448"/>
  <c r="G452"/>
  <c r="G456"/>
  <c r="G460"/>
  <c r="G464"/>
  <c r="G468"/>
  <c r="G472"/>
  <c r="G476"/>
  <c r="G480"/>
  <c r="G484"/>
  <c r="G488"/>
  <c r="G492"/>
  <c r="G496"/>
  <c r="G500"/>
  <c r="G504"/>
  <c r="G508"/>
  <c r="G512"/>
  <c r="G516"/>
  <c r="G520"/>
  <c r="G524"/>
  <c r="G29"/>
  <c r="G32"/>
  <c r="G37"/>
  <c r="G41"/>
  <c r="G45"/>
  <c r="G49"/>
  <c r="G53"/>
  <c r="G57"/>
  <c r="G61"/>
  <c r="G65"/>
  <c r="G69"/>
  <c r="G73"/>
  <c r="G77"/>
  <c r="G81"/>
  <c r="G85"/>
  <c r="G89"/>
  <c r="G93"/>
  <c r="G97"/>
  <c r="G101"/>
  <c r="G105"/>
  <c r="G109"/>
  <c r="G113"/>
  <c r="G117"/>
  <c r="G121"/>
  <c r="G125"/>
  <c r="G129"/>
  <c r="G133"/>
  <c r="G137"/>
  <c r="G141"/>
  <c r="G145"/>
  <c r="G149"/>
  <c r="G153"/>
  <c r="G157"/>
  <c r="G161"/>
  <c r="G165"/>
  <c r="G169"/>
  <c r="G173"/>
  <c r="G177"/>
  <c r="G181"/>
  <c r="G185"/>
  <c r="G189"/>
  <c r="G193"/>
  <c r="G197"/>
  <c r="G201"/>
  <c r="G205"/>
  <c r="G209"/>
  <c r="G213"/>
  <c r="G217"/>
  <c r="G221"/>
  <c r="G225"/>
  <c r="G229"/>
  <c r="G233"/>
  <c r="G237"/>
  <c r="G241"/>
  <c r="G245"/>
  <c r="G249"/>
  <c r="G253"/>
  <c r="G257"/>
  <c r="G261"/>
  <c r="G265"/>
  <c r="G269"/>
  <c r="G273"/>
  <c r="G277"/>
  <c r="G281"/>
  <c r="G285"/>
  <c r="G289"/>
  <c r="G293"/>
  <c r="G297"/>
  <c r="G301"/>
  <c r="G305"/>
  <c r="G309"/>
  <c r="G313"/>
  <c r="G317"/>
  <c r="G321"/>
  <c r="G325"/>
  <c r="G329"/>
  <c r="G333"/>
  <c r="G337"/>
  <c r="G341"/>
  <c r="G345"/>
  <c r="G349"/>
  <c r="G353"/>
  <c r="G357"/>
  <c r="G361"/>
  <c r="G365"/>
  <c r="G369"/>
  <c r="G373"/>
  <c r="G377"/>
  <c r="G381"/>
  <c r="G385"/>
  <c r="G389"/>
  <c r="G393"/>
  <c r="G397"/>
  <c r="G401"/>
  <c r="G405"/>
  <c r="G409"/>
  <c r="G413"/>
  <c r="G417"/>
  <c r="G421"/>
  <c r="G425"/>
  <c r="G429"/>
  <c r="G433"/>
  <c r="G437"/>
  <c r="G441"/>
  <c r="G445"/>
  <c r="G449"/>
  <c r="G453"/>
  <c r="G457"/>
  <c r="G461"/>
  <c r="G465"/>
  <c r="G469"/>
  <c r="G473"/>
  <c r="G477"/>
  <c r="G481"/>
  <c r="G485"/>
  <c r="G489"/>
  <c r="G493"/>
  <c r="G497"/>
  <c r="G501"/>
  <c r="G505"/>
  <c r="G509"/>
  <c r="G513"/>
  <c r="G517"/>
  <c r="G521"/>
  <c r="G525"/>
  <c r="G30"/>
  <c r="G39"/>
  <c r="G47"/>
  <c r="G55"/>
  <c r="G63"/>
  <c r="G71"/>
  <c r="G79"/>
  <c r="G87"/>
  <c r="G95"/>
  <c r="G103"/>
  <c r="G111"/>
  <c r="G119"/>
  <c r="G127"/>
  <c r="G135"/>
  <c r="G143"/>
  <c r="G151"/>
  <c r="G159"/>
  <c r="G167"/>
  <c r="G175"/>
  <c r="G183"/>
  <c r="G191"/>
  <c r="G199"/>
  <c r="G207"/>
  <c r="G215"/>
  <c r="G223"/>
  <c r="G231"/>
  <c r="G239"/>
  <c r="G247"/>
  <c r="G255"/>
  <c r="G263"/>
  <c r="G271"/>
  <c r="G279"/>
  <c r="G287"/>
  <c r="G295"/>
  <c r="G303"/>
  <c r="G311"/>
  <c r="G319"/>
  <c r="G327"/>
  <c r="G335"/>
  <c r="G343"/>
  <c r="G351"/>
  <c r="G359"/>
  <c r="G367"/>
  <c r="G375"/>
  <c r="G383"/>
  <c r="G391"/>
  <c r="G399"/>
  <c r="G407"/>
  <c r="G415"/>
  <c r="G423"/>
  <c r="G431"/>
  <c r="G439"/>
  <c r="G447"/>
  <c r="G455"/>
  <c r="G463"/>
  <c r="G471"/>
  <c r="G479"/>
  <c r="G487"/>
  <c r="G495"/>
  <c r="G503"/>
  <c r="G511"/>
  <c r="G519"/>
  <c r="G527"/>
  <c r="F11"/>
  <c r="G11"/>
  <c r="H11"/>
  <c r="I11"/>
  <c r="J11"/>
  <c r="K11"/>
  <c r="L11"/>
  <c r="M11"/>
  <c r="N11"/>
  <c r="O11"/>
  <c r="P11"/>
  <c r="Q11"/>
  <c r="R11"/>
  <c r="S11"/>
  <c r="G33"/>
  <c r="G42"/>
  <c r="G50"/>
  <c r="G58"/>
  <c r="G66"/>
  <c r="G74"/>
  <c r="G82"/>
  <c r="G90"/>
  <c r="G98"/>
  <c r="G106"/>
  <c r="G114"/>
  <c r="G122"/>
  <c r="G130"/>
  <c r="G138"/>
  <c r="G146"/>
  <c r="G154"/>
  <c r="G162"/>
  <c r="G170"/>
  <c r="G178"/>
  <c r="G186"/>
  <c r="G194"/>
  <c r="G202"/>
  <c r="G210"/>
  <c r="G218"/>
  <c r="G226"/>
  <c r="G234"/>
  <c r="G242"/>
  <c r="G250"/>
  <c r="G258"/>
  <c r="G266"/>
  <c r="G274"/>
  <c r="G282"/>
  <c r="G290"/>
  <c r="G298"/>
  <c r="G306"/>
  <c r="G314"/>
  <c r="G322"/>
  <c r="G330"/>
  <c r="G338"/>
  <c r="G346"/>
  <c r="G354"/>
  <c r="G362"/>
  <c r="G370"/>
  <c r="G378"/>
  <c r="G386"/>
  <c r="G394"/>
  <c r="G402"/>
  <c r="G410"/>
  <c r="G418"/>
  <c r="G426"/>
  <c r="G434"/>
  <c r="G442"/>
  <c r="G450"/>
  <c r="G458"/>
  <c r="G466"/>
  <c r="G474"/>
  <c r="G482"/>
  <c r="G490"/>
  <c r="G498"/>
  <c r="G506"/>
  <c r="G514"/>
  <c r="G522"/>
  <c r="G31"/>
  <c r="G34"/>
  <c r="G43"/>
  <c r="G51"/>
  <c r="G59"/>
  <c r="G67"/>
  <c r="G75"/>
  <c r="G518"/>
  <c r="G502"/>
  <c r="G486"/>
  <c r="G470"/>
  <c r="G454"/>
  <c r="G438"/>
  <c r="G422"/>
  <c r="G406"/>
  <c r="G390"/>
  <c r="G374"/>
  <c r="G358"/>
  <c r="G342"/>
  <c r="G326"/>
  <c r="G310"/>
  <c r="G294"/>
  <c r="G278"/>
  <c r="G262"/>
  <c r="G246"/>
  <c r="G230"/>
  <c r="G214"/>
  <c r="G198"/>
  <c r="G182"/>
  <c r="G166"/>
  <c r="G150"/>
  <c r="G134"/>
  <c r="G118"/>
  <c r="G102"/>
  <c r="G86"/>
  <c r="G62"/>
  <c r="D16" i="59"/>
  <c r="C15"/>
  <c r="D15"/>
  <c r="B27"/>
  <c r="B28"/>
  <c r="B29"/>
  <c r="S29"/>
  <c r="X26"/>
  <c r="P56"/>
  <c r="E55"/>
  <c r="I21" i="58"/>
  <c r="D1"/>
  <c r="E10"/>
  <c r="AA18" i="59"/>
  <c r="E19"/>
  <c r="E20"/>
  <c r="E21"/>
  <c r="U21"/>
  <c r="AA17"/>
  <c r="AA16"/>
  <c r="D39"/>
  <c r="C40"/>
  <c r="U21" i="37"/>
  <c r="X10" i="59"/>
  <c r="AA3"/>
  <c r="AA8"/>
  <c r="C5" i="11"/>
  <c r="X25" i="31"/>
  <c r="C36" i="57"/>
  <c r="F124"/>
  <c r="F125"/>
  <c r="AA25" i="59"/>
  <c r="AA27"/>
  <c r="AA21"/>
  <c r="C60"/>
  <c r="T61"/>
  <c r="D61"/>
  <c r="V25" i="31"/>
  <c r="Y25"/>
  <c r="AA21" i="33"/>
  <c r="S21"/>
  <c r="B16" i="59"/>
  <c r="B15"/>
  <c r="S17"/>
  <c r="Y18"/>
  <c r="Z18"/>
  <c r="C19"/>
  <c r="Y17"/>
  <c r="Z17"/>
  <c r="Y14"/>
  <c r="Z14"/>
  <c r="Y16"/>
  <c r="Z16"/>
  <c r="X23"/>
  <c r="X16"/>
  <c r="X24"/>
  <c r="X25"/>
  <c r="D56"/>
  <c r="C55"/>
  <c r="D73"/>
  <c r="C72"/>
  <c r="AB11"/>
  <c r="C19" i="11"/>
  <c r="C20"/>
  <c r="C28"/>
  <c r="C27"/>
  <c r="C19" i="12"/>
  <c r="D76" i="59"/>
  <c r="C75"/>
  <c r="D75"/>
  <c r="C48"/>
  <c r="C33"/>
  <c r="D32"/>
  <c r="T17"/>
  <c r="D17"/>
  <c r="C36"/>
  <c r="D36"/>
  <c r="D35"/>
  <c r="I100" i="43"/>
  <c r="C20" i="12"/>
  <c r="W18" i="35"/>
  <c r="AA18"/>
  <c r="S18"/>
  <c r="C25" i="40"/>
  <c r="AA15" i="59"/>
  <c r="AB19"/>
  <c r="AB17"/>
  <c r="AB22"/>
  <c r="F23"/>
  <c r="F24"/>
  <c r="F25"/>
  <c r="V25"/>
  <c r="E28"/>
  <c r="E29"/>
  <c r="U29"/>
  <c r="C45"/>
  <c r="D44"/>
  <c r="C52"/>
  <c r="D51"/>
  <c r="AB14"/>
  <c r="AB10"/>
  <c r="AB3"/>
  <c r="S25" i="40"/>
  <c r="AA14" i="59"/>
  <c r="C64"/>
  <c r="T57"/>
  <c r="X15"/>
  <c r="Y15"/>
  <c r="Z15"/>
  <c r="AB18"/>
  <c r="X19"/>
  <c r="X21"/>
  <c r="X22"/>
  <c r="B23"/>
  <c r="B24"/>
  <c r="B25"/>
  <c r="S25"/>
  <c r="Y24"/>
  <c r="Z24"/>
  <c r="Y25"/>
  <c r="Z25"/>
  <c r="Y26"/>
  <c r="Z26"/>
  <c r="C27"/>
  <c r="AA26"/>
  <c r="AA23"/>
  <c r="P57"/>
  <c r="V65"/>
  <c r="B68"/>
  <c r="B67"/>
  <c r="X13"/>
  <c r="Y10"/>
  <c r="Z10"/>
  <c r="D65"/>
  <c r="X14"/>
  <c r="Y20"/>
  <c r="Z20"/>
  <c r="Y21"/>
  <c r="Z21"/>
  <c r="C23"/>
  <c r="AA24"/>
  <c r="X28"/>
  <c r="F60"/>
  <c r="F59"/>
  <c r="B18" i="50"/>
  <c r="X20" i="59"/>
  <c r="Y13"/>
  <c r="Z13"/>
  <c r="X11"/>
  <c r="X6"/>
  <c r="X5"/>
  <c r="Y5"/>
  <c r="Z5"/>
  <c r="AB5"/>
  <c r="X18"/>
  <c r="X17"/>
  <c r="AA19"/>
  <c r="AA20"/>
  <c r="AA22"/>
  <c r="AA13"/>
  <c r="AB6"/>
  <c r="Y7"/>
  <c r="Z7"/>
  <c r="Y8"/>
  <c r="Z8"/>
  <c r="Y6"/>
  <c r="Z6"/>
  <c r="AA5"/>
  <c r="AA6"/>
  <c r="A8" i="52"/>
  <c r="B65" i="60"/>
  <c r="J58" i="57"/>
  <c r="J60"/>
  <c r="J62"/>
  <c r="F12" i="59"/>
  <c r="F11"/>
  <c r="F10"/>
  <c r="F9"/>
  <c r="AA10"/>
  <c r="A6" i="52"/>
  <c r="B64" i="60"/>
  <c r="S14" i="34"/>
  <c r="AA14"/>
  <c r="AC13"/>
  <c r="W13"/>
  <c r="U14"/>
  <c r="J14"/>
  <c r="U13"/>
  <c r="T286" i="31"/>
  <c r="T305"/>
  <c r="T38"/>
  <c r="T269"/>
  <c r="T54"/>
  <c r="T493"/>
  <c r="T477"/>
  <c r="T313"/>
  <c r="T318"/>
  <c r="T482"/>
  <c r="T307"/>
  <c r="T462"/>
  <c r="T315"/>
  <c r="T52"/>
  <c r="T324"/>
  <c r="T344"/>
  <c r="T154"/>
  <c r="T56"/>
  <c r="T80"/>
  <c r="T454"/>
  <c r="T474"/>
  <c r="T57"/>
  <c r="T73"/>
  <c r="T489"/>
  <c r="T263"/>
  <c r="T186"/>
  <c r="T356"/>
  <c r="T259"/>
  <c r="T299"/>
  <c r="T384"/>
  <c r="T240"/>
  <c r="T208"/>
  <c r="T176"/>
  <c r="T144"/>
  <c r="T44"/>
  <c r="T420"/>
  <c r="T380"/>
  <c r="T486"/>
  <c r="T63"/>
  <c r="T71"/>
  <c r="T275"/>
  <c r="T321"/>
  <c r="T295"/>
  <c r="T434"/>
  <c r="T271"/>
  <c r="T40"/>
  <c r="T449"/>
  <c r="T297"/>
  <c r="T294"/>
  <c r="T348"/>
  <c r="T492"/>
  <c r="T283"/>
  <c r="T514"/>
  <c r="T443"/>
  <c r="T314"/>
  <c r="T248"/>
  <c r="T216"/>
  <c r="T200"/>
  <c r="T184"/>
  <c r="T168"/>
  <c r="T152"/>
  <c r="T136"/>
  <c r="T466"/>
  <c r="T498"/>
  <c r="T281"/>
  <c r="T490"/>
  <c r="T504"/>
  <c r="T429"/>
  <c r="T393"/>
  <c r="T329"/>
  <c r="T290"/>
  <c r="T238"/>
  <c r="T118"/>
  <c r="T77"/>
  <c r="D41" i="50"/>
  <c r="B63" i="60"/>
  <c r="T494" i="31"/>
  <c r="T323"/>
  <c r="S34" i="34"/>
  <c r="G17" i="43"/>
  <c r="C16"/>
  <c r="C5"/>
  <c r="W40" i="34"/>
  <c r="U39"/>
  <c r="U45"/>
  <c r="AB45"/>
  <c r="AC47"/>
  <c r="U47"/>
  <c r="F45"/>
  <c r="AC45"/>
  <c r="S46"/>
  <c r="S44"/>
  <c r="W38"/>
  <c r="AB38"/>
  <c r="C14" i="12"/>
  <c r="W35" i="34"/>
  <c r="S35"/>
  <c r="W44"/>
  <c r="U44"/>
  <c r="AC43"/>
  <c r="AA40"/>
  <c r="AC39"/>
  <c r="S37"/>
  <c r="W37"/>
  <c r="U36"/>
  <c r="U35"/>
  <c r="F90"/>
  <c r="G90"/>
  <c r="H90"/>
  <c r="I90"/>
  <c r="J90"/>
  <c r="K90"/>
  <c r="L90"/>
  <c r="M90"/>
  <c r="H27"/>
  <c r="J27"/>
  <c r="F27"/>
  <c r="S27"/>
  <c r="J25"/>
  <c r="W25"/>
  <c r="F25"/>
  <c r="S25"/>
  <c r="H25"/>
  <c r="U25"/>
  <c r="F88"/>
  <c r="G88"/>
  <c r="H88"/>
  <c r="I88"/>
  <c r="J88"/>
  <c r="K88"/>
  <c r="L88"/>
  <c r="M88"/>
  <c r="W23"/>
  <c r="AC23"/>
  <c r="E86"/>
  <c r="F86"/>
  <c r="G86"/>
  <c r="U19"/>
  <c r="AB19"/>
  <c r="AA19"/>
  <c r="J19"/>
  <c r="W19"/>
  <c r="E82"/>
  <c r="F82"/>
  <c r="G82"/>
  <c r="E80"/>
  <c r="F80"/>
  <c r="G80"/>
  <c r="W17"/>
  <c r="F17"/>
  <c r="AA17"/>
  <c r="W15"/>
  <c r="H10"/>
  <c r="U10"/>
  <c r="J10"/>
  <c r="W10"/>
  <c r="W34"/>
  <c r="AA33"/>
  <c r="AB33"/>
  <c r="W29"/>
  <c r="AC29"/>
  <c r="S32"/>
  <c r="AA32"/>
  <c r="AB28"/>
  <c r="U30"/>
  <c r="AA31"/>
  <c r="AC32"/>
  <c r="AC31"/>
  <c r="H32"/>
  <c r="F29"/>
  <c r="J28"/>
  <c r="H29"/>
  <c r="AB17"/>
  <c r="U15"/>
  <c r="S43"/>
  <c r="F14" i="48"/>
  <c r="H14"/>
  <c r="U41" i="34"/>
  <c r="AB40"/>
  <c r="AC36"/>
  <c r="AC33"/>
  <c r="F9" i="48"/>
  <c r="H9"/>
  <c r="F6"/>
  <c r="H6"/>
  <c r="B10"/>
  <c r="D10"/>
  <c r="AA28" i="34"/>
  <c r="AB11"/>
  <c r="AC11"/>
  <c r="B63" i="43"/>
  <c r="C29" i="39"/>
  <c r="B55" i="43"/>
  <c r="B75"/>
  <c r="B77"/>
  <c r="B73"/>
  <c r="B67"/>
  <c r="B74"/>
  <c r="U23" i="34"/>
  <c r="AA23"/>
  <c r="W21"/>
  <c r="AA21"/>
  <c r="AC9"/>
  <c r="AB9"/>
  <c r="C7" i="33"/>
  <c r="C58"/>
  <c r="D58"/>
  <c r="B14" i="1"/>
  <c r="H10" i="39"/>
  <c r="G19" i="43"/>
  <c r="C7" i="39"/>
  <c r="C68"/>
  <c r="D68"/>
  <c r="C7" i="40"/>
  <c r="C63"/>
  <c r="C65"/>
  <c r="M60" i="15"/>
  <c r="C15" i="12"/>
  <c r="C23"/>
  <c r="B6" i="48"/>
  <c r="D6"/>
  <c r="B14"/>
  <c r="D14"/>
  <c r="F10"/>
  <c r="H10"/>
  <c r="B9"/>
  <c r="D9"/>
  <c r="B7"/>
  <c r="D7"/>
  <c r="F13"/>
  <c r="H13"/>
  <c r="F11"/>
  <c r="H11"/>
  <c r="F48" i="9"/>
  <c r="O52"/>
  <c r="F55" i="57"/>
  <c r="F53" i="9"/>
  <c r="M18" i="15"/>
  <c r="F52" i="9"/>
  <c r="D68"/>
  <c r="F54" i="57"/>
  <c r="F53"/>
  <c r="F32" i="15"/>
  <c r="F61"/>
  <c r="F31" i="12"/>
  <c r="C31"/>
  <c r="F30" i="11"/>
  <c r="C30"/>
  <c r="F49" i="57"/>
  <c r="O53"/>
  <c r="F54" i="9"/>
  <c r="C93" i="57"/>
  <c r="T448" i="31"/>
  <c r="T308"/>
  <c r="T253"/>
  <c r="T245"/>
  <c r="T213"/>
  <c r="T197"/>
  <c r="T181"/>
  <c r="T165"/>
  <c r="T149"/>
  <c r="T467"/>
  <c r="T432"/>
  <c r="T413"/>
  <c r="T349"/>
  <c r="T293"/>
  <c r="T276"/>
  <c r="T257"/>
  <c r="T249"/>
  <c r="T241"/>
  <c r="T233"/>
  <c r="T225"/>
  <c r="T209"/>
  <c r="T193"/>
  <c r="T177"/>
  <c r="T161"/>
  <c r="T145"/>
  <c r="T129"/>
  <c r="T121"/>
  <c r="T113"/>
  <c r="T97"/>
  <c r="T81"/>
  <c r="T61"/>
  <c r="T49"/>
  <c r="T32"/>
  <c r="D42" i="50"/>
  <c r="D43"/>
  <c r="T36" i="31"/>
  <c r="T527"/>
  <c r="T523"/>
  <c r="T519"/>
  <c r="T513"/>
  <c r="T439"/>
  <c r="T402"/>
  <c r="T338"/>
  <c r="T319"/>
  <c r="T223"/>
  <c r="T207"/>
  <c r="T191"/>
  <c r="T175"/>
  <c r="T159"/>
  <c r="T143"/>
  <c r="T127"/>
  <c r="T119"/>
  <c r="T111"/>
  <c r="T95"/>
  <c r="T30"/>
  <c r="B124" i="57"/>
  <c r="E124"/>
  <c r="H102"/>
  <c r="T511" i="31"/>
  <c r="T475"/>
  <c r="T381"/>
  <c r="T261"/>
  <c r="T237"/>
  <c r="T229"/>
  <c r="T133"/>
  <c r="T101"/>
  <c r="T93"/>
  <c r="T69"/>
  <c r="T460"/>
  <c r="T370"/>
  <c r="T287"/>
  <c r="T211"/>
  <c r="T195"/>
  <c r="T179"/>
  <c r="T163"/>
  <c r="T147"/>
  <c r="T131"/>
  <c r="T99"/>
  <c r="T83"/>
  <c r="T34"/>
  <c r="T291"/>
  <c r="T478"/>
  <c r="T289"/>
  <c r="T285"/>
  <c r="T317"/>
  <c r="T279"/>
  <c r="T311"/>
  <c r="D18" i="1"/>
  <c r="F50" i="11"/>
  <c r="F34"/>
  <c r="D19" i="1"/>
  <c r="F19"/>
  <c r="C12" i="12"/>
  <c r="C95" i="57"/>
  <c r="D24" i="15"/>
  <c r="F117" i="9"/>
  <c r="C116"/>
  <c r="H114"/>
  <c r="C117" i="57"/>
  <c r="H113"/>
  <c r="C114"/>
  <c r="H109"/>
  <c r="C113"/>
  <c r="H108"/>
  <c r="C119"/>
  <c r="H115"/>
  <c r="C106" i="9"/>
  <c r="H102"/>
  <c r="C109" i="57"/>
  <c r="H103"/>
  <c r="D125"/>
  <c r="G124"/>
  <c r="C2" i="31"/>
  <c r="I23"/>
  <c r="B103" i="9"/>
  <c r="H106" i="57"/>
  <c r="C112" i="9"/>
  <c r="H110"/>
  <c r="C15" i="50"/>
  <c r="C110" i="9"/>
  <c r="H107"/>
  <c r="P51" i="15"/>
  <c r="C14" i="50"/>
  <c r="C18"/>
  <c r="H105" i="9"/>
  <c r="C109"/>
  <c r="H106"/>
  <c r="C51" i="10"/>
  <c r="A121" i="9"/>
  <c r="B6" i="50"/>
  <c r="B17" i="60"/>
  <c r="A16" i="55"/>
  <c r="B46" i="60"/>
  <c r="H64" i="43"/>
  <c r="H66"/>
  <c r="H62"/>
  <c r="H65"/>
  <c r="H85"/>
  <c r="H53"/>
  <c r="H76"/>
  <c r="H87"/>
  <c r="H84"/>
  <c r="H59"/>
  <c r="H83"/>
  <c r="H82"/>
  <c r="H74"/>
  <c r="H73"/>
  <c r="H86"/>
  <c r="H60"/>
  <c r="D5"/>
  <c r="G64" i="39"/>
  <c r="C64"/>
  <c r="H52" i="43"/>
  <c r="H75"/>
  <c r="H71"/>
  <c r="H77"/>
  <c r="H72"/>
  <c r="M7" i="15"/>
  <c r="D3" i="36"/>
  <c r="D3" i="35"/>
  <c r="M29" i="15"/>
  <c r="E18" i="1"/>
  <c r="M46" i="9"/>
  <c r="B58" i="60"/>
  <c r="B42" i="50"/>
  <c r="I113" i="9"/>
  <c r="D12" i="52"/>
  <c r="A132" i="57"/>
  <c r="D21" i="50"/>
  <c r="B33" i="60"/>
  <c r="A129" i="9"/>
  <c r="A130" i="57"/>
  <c r="A10" i="52"/>
  <c r="B66" i="60"/>
  <c r="A2" i="9"/>
  <c r="K57" i="57"/>
  <c r="J56" i="9"/>
  <c r="J57"/>
  <c r="J59"/>
  <c r="J61"/>
  <c r="N57" i="57"/>
  <c r="K56" i="9"/>
  <c r="C8" i="62"/>
  <c r="D8"/>
  <c r="J10" i="39"/>
  <c r="J10" i="40"/>
  <c r="F10" i="39"/>
  <c r="C24" i="12"/>
  <c r="C29"/>
  <c r="D28"/>
  <c r="J7" i="35"/>
  <c r="H7"/>
  <c r="F7"/>
  <c r="C70" i="39"/>
  <c r="I20" i="43"/>
  <c r="C20"/>
  <c r="C77" i="9"/>
  <c r="C74"/>
  <c r="J18" i="15"/>
  <c r="C7" i="36"/>
  <c r="C46"/>
  <c r="C7" i="37"/>
  <c r="C52"/>
  <c r="C7" i="21"/>
  <c r="C58"/>
  <c r="F21" i="48"/>
  <c r="H21"/>
  <c r="F7"/>
  <c r="H7"/>
  <c r="B8"/>
  <c r="D8"/>
  <c r="B13"/>
  <c r="B22"/>
  <c r="D22"/>
  <c r="F22"/>
  <c r="H22"/>
  <c r="B11"/>
  <c r="F8"/>
  <c r="H8"/>
  <c r="B4"/>
  <c r="D4"/>
  <c r="D6" i="61"/>
  <c r="D4"/>
  <c r="D3"/>
  <c r="S17" i="34"/>
  <c r="C18" i="12"/>
  <c r="D126" i="57"/>
  <c r="D10" i="50"/>
  <c r="D31"/>
  <c r="D32"/>
  <c r="AC36" i="35"/>
  <c r="W36"/>
  <c r="S12" i="34"/>
  <c r="AA12"/>
  <c r="U45" i="39"/>
  <c r="AB45"/>
  <c r="S12" i="35"/>
  <c r="AA12"/>
  <c r="AC12" i="21"/>
  <c r="W12"/>
  <c r="B39" i="50"/>
  <c r="B57" i="60"/>
  <c r="C53" i="59"/>
  <c r="D52"/>
  <c r="T33"/>
  <c r="D33"/>
  <c r="P54"/>
  <c r="P55"/>
  <c r="S13" i="33"/>
  <c r="AA13"/>
  <c r="AA39" i="37"/>
  <c r="S39"/>
  <c r="AA15" i="34"/>
  <c r="S15"/>
  <c r="W28" i="21"/>
  <c r="AC28"/>
  <c r="U35" i="35"/>
  <c r="AB35"/>
  <c r="W40" i="37"/>
  <c r="AC40"/>
  <c r="AB43" i="34"/>
  <c r="U43"/>
  <c r="AA12" i="40"/>
  <c r="S12"/>
  <c r="AB12"/>
  <c r="U12"/>
  <c r="U13" i="35"/>
  <c r="AB13"/>
  <c r="AC46" i="33"/>
  <c r="W46"/>
  <c r="AC30"/>
  <c r="W30"/>
  <c r="W9" i="21"/>
  <c r="AC9"/>
  <c r="W12" i="37"/>
  <c r="AC12"/>
  <c r="D130" i="57"/>
  <c r="H14" i="62"/>
  <c r="B7"/>
  <c r="D18" i="50"/>
  <c r="D39"/>
  <c r="D40"/>
  <c r="C28" i="59"/>
  <c r="D27"/>
  <c r="D64"/>
  <c r="C63"/>
  <c r="D63"/>
  <c r="D48"/>
  <c r="C49"/>
  <c r="O55"/>
  <c r="D55"/>
  <c r="O54"/>
  <c r="D60"/>
  <c r="C59"/>
  <c r="D59"/>
  <c r="W13" i="33"/>
  <c r="AC13"/>
  <c r="S10" i="34"/>
  <c r="AA10"/>
  <c r="AB28" i="21"/>
  <c r="U28"/>
  <c r="W12" i="40"/>
  <c r="AC12"/>
  <c r="AA13" i="35"/>
  <c r="S13"/>
  <c r="AB46" i="33"/>
  <c r="U46"/>
  <c r="S12"/>
  <c r="AA12"/>
  <c r="S9" i="34"/>
  <c r="AA9"/>
  <c r="C24" i="59"/>
  <c r="D23"/>
  <c r="C41"/>
  <c r="D40"/>
  <c r="F8"/>
  <c r="F7"/>
  <c r="F6"/>
  <c r="F5"/>
  <c r="V9"/>
  <c r="D45"/>
  <c r="T45"/>
  <c r="C20"/>
  <c r="D19"/>
  <c r="AA9" i="36"/>
  <c r="S9"/>
  <c r="AC39" i="37"/>
  <c r="W39"/>
  <c r="AA44" i="21"/>
  <c r="S44"/>
  <c r="AB32" i="40"/>
  <c r="U32"/>
  <c r="AA46" i="33"/>
  <c r="S46"/>
  <c r="W12"/>
  <c r="AC12"/>
  <c r="AB9" i="21"/>
  <c r="U9"/>
  <c r="S12" i="37"/>
  <c r="AA12"/>
  <c r="D113" i="43"/>
  <c r="A12" i="52"/>
  <c r="B67" i="60"/>
  <c r="AA27" i="34"/>
  <c r="D72" i="59"/>
  <c r="C71"/>
  <c r="D71"/>
  <c r="AB9" i="36"/>
  <c r="U9"/>
  <c r="AB39" i="37"/>
  <c r="U39"/>
  <c r="W44" i="21"/>
  <c r="AC44"/>
  <c r="AC32" i="40"/>
  <c r="W32"/>
  <c r="AB30" i="33"/>
  <c r="U30"/>
  <c r="S9" i="21"/>
  <c r="AA9"/>
  <c r="AC24" i="35"/>
  <c r="W24"/>
  <c r="U12" i="37"/>
  <c r="AB12"/>
  <c r="C7" i="59"/>
  <c r="D8"/>
  <c r="W14" i="34"/>
  <c r="AC14"/>
  <c r="L60" i="15"/>
  <c r="Q59"/>
  <c r="S45" i="34"/>
  <c r="AA45"/>
  <c r="C16" i="12"/>
  <c r="C21"/>
  <c r="C22"/>
  <c r="C30"/>
  <c r="C28"/>
  <c r="U27" i="34"/>
  <c r="AB27"/>
  <c r="AC27"/>
  <c r="W27"/>
  <c r="AA25"/>
  <c r="AC25"/>
  <c r="AB25"/>
  <c r="AC19"/>
  <c r="AB10"/>
  <c r="AC10"/>
  <c r="AB29"/>
  <c r="U29"/>
  <c r="U32"/>
  <c r="AB32"/>
  <c r="S29"/>
  <c r="AA29"/>
  <c r="W28"/>
  <c r="AC28"/>
  <c r="E58" i="33"/>
  <c r="F58"/>
  <c r="G58"/>
  <c r="H58"/>
  <c r="I58"/>
  <c r="J58"/>
  <c r="K58"/>
  <c r="L58"/>
  <c r="M58"/>
  <c r="N58"/>
  <c r="O58"/>
  <c r="P25" i="43"/>
  <c r="P22"/>
  <c r="C19"/>
  <c r="C39"/>
  <c r="O19"/>
  <c r="P23"/>
  <c r="P24"/>
  <c r="B66" i="40"/>
  <c r="P21" i="43"/>
  <c r="B71" i="39"/>
  <c r="F10" i="40"/>
  <c r="AA10"/>
  <c r="D63"/>
  <c r="H10"/>
  <c r="AB10"/>
  <c r="T7" i="43"/>
  <c r="V7"/>
  <c r="N60" i="15"/>
  <c r="C48" i="11"/>
  <c r="T14" i="43"/>
  <c r="V14"/>
  <c r="D22" i="50"/>
  <c r="B35" i="60"/>
  <c r="C36" i="43"/>
  <c r="G36"/>
  <c r="I36"/>
  <c r="T5"/>
  <c r="V5"/>
  <c r="C38"/>
  <c r="E38"/>
  <c r="F51" i="15"/>
  <c r="C34" i="11"/>
  <c r="M17" i="15"/>
  <c r="J6"/>
  <c r="D128" i="9"/>
  <c r="D11" i="52"/>
  <c r="D20" i="50"/>
  <c r="D11" i="48"/>
  <c r="E3" i="4"/>
  <c r="B5" i="55"/>
  <c r="B55" i="60"/>
  <c r="D13" i="48"/>
  <c r="C3" i="4"/>
  <c r="E20" i="43"/>
  <c r="N28"/>
  <c r="D58" i="21"/>
  <c r="E58"/>
  <c r="F58"/>
  <c r="G58"/>
  <c r="H58"/>
  <c r="I58"/>
  <c r="J58"/>
  <c r="K58"/>
  <c r="L58"/>
  <c r="M58"/>
  <c r="N58"/>
  <c r="O58"/>
  <c r="U7" i="34"/>
  <c r="E63" i="40"/>
  <c r="D65"/>
  <c r="AA10" i="39"/>
  <c r="S10"/>
  <c r="AC10"/>
  <c r="W10"/>
  <c r="E68"/>
  <c r="D70"/>
  <c r="AC7" i="35"/>
  <c r="V38"/>
  <c r="I38"/>
  <c r="W7"/>
  <c r="AC10" i="40"/>
  <c r="W10"/>
  <c r="D46" i="36"/>
  <c r="E46"/>
  <c r="F46"/>
  <c r="G46"/>
  <c r="H46"/>
  <c r="I46"/>
  <c r="J46"/>
  <c r="K46"/>
  <c r="L46"/>
  <c r="M46"/>
  <c r="N46"/>
  <c r="O46"/>
  <c r="C35" i="43"/>
  <c r="T2"/>
  <c r="V2"/>
  <c r="T9"/>
  <c r="V9"/>
  <c r="T8"/>
  <c r="V8"/>
  <c r="T13"/>
  <c r="V13"/>
  <c r="T12"/>
  <c r="V12"/>
  <c r="S7" i="35"/>
  <c r="AA7"/>
  <c r="R38"/>
  <c r="AB7"/>
  <c r="T38"/>
  <c r="G38"/>
  <c r="U7"/>
  <c r="D52" i="37"/>
  <c r="E52"/>
  <c r="F52"/>
  <c r="G52"/>
  <c r="H52"/>
  <c r="I52"/>
  <c r="J52"/>
  <c r="K52"/>
  <c r="L52"/>
  <c r="M52"/>
  <c r="N52"/>
  <c r="O52"/>
  <c r="L57" i="15"/>
  <c r="I55"/>
  <c r="L59"/>
  <c r="AB10" i="39"/>
  <c r="U10"/>
  <c r="T10" i="43"/>
  <c r="V10"/>
  <c r="C29"/>
  <c r="J58" i="15"/>
  <c r="J56"/>
  <c r="J59"/>
  <c r="Q48"/>
  <c r="H7" i="33"/>
  <c r="M11" i="15"/>
  <c r="J10"/>
  <c r="D7" i="61"/>
  <c r="B23" i="60"/>
  <c r="D11" i="50"/>
  <c r="B25" i="60"/>
  <c r="D6" i="52"/>
  <c r="K107" i="57"/>
  <c r="E36" i="43"/>
  <c r="S10" i="40"/>
  <c r="D20" i="59"/>
  <c r="C21"/>
  <c r="C29"/>
  <c r="D28"/>
  <c r="C25"/>
  <c r="D24"/>
  <c r="T53"/>
  <c r="D53"/>
  <c r="H7" i="37"/>
  <c r="F7" i="36"/>
  <c r="C6" i="59"/>
  <c r="D7"/>
  <c r="B31" i="60"/>
  <c r="D19" i="50"/>
  <c r="B32" i="60"/>
  <c r="J7" i="36"/>
  <c r="AC7"/>
  <c r="V36"/>
  <c r="I36"/>
  <c r="T41" i="59"/>
  <c r="D41"/>
  <c r="T49"/>
  <c r="D49"/>
  <c r="D7" i="62"/>
  <c r="C7"/>
  <c r="Q72" i="15"/>
  <c r="G49" i="34"/>
  <c r="G53"/>
  <c r="H53"/>
  <c r="E39" i="43"/>
  <c r="G39"/>
  <c r="I39"/>
  <c r="C34"/>
  <c r="G34"/>
  <c r="I34"/>
  <c r="T15"/>
  <c r="V15"/>
  <c r="F7" i="37"/>
  <c r="AA7"/>
  <c r="R42"/>
  <c r="U10" i="40"/>
  <c r="C33" i="43"/>
  <c r="G33"/>
  <c r="I33"/>
  <c r="C37"/>
  <c r="G37"/>
  <c r="I37"/>
  <c r="F7" i="33"/>
  <c r="S7"/>
  <c r="J7"/>
  <c r="T4" i="43"/>
  <c r="V4"/>
  <c r="T16"/>
  <c r="V16"/>
  <c r="J7" i="37"/>
  <c r="W7"/>
  <c r="T3" i="43"/>
  <c r="V3"/>
  <c r="T6"/>
  <c r="V6"/>
  <c r="T11"/>
  <c r="V11"/>
  <c r="G38"/>
  <c r="I38"/>
  <c r="C38" i="11"/>
  <c r="C35"/>
  <c r="J5" i="15"/>
  <c r="J26"/>
  <c r="C50"/>
  <c r="F60"/>
  <c r="M28" i="43"/>
  <c r="P28"/>
  <c r="B18" i="49"/>
  <c r="B4" i="60"/>
  <c r="B4" i="55"/>
  <c r="B53" i="60"/>
  <c r="F22" i="11"/>
  <c r="W7" i="36"/>
  <c r="Q71" i="15"/>
  <c r="Q58"/>
  <c r="AB7" i="33"/>
  <c r="T48"/>
  <c r="G48"/>
  <c r="U7"/>
  <c r="G42" i="35"/>
  <c r="H42"/>
  <c r="G43"/>
  <c r="H43"/>
  <c r="G35" i="43"/>
  <c r="I35"/>
  <c r="E35"/>
  <c r="I49" i="34"/>
  <c r="W7"/>
  <c r="E34" i="43"/>
  <c r="S7" i="36"/>
  <c r="AA7"/>
  <c r="R36"/>
  <c r="F70" i="15"/>
  <c r="Q50"/>
  <c r="U7" i="37"/>
  <c r="AB7"/>
  <c r="T42"/>
  <c r="G42"/>
  <c r="S7" i="34"/>
  <c r="E29" i="43"/>
  <c r="C30"/>
  <c r="E30"/>
  <c r="E38" i="35"/>
  <c r="R39"/>
  <c r="I42"/>
  <c r="J42"/>
  <c r="E70" i="39"/>
  <c r="F68"/>
  <c r="F63" i="40"/>
  <c r="E65"/>
  <c r="H7" i="21"/>
  <c r="O28" i="43"/>
  <c r="J7" i="21"/>
  <c r="H7" i="36"/>
  <c r="F7" i="21"/>
  <c r="C54" i="15"/>
  <c r="E37" i="43"/>
  <c r="E33"/>
  <c r="D6" i="59"/>
  <c r="C5"/>
  <c r="T29"/>
  <c r="D29"/>
  <c r="S7" i="64"/>
  <c r="D21" i="59"/>
  <c r="T21"/>
  <c r="T25"/>
  <c r="D25"/>
  <c r="G54" i="34"/>
  <c r="H54"/>
  <c r="W7" i="33"/>
  <c r="AC7"/>
  <c r="V48"/>
  <c r="I48"/>
  <c r="I52"/>
  <c r="J52"/>
  <c r="S7" i="37"/>
  <c r="AA7" i="33"/>
  <c r="R48"/>
  <c r="AC7" i="37"/>
  <c r="V42"/>
  <c r="I42"/>
  <c r="I46"/>
  <c r="J46"/>
  <c r="C33" i="11"/>
  <c r="C42"/>
  <c r="C26" i="43"/>
  <c r="B2"/>
  <c r="B3"/>
  <c r="J29" i="15"/>
  <c r="J24"/>
  <c r="C27" i="43"/>
  <c r="C49" i="15"/>
  <c r="C67"/>
  <c r="F25" i="12"/>
  <c r="C26"/>
  <c r="D25"/>
  <c r="S7" i="21"/>
  <c r="AA7"/>
  <c r="R48"/>
  <c r="C39" i="35"/>
  <c r="C38"/>
  <c r="AB7" i="36"/>
  <c r="T36"/>
  <c r="G36"/>
  <c r="U7"/>
  <c r="U7" i="21"/>
  <c r="AB7"/>
  <c r="T48"/>
  <c r="G48"/>
  <c r="E42" i="35"/>
  <c r="F42"/>
  <c r="E43"/>
  <c r="F43"/>
  <c r="E49" i="34"/>
  <c r="I53"/>
  <c r="J53"/>
  <c r="F70" i="39"/>
  <c r="G68"/>
  <c r="G46" i="37"/>
  <c r="H46"/>
  <c r="G52" i="33"/>
  <c r="H52"/>
  <c r="G63" i="40"/>
  <c r="F65"/>
  <c r="I40" i="36"/>
  <c r="J40"/>
  <c r="E48" i="33"/>
  <c r="R49"/>
  <c r="W7" i="21"/>
  <c r="AC7"/>
  <c r="V48"/>
  <c r="I48"/>
  <c r="R37" i="36"/>
  <c r="E36"/>
  <c r="I41"/>
  <c r="J41"/>
  <c r="E42" i="37"/>
  <c r="R43"/>
  <c r="I43" i="35"/>
  <c r="J43"/>
  <c r="C24" i="11"/>
  <c r="C44"/>
  <c r="D41"/>
  <c r="C25"/>
  <c r="C23"/>
  <c r="C26"/>
  <c r="D22"/>
  <c r="C61" i="15"/>
  <c r="G47" i="37"/>
  <c r="H47"/>
  <c r="U7" i="64"/>
  <c r="G49"/>
  <c r="D5" i="59"/>
  <c r="M20" i="43"/>
  <c r="W7" i="64"/>
  <c r="I49"/>
  <c r="E49"/>
  <c r="G53" i="33"/>
  <c r="H53"/>
  <c r="I47" i="37"/>
  <c r="J47"/>
  <c r="C39" i="11"/>
  <c r="C46"/>
  <c r="C45"/>
  <c r="C27" i="12"/>
  <c r="C25"/>
  <c r="C32"/>
  <c r="B3"/>
  <c r="E53" i="34"/>
  <c r="F53"/>
  <c r="E54"/>
  <c r="F54"/>
  <c r="E46" i="37"/>
  <c r="F46"/>
  <c r="E47"/>
  <c r="F47"/>
  <c r="B2" i="34"/>
  <c r="C49"/>
  <c r="G53" i="21"/>
  <c r="H53"/>
  <c r="G52"/>
  <c r="H52"/>
  <c r="E48"/>
  <c r="I53"/>
  <c r="J53"/>
  <c r="R49"/>
  <c r="C42" i="37"/>
  <c r="C43"/>
  <c r="B2"/>
  <c r="B3"/>
  <c r="I52" i="21"/>
  <c r="J52"/>
  <c r="H68" i="39"/>
  <c r="G70"/>
  <c r="G41" i="36"/>
  <c r="H41"/>
  <c r="G40"/>
  <c r="H40"/>
  <c r="B3" i="35"/>
  <c r="B2"/>
  <c r="I54" i="34"/>
  <c r="J54"/>
  <c r="E41" i="36"/>
  <c r="F41"/>
  <c r="E40"/>
  <c r="F40"/>
  <c r="C48" i="33"/>
  <c r="C49"/>
  <c r="B2"/>
  <c r="C36" i="36"/>
  <c r="C37"/>
  <c r="B2"/>
  <c r="B3"/>
  <c r="E52" i="33"/>
  <c r="F52"/>
  <c r="E53"/>
  <c r="F53"/>
  <c r="I53"/>
  <c r="J53"/>
  <c r="G65" i="40"/>
  <c r="H63"/>
  <c r="C22" i="11"/>
  <c r="C31"/>
  <c r="D19" i="9"/>
  <c r="E54" i="64"/>
  <c r="F54"/>
  <c r="E53"/>
  <c r="F53"/>
  <c r="I53"/>
  <c r="J53"/>
  <c r="I54"/>
  <c r="J54"/>
  <c r="G54"/>
  <c r="H54"/>
  <c r="G53"/>
  <c r="H53"/>
  <c r="D101" i="9"/>
  <c r="B3" i="33"/>
  <c r="C43" i="11"/>
  <c r="C41"/>
  <c r="C49"/>
  <c r="C51"/>
  <c r="C52"/>
  <c r="C56"/>
  <c r="C57"/>
  <c r="B2" i="12"/>
  <c r="I63" i="40"/>
  <c r="H65"/>
  <c r="E53" i="21"/>
  <c r="F53"/>
  <c r="E52"/>
  <c r="F52"/>
  <c r="H70" i="39"/>
  <c r="I68"/>
  <c r="C49" i="21"/>
  <c r="B2"/>
  <c r="B3"/>
  <c r="C48"/>
  <c r="J19" i="15"/>
  <c r="J17"/>
  <c r="C50" i="64"/>
  <c r="D102" i="9"/>
  <c r="C58" i="15"/>
  <c r="C65"/>
  <c r="J14"/>
  <c r="J22"/>
  <c r="Q47"/>
  <c r="J60"/>
  <c r="Q46"/>
  <c r="J63" i="40"/>
  <c r="I65"/>
  <c r="J68" i="39"/>
  <c r="I70"/>
  <c r="Q68" i="15"/>
  <c r="J34"/>
  <c r="C57"/>
  <c r="C66"/>
  <c r="B3" i="11"/>
  <c r="B2"/>
  <c r="C62" i="15"/>
  <c r="C60"/>
  <c r="B2" i="64"/>
  <c r="B3"/>
  <c r="J13" i="15"/>
  <c r="J23"/>
  <c r="J16"/>
  <c r="J25"/>
  <c r="C59"/>
  <c r="C68"/>
  <c r="C69"/>
  <c r="C72"/>
  <c r="J65" i="40"/>
  <c r="K63"/>
  <c r="J70" i="39"/>
  <c r="K68"/>
  <c r="K65" i="40"/>
  <c r="L63"/>
  <c r="L68" i="39"/>
  <c r="K70"/>
  <c r="M63" i="40"/>
  <c r="L65"/>
  <c r="L70" i="39"/>
  <c r="M68"/>
  <c r="Q67" i="15"/>
  <c r="Q66"/>
  <c r="J38"/>
  <c r="J39"/>
  <c r="N63" i="40"/>
  <c r="M65"/>
  <c r="N68" i="39"/>
  <c r="M70"/>
  <c r="C43" i="15"/>
  <c r="Q54"/>
  <c r="C47"/>
  <c r="L52"/>
  <c r="Q45"/>
  <c r="Q51"/>
  <c r="J41"/>
  <c r="Q63"/>
  <c r="O63" i="40"/>
  <c r="O65"/>
  <c r="N65"/>
  <c r="O68" i="39"/>
  <c r="O70"/>
  <c r="N70"/>
  <c r="L58" i="15"/>
  <c r="L61"/>
  <c r="Q65"/>
  <c r="D35" i="9"/>
  <c r="D34"/>
  <c r="J42" i="15"/>
  <c r="J7" i="40"/>
  <c r="H7"/>
  <c r="F7"/>
  <c r="J7" i="39"/>
  <c r="H7"/>
  <c r="F7"/>
  <c r="Q64" i="15"/>
  <c r="Q73"/>
  <c r="Q55"/>
  <c r="Q60"/>
  <c r="AC7" i="40"/>
  <c r="V42"/>
  <c r="I42"/>
  <c r="W7"/>
  <c r="AB7"/>
  <c r="T42"/>
  <c r="G42"/>
  <c r="U7"/>
  <c r="S7"/>
  <c r="AA7"/>
  <c r="R42"/>
  <c r="U7" i="39"/>
  <c r="AB7"/>
  <c r="T47"/>
  <c r="G47"/>
  <c r="S7"/>
  <c r="AA7"/>
  <c r="R47"/>
  <c r="W7"/>
  <c r="AC7"/>
  <c r="V47"/>
  <c r="I47"/>
  <c r="B2" i="15"/>
  <c r="I46" i="40"/>
  <c r="J46"/>
  <c r="E47" i="39"/>
  <c r="I52"/>
  <c r="J52"/>
  <c r="R48"/>
  <c r="E42" i="40"/>
  <c r="R43"/>
  <c r="G47"/>
  <c r="H47"/>
  <c r="G46"/>
  <c r="H46"/>
  <c r="I51" i="39"/>
  <c r="J51"/>
  <c r="G51"/>
  <c r="H51"/>
  <c r="G52"/>
  <c r="H52"/>
  <c r="C19" i="9"/>
  <c r="C102"/>
  <c r="G19"/>
  <c r="D22"/>
  <c r="C101"/>
  <c r="C42" i="40"/>
  <c r="C43"/>
  <c r="E52" i="39"/>
  <c r="F52"/>
  <c r="E51"/>
  <c r="F51"/>
  <c r="E46" i="40"/>
  <c r="F46"/>
  <c r="E47"/>
  <c r="F47"/>
  <c r="I47"/>
  <c r="J47"/>
  <c r="C48" i="39"/>
  <c r="C47"/>
  <c r="C35" i="9"/>
  <c r="C34"/>
  <c r="E121"/>
  <c r="D121"/>
  <c r="B52" i="40"/>
  <c r="F52"/>
  <c r="B60"/>
  <c r="F60"/>
  <c r="B55"/>
  <c r="F55"/>
  <c r="B53"/>
  <c r="F53"/>
  <c r="B51"/>
  <c r="F51"/>
  <c r="F61"/>
  <c r="B2"/>
  <c r="B3"/>
  <c r="B54"/>
  <c r="F54"/>
  <c r="B56"/>
  <c r="F56"/>
  <c r="B58"/>
  <c r="F58"/>
  <c r="B57"/>
  <c r="F57"/>
  <c r="B59"/>
  <c r="F59"/>
  <c r="B61" i="39"/>
  <c r="F61"/>
  <c r="B57"/>
  <c r="F57"/>
  <c r="B56"/>
  <c r="F56"/>
  <c r="F66"/>
  <c r="B2"/>
  <c r="B3"/>
  <c r="B63"/>
  <c r="F63"/>
  <c r="B62"/>
  <c r="F62"/>
  <c r="B64"/>
  <c r="F64"/>
  <c r="B59"/>
  <c r="F59"/>
  <c r="B60"/>
  <c r="F60"/>
  <c r="B65"/>
  <c r="F65"/>
  <c r="B58"/>
  <c r="F58"/>
  <c r="G121" i="9"/>
  <c r="F121"/>
  <c r="F122"/>
  <c r="F5" i="52"/>
  <c r="B42" i="60"/>
  <c r="C32" i="57"/>
  <c r="T27" i="31"/>
  <c r="G4" i="52"/>
  <c r="B41" i="60"/>
  <c r="F4" i="52"/>
  <c r="B40" i="60"/>
  <c r="D122" i="9"/>
  <c r="D5" i="52"/>
  <c r="B39" i="60"/>
  <c r="D4" i="52"/>
  <c r="B37" i="60"/>
  <c r="E4" i="52"/>
  <c r="B38" i="60"/>
  <c r="C104" i="9"/>
  <c r="C103"/>
  <c r="I103"/>
  <c r="T28" i="31"/>
  <c r="T25"/>
  <c r="H122" i="9"/>
  <c r="D112"/>
  <c r="D113"/>
  <c r="N61"/>
  <c r="D117"/>
  <c r="R25" i="31"/>
  <c r="B24"/>
  <c r="B3"/>
  <c r="D19" i="57"/>
  <c r="C20"/>
  <c r="D20"/>
  <c r="C19"/>
  <c r="M48" i="9"/>
  <c r="I111"/>
  <c r="G19" i="57"/>
  <c r="D22"/>
  <c r="C102"/>
  <c r="D102"/>
  <c r="D103"/>
  <c r="G20"/>
  <c r="C103"/>
  <c r="C34"/>
  <c r="I124"/>
  <c r="I115" i="9"/>
  <c r="D125"/>
  <c r="D52"/>
  <c r="I104" i="57"/>
  <c r="I4" i="52"/>
  <c r="D110" i="57"/>
  <c r="C107"/>
  <c r="C106"/>
  <c r="D14" i="62"/>
  <c r="H125" i="57"/>
  <c r="H5" i="52"/>
  <c r="H4"/>
  <c r="C105" i="57"/>
  <c r="C104"/>
  <c r="L63" i="9"/>
  <c r="M63"/>
  <c r="L64"/>
  <c r="M64"/>
  <c r="L67"/>
  <c r="M67"/>
  <c r="L66"/>
  <c r="M66"/>
  <c r="L65"/>
  <c r="M65"/>
  <c r="L68"/>
  <c r="M68"/>
  <c r="D126"/>
  <c r="E80"/>
  <c r="E81"/>
  <c r="D30" i="50"/>
  <c r="D9"/>
  <c r="B21" i="60"/>
  <c r="M49" i="57"/>
  <c r="D28" i="50"/>
  <c r="D29"/>
  <c r="D7"/>
  <c r="N62" i="57"/>
  <c r="D120"/>
  <c r="D115"/>
  <c r="D116"/>
  <c r="B5" i="62"/>
  <c r="E14"/>
  <c r="F14"/>
  <c r="M69" i="9"/>
  <c r="N69"/>
  <c r="E96"/>
  <c r="E97"/>
  <c r="B19" i="60"/>
  <c r="D8" i="50"/>
  <c r="B22" i="60"/>
  <c r="D5" i="62"/>
  <c r="C5"/>
  <c r="I112" i="57"/>
  <c r="D38" i="50"/>
  <c r="B62" i="60"/>
  <c r="D128" i="57"/>
  <c r="D36" i="50"/>
  <c r="D37"/>
  <c r="D15"/>
  <c r="I116" i="57"/>
  <c r="D23" i="50"/>
  <c r="B34" i="60"/>
  <c r="D44" i="50"/>
  <c r="C86" i="57"/>
  <c r="D54"/>
  <c r="D53"/>
  <c r="C94"/>
  <c r="C87"/>
  <c r="N60" i="9"/>
  <c r="C96" i="57"/>
  <c r="C97"/>
  <c r="E97"/>
  <c r="E98"/>
  <c r="D129"/>
  <c r="D17" i="50"/>
  <c r="L64" i="57"/>
  <c r="M64"/>
  <c r="L68"/>
  <c r="M68"/>
  <c r="L66"/>
  <c r="M66"/>
  <c r="L65"/>
  <c r="M65"/>
  <c r="L69"/>
  <c r="M69"/>
  <c r="L67"/>
  <c r="M67"/>
  <c r="G14" i="62"/>
  <c r="B6"/>
  <c r="D8" i="52"/>
  <c r="B29" i="60"/>
  <c r="D16" i="50"/>
  <c r="B30" i="60"/>
  <c r="P57" i="9"/>
  <c r="N58"/>
  <c r="E81" i="57"/>
  <c r="E82"/>
  <c r="D6" i="62"/>
  <c r="C6"/>
  <c r="M70" i="57"/>
  <c r="N70"/>
  <c r="D10" i="52"/>
  <c r="D9"/>
  <c r="C98" i="57"/>
  <c r="N59"/>
  <c r="P58"/>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<sst xmlns="http://schemas.openxmlformats.org/spreadsheetml/2006/main" count="7284" uniqueCount="2926">
  <si>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</si>
  <si>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</si>
  <si>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</si>
  <si>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</si>
  <si>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</si>
  <si>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</si>
  <si>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</si>
  <si>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</si>
  <si>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</si>
  <si>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</si>
  <si>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</si>
  <si>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</si>
  <si>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</si>
  <si>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</si>
  <si>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</si>
  <si>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</si>
  <si>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</si>
  <si>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</si>
  <si>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</si>
  <si>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</si>
  <si>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</si>
  <si>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</si>
  <si>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</si>
  <si>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</si>
  <si>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</si>
  <si>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</si>
  <si>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</si>
  <si>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</si>
  <si>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</si>
  <si>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</si>
  <si>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</si>
  <si>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</si>
  <si>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</si>
  <si>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</si>
  <si>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</si>
  <si>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</si>
  <si>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</si>
  <si>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</si>
  <si>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</si>
  <si>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</si>
  <si>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</si>
  <si>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</si>
  <si>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</si>
  <si>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</si>
  <si>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</si>
  <si>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</si>
  <si>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</si>
  <si>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</si>
  <si>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</si>
  <si>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</si>
  <si>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</si>
  <si>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</si>
  <si>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</si>
  <si>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</si>
  <si>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</si>
  <si>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</si>
  <si>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</si>
  <si>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</si>
  <si>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</si>
  <si>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</si>
  <si>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</si>
  <si>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</si>
  <si>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</si>
  <si>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</si>
  <si>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</si>
  <si>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</si>
  <si>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</si>
  <si>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</si>
  <si>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</si>
  <si>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</si>
  <si>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</si>
  <si>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</si>
  <si>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</si>
  <si>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</si>
  <si>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</si>
  <si>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</si>
  <si>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</si>
  <si>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</si>
  <si>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</si>
  <si>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</si>
  <si>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</si>
  <si>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</si>
  <si>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</si>
  <si>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</si>
  <si>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</si>
  <si>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</si>
  <si>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</si>
  <si>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</si>
  <si>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</si>
  <si>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</si>
  <si>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</si>
  <si>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</si>
  <si>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</si>
  <si>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</si>
  <si>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</si>
  <si>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</si>
  <si>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</si>
  <si>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</si>
  <si>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</si>
  <si>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</si>
  <si>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</si>
  <si>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</si>
  <si>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</si>
  <si>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</si>
  <si>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</si>
  <si>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</si>
  <si>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</si>
  <si>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</si>
  <si>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</si>
  <si>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</si>
  <si>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</si>
  <si>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</si>
  <si>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</si>
  <si>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</si>
  <si>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</si>
  <si>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</si>
  <si>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</si>
  <si>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</si>
  <si>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</si>
  <si>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</si>
  <si>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</si>
  <si>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</si>
  <si>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</si>
  <si>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</si>
  <si>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</si>
  <si>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</si>
  <si>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</si>
  <si>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</si>
  <si>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</si>
  <si>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</si>
  <si>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</si>
  <si>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</si>
  <si>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</si>
  <si>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</si>
  <si>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</si>
  <si>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</si>
  <si>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</si>
  <si>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</si>
  <si>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</si>
  <si>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</si>
  <si>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</si>
  <si>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</si>
  <si>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</si>
  <si>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</si>
  <si>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</si>
  <si>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</si>
  <si>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</si>
  <si>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</si>
  <si>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</si>
  <si>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</si>
  <si>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</si>
  <si>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</si>
  <si>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</si>
  <si>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</si>
  <si>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</si>
  <si>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</si>
  <si>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</si>
  <si>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</si>
  <si>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</si>
  <si>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</si>
  <si>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</si>
  <si>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</si>
  <si>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</si>
  <si>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</si>
  <si>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</si>
  <si>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</si>
  <si>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</si>
  <si>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</si>
  <si>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</si>
  <si>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</si>
  <si>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</si>
  <si>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</si>
  <si>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</si>
  <si>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</si>
  <si>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</si>
  <si>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</si>
  <si>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</si>
  <si>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</si>
  <si>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</si>
  <si>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</si>
  <si>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</si>
  <si>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</si>
  <si>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</si>
  <si>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</si>
  <si>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</si>
  <si>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</si>
  <si>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</si>
  <si>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</si>
  <si>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</si>
  <si>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</si>
  <si>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</si>
  <si>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</si>
  <si>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</si>
  <si>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</si>
  <si>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</si>
  <si>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</si>
  <si>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</si>
  <si>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</si>
  <si>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</si>
  <si>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</si>
  <si>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</si>
  <si>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</si>
  <si>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</si>
  <si>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</si>
  <si>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</si>
  <si>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</si>
  <si>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</si>
  <si>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</si>
  <si>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</si>
  <si>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</si>
  <si>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</si>
  <si>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</si>
  <si>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</si>
  <si>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</si>
  <si>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</si>
  <si>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</si>
  <si>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</si>
  <si>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</si>
  <si>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</si>
  <si>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</si>
  <si>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</si>
  <si>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</si>
  <si>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</si>
  <si>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</si>
  <si>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</si>
  <si>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</si>
  <si>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</si>
  <si>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</si>
  <si>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</si>
  <si>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</si>
  <si>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</si>
  <si>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</si>
  <si>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</si>
  <si>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</si>
  <si>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</si>
  <si>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</si>
  <si>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</si>
  <si>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</si>
  <si>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</si>
  <si>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</si>
  <si>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</si>
  <si>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</si>
  <si>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</si>
  <si>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</si>
  <si>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</si>
  <si>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</si>
  <si>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</si>
  <si>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</si>
  <si>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</si>
  <si>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</si>
  <si>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</si>
  <si>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</si>
  <si>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</si>
  <si>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</si>
  <si>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</si>
  <si>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</si>
  <si>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</si>
  <si>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</si>
  <si>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</si>
  <si>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</si>
  <si>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</si>
  <si>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</si>
  <si>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</si>
  <si>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</si>
  <si>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</si>
  <si>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</si>
  <si>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</si>
  <si>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</si>
  <si>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</si>
  <si>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</si>
  <si>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</si>
  <si>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</si>
  <si>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</si>
  <si>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</si>
  <si>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</si>
  <si>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</si>
  <si>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</si>
  <si>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</si>
  <si>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</si>
  <si>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</si>
  <si>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</si>
  <si>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</si>
  <si>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</si>
  <si>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</si>
  <si>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</si>
  <si>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</si>
  <si>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</si>
  <si>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</si>
  <si>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</si>
  <si>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</si>
  <si>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</si>
  <si>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</si>
  <si>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</si>
  <si>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</si>
  <si>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</si>
  <si>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</si>
  <si>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</si>
  <si>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</si>
  <si>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</si>
  <si>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</si>
  <si>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</si>
  <si>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</si>
  <si>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</si>
  <si>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</si>
  <si>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</si>
  <si>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</si>
  <si>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</si>
  <si>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</si>
  <si>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</si>
  <si>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</si>
  <si>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</si>
  <si>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</si>
  <si>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</si>
  <si>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</si>
  <si>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</si>
  <si>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</si>
  <si>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</si>
  <si>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</si>
  <si>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</si>
  <si>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</si>
  <si>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</si>
  <si>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</si>
  <si>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</si>
  <si>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</si>
  <si>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</si>
  <si>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</si>
  <si>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</si>
  <si>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</si>
  <si>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</si>
  <si>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</si>
  <si>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</si>
  <si>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</si>
  <si>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</si>
  <si>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</si>
  <si>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</si>
  <si>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</si>
  <si>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</si>
  <si>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</si>
  <si>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</si>
  <si>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</si>
  <si>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</si>
  <si>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</si>
  <si>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</si>
  <si>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</si>
  <si>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</si>
  <si>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</si>
  <si>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</si>
  <si>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</si>
  <si>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</si>
  <si>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</si>
  <si>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</si>
  <si>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</si>
  <si>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</si>
  <si>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</si>
  <si>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</si>
  <si>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</si>
  <si>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</si>
  <si>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</si>
  <si>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</si>
  <si>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</si>
  <si>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</si>
  <si>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</si>
  <si>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</si>
  <si>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</si>
  <si>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</si>
  <si>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</si>
  <si>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</si>
  <si>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</si>
  <si>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</si>
  <si>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</si>
  <si>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</si>
  <si>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</si>
  <si>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</si>
  <si>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</si>
  <si>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</si>
  <si>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</si>
  <si>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</si>
  <si>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</si>
  <si>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</si>
  <si>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</si>
  <si>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</si>
  <si>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</si>
  <si>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</si>
  <si>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</si>
  <si>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</si>
  <si>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</si>
  <si>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</si>
  <si>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</si>
  <si>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</si>
  <si>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</si>
  <si>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</si>
  <si>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</si>
  <si>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</si>
  <si>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</si>
  <si>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</si>
  <si>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</si>
  <si>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</si>
  <si>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</si>
  <si>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</si>
  <si>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</si>
  <si>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</si>
  <si>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</si>
  <si>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</si>
  <si>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</si>
  <si>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</si>
  <si>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</si>
  <si>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</si>
  <si>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</si>
  <si>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</si>
  <si>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</si>
  <si>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</si>
  <si>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</si>
  <si>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</si>
  <si>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</si>
  <si>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</si>
  <si>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</si>
  <si>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</si>
  <si>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</si>
  <si>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</si>
  <si>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</si>
  <si>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</si>
  <si>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</si>
  <si>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</si>
  <si>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</si>
  <si>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</si>
  <si>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</si>
  <si>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</si>
  <si>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</si>
  <si>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</si>
  <si>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</si>
  <si>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</si>
  <si>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</si>
  <si>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</si>
  <si>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</si>
  <si>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</si>
  <si>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</si>
  <si>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</si>
  <si>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</si>
  <si>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</si>
  <si>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</si>
  <si>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</si>
  <si>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</si>
  <si>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</si>
  <si>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</si>
  <si>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</si>
  <si>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</si>
  <si>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</si>
  <si>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</si>
  <si>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</si>
  <si>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</si>
  <si>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</si>
  <si>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</si>
  <si>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</si>
  <si>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</si>
  <si>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</si>
  <si>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</si>
  <si>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</si>
  <si>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</si>
  <si>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</si>
  <si>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</si>
  <si>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</si>
  <si>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</si>
  <si>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</si>
  <si>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</si>
  <si>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</si>
  <si>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</si>
  <si>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</si>
  <si>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</si>
  <si>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</si>
  <si>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</si>
  <si>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</si>
  <si>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</si>
  <si>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</si>
  <si>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</si>
  <si>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</si>
  <si>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</si>
  <si>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</si>
  <si>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</si>
  <si>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</si>
  <si>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</si>
  <si>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</si>
  <si>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</si>
  <si>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</si>
  <si>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</si>
  <si>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</si>
  <si>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</si>
  <si>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</si>
  <si>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</si>
  <si>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</si>
  <si>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</si>
  <si>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</si>
  <si>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</si>
  <si>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</si>
  <si>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</si>
  <si>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</si>
  <si>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</si>
  <si>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</si>
  <si>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</si>
  <si>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</si>
  <si>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</si>
  <si>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</si>
  <si>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</si>
  <si>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</si>
  <si>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</si>
  <si>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</si>
  <si>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</si>
  <si>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</si>
  <si>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</si>
  <si>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</si>
  <si>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</si>
  <si>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</si>
  <si>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</si>
  <si>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</si>
  <si>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</si>
  <si>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</si>
  <si>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</si>
  <si>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</si>
  <si>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</si>
  <si>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</si>
  <si>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</si>
  <si>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</si>
  <si>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</si>
  <si>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</si>
  <si>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</si>
  <si>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</si>
  <si>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</si>
  <si>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</si>
  <si>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</si>
  <si>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</si>
  <si>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</si>
  <si>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</si>
  <si>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</si>
  <si>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</si>
  <si>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</si>
  <si>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</si>
  <si>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</si>
  <si>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</si>
  <si>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</si>
  <si>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</si>
  <si>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</si>
  <si>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</si>
  <si>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</si>
  <si>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</si>
  <si>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</si>
  <si>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</si>
  <si>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</si>
  <si>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</si>
  <si>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</si>
  <si>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</si>
  <si>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</si>
  <si>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</si>
  <si>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</si>
  <si>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</si>
  <si>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</si>
  <si>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</si>
  <si>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</si>
  <si>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</si>
  <si>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</si>
  <si>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</si>
  <si>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</si>
  <si>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</si>
  <si>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</si>
  <si>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</si>
  <si>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</si>
  <si>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</si>
  <si>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</si>
  <si>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</si>
  <si>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</si>
  <si>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</si>
  <si>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</si>
  <si>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</si>
  <si>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</si>
  <si>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</si>
  <si>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</si>
  <si>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</si>
  <si>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</si>
  <si>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</si>
  <si>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</si>
  <si>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</si>
  <si>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</si>
  <si>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</si>
  <si>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</si>
  <si>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</si>
  <si>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</si>
  <si>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</si>
  <si>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</si>
  <si>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</si>
  <si>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</si>
  <si>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</si>
  <si>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</si>
  <si>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</si>
  <si>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</si>
  <si>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</si>
  <si>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</si>
  <si>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</si>
  <si>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</si>
  <si>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</si>
  <si>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</si>
  <si>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</si>
  <si>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</si>
  <si>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</si>
  <si>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</si>
  <si>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</si>
  <si>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</si>
  <si>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</si>
  <si>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</si>
  <si>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</si>
  <si>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</si>
  <si>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</si>
  <si>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</si>
  <si>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</si>
  <si>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</si>
  <si>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</si>
  <si>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</si>
  <si>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</si>
  <si>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</si>
  <si>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</si>
  <si>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</si>
  <si>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</si>
  <si>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</si>
  <si>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</si>
  <si>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</si>
  <si>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</si>
  <si>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</si>
  <si>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</si>
  <si>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</si>
  <si>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</si>
  <si>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</si>
  <si>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</si>
  <si>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</si>
  <si>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</si>
  <si>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</si>
  <si>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</si>
  <si>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</si>
  <si>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</si>
  <si>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</si>
  <si>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</si>
  <si>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</si>
  <si>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</si>
  <si>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</si>
  <si>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</si>
  <si>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</si>
  <si>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</si>
  <si>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</si>
  <si>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</si>
  <si>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</si>
  <si>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</si>
  <si>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</si>
  <si>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</si>
  <si>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</si>
  <si>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</si>
  <si>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</si>
  <si>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</si>
  <si>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</si>
  <si>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</si>
  <si>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</si>
  <si>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</si>
  <si>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</si>
  <si>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</si>
  <si>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</si>
  <si>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</si>
  <si>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</si>
  <si>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</si>
  <si>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</si>
  <si>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</si>
  <si>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</si>
  <si>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</si>
  <si>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</si>
  <si>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</si>
  <si>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</si>
  <si>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</si>
  <si>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</si>
  <si>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</si>
  <si>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</si>
  <si>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</si>
  <si>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</si>
  <si>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</si>
  <si>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</si>
  <si>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</si>
  <si>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</si>
  <si>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</si>
  <si>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</si>
  <si>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</si>
  <si>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</si>
  <si>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</si>
  <si>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</si>
  <si>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</si>
  <si>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</si>
  <si>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</si>
  <si>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</si>
  <si>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</si>
  <si>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</si>
  <si>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</si>
  <si>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</si>
  <si>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</si>
  <si>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</si>
  <si>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</si>
  <si>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</si>
  <si>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</si>
  <si>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</si>
  <si>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</si>
  <si>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</si>
  <si>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</si>
  <si>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</si>
  <si>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</si>
  <si>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</si>
  <si>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</si>
  <si>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</si>
  <si>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</si>
  <si>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</si>
  <si>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</si>
  <si>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</si>
  <si>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</si>
  <si>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</si>
  <si>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</si>
  <si>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</si>
  <si>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</si>
  <si>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</si>
  <si>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</si>
  <si>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</si>
  <si>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</si>
  <si>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</si>
  <si>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</si>
  <si>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</si>
  <si>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</si>
  <si>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</si>
  <si>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</si>
  <si>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</si>
  <si>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</si>
  <si>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</si>
  <si>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</si>
  <si>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</si>
  <si>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</si>
  <si>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</si>
  <si>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</si>
  <si>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</si>
  <si>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</si>
  <si>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</si>
  <si>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</si>
  <si>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</si>
  <si>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</si>
  <si>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</si>
  <si>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</si>
  <si>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</si>
  <si>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</si>
  <si>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</si>
  <si>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</si>
  <si>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</si>
  <si>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</si>
  <si>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</si>
  <si>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</si>
  <si>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</si>
  <si>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</si>
  <si>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</si>
  <si>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</si>
  <si>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</si>
  <si>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</si>
  <si>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</si>
  <si>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</si>
  <si>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</si>
  <si>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</si>
  <si>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</si>
  <si>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</si>
  <si>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</si>
  <si>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</si>
  <si>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</si>
  <si>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</si>
  <si>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</si>
  <si>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</si>
  <si>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</si>
  <si>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</si>
  <si>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</si>
  <si>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</si>
  <si>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</si>
  <si>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</si>
  <si>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</si>
  <si>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</si>
  <si>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</si>
  <si>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</si>
  <si>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</si>
  <si>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</si>
  <si>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</si>
  <si>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</si>
  <si>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</si>
  <si>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</si>
  <si>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</si>
  <si>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</si>
  <si>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</si>
  <si>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</si>
  <si>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</si>
  <si>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</si>
  <si>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</si>
  <si>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</si>
  <si>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</si>
  <si>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</si>
  <si>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</si>
  <si>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</si>
  <si>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</si>
  <si>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</si>
  <si>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</si>
  <si>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</si>
  <si>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</si>
  <si>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</si>
  <si>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</si>
  <si>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</si>
  <si>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</si>
  <si>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</si>
  <si>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</si>
  <si>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</si>
  <si>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</si>
  <si>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</si>
  <si>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</si>
  <si>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</si>
  <si>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</si>
  <si>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</si>
  <si>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</si>
  <si>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</si>
  <si>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</si>
  <si>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</si>
  <si>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</si>
  <si>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</si>
  <si>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</si>
  <si>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</si>
  <si>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</si>
  <si>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</si>
  <si>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</si>
  <si>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</si>
  <si>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</si>
  <si>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</si>
  <si>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</si>
  <si>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</si>
  <si>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</si>
  <si>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</si>
  <si>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</si>
  <si>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</si>
  <si>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</si>
  <si>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</si>
  <si>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</si>
  <si>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</si>
  <si>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</si>
  <si>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</si>
  <si>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</si>
  <si>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</si>
  <si>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</si>
  <si>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</si>
  <si>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</si>
  <si>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</si>
  <si>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</si>
  <si>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</si>
  <si>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</si>
  <si>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</si>
  <si>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</si>
  <si>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</si>
  <si>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</si>
  <si>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</si>
  <si>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</si>
  <si>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</si>
  <si>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</si>
  <si>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</si>
  <si>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</si>
  <si>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</si>
  <si>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</si>
  <si>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</si>
  <si>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</si>
  <si>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</si>
  <si>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</si>
  <si>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</si>
  <si>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</si>
  <si>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</si>
  <si>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</si>
  <si>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</si>
  <si>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</si>
  <si>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</si>
  <si>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</si>
  <si>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</si>
  <si>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</si>
  <si>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</si>
  <si>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</si>
  <si>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</si>
  <si>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</si>
  <si>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</si>
  <si>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</si>
  <si>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</si>
  <si>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</si>
  <si>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</si>
  <si>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</si>
  <si>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</si>
  <si>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</si>
  <si>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</si>
  <si>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</si>
  <si>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</si>
  <si>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</si>
  <si>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</si>
  <si>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</si>
  <si>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</si>
  <si>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</si>
  <si>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</si>
  <si>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</si>
  <si>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</si>
  <si>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</si>
  <si>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</si>
  <si>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</si>
  <si>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</si>
  <si>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</si>
  <si>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</si>
  <si>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</si>
  <si>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</si>
  <si>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</si>
  <si>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</si>
  <si>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</si>
  <si>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</si>
  <si>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</si>
  <si>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</si>
  <si>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</si>
  <si>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</si>
  <si>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</si>
  <si>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</si>
  <si>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</si>
  <si>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</si>
  <si>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</si>
  <si>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</si>
  <si>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</si>
  <si>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</si>
  <si>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</si>
  <si>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</si>
  <si>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</si>
  <si>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</si>
  <si>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</si>
  <si>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</si>
  <si>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</si>
  <si>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</si>
  <si>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</si>
  <si>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</si>
  <si>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</si>
  <si>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</si>
  <si>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</si>
  <si>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</si>
  <si>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</si>
  <si>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</si>
  <si>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</si>
  <si>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</si>
  <si>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</si>
  <si>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</si>
  <si>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</si>
  <si>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</si>
  <si>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</si>
  <si>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</si>
  <si>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</si>
  <si>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</si>
  <si>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</si>
  <si>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</si>
  <si>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</si>
  <si>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</si>
  <si>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</si>
  <si>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</si>
  <si>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</si>
  <si>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</si>
  <si>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</si>
  <si>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</si>
  <si>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</si>
  <si>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</si>
  <si>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</si>
  <si>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</si>
  <si>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</si>
  <si>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</si>
  <si>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</si>
  <si>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</si>
  <si>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</si>
  <si>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</si>
  <si>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</si>
  <si>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</si>
  <si>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</si>
  <si>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</si>
  <si>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</si>
  <si>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</si>
  <si>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</si>
  <si>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</si>
  <si>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</si>
  <si>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</si>
  <si>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</si>
  <si>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</si>
  <si>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</si>
  <si>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</si>
  <si>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</si>
  <si>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</si>
  <si>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</si>
  <si>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</si>
  <si>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</si>
  <si>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</si>
  <si>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</si>
  <si>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</si>
  <si>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</si>
  <si>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</si>
  <si>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</si>
  <si>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</si>
  <si>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</si>
  <si>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</si>
  <si>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</si>
  <si>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</si>
  <si>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</si>
  <si>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</si>
  <si>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</si>
  <si>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</si>
  <si>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</si>
  <si>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</si>
  <si>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</si>
  <si>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</si>
  <si>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</si>
  <si>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</si>
  <si>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</si>
  <si>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</si>
  <si>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</si>
  <si>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</si>
  <si>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</si>
  <si>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</si>
  <si>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</si>
  <si>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</si>
  <si>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</si>
  <si>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</si>
  <si>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</si>
  <si>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</si>
  <si>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</si>
  <si>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</si>
  <si>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</si>
  <si>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</si>
  <si>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</si>
  <si>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</si>
  <si>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</si>
  <si>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</si>
  <si>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</si>
  <si>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</si>
  <si>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</si>
  <si>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</si>
  <si>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</si>
  <si>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</si>
  <si>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</si>
  <si>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</si>
  <si>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</si>
  <si>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</si>
  <si>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</si>
  <si>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</si>
  <si>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</si>
  <si>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</si>
  <si>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</si>
  <si>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</si>
  <si>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</si>
  <si>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</si>
  <si>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</si>
  <si>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</si>
  <si>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</si>
  <si>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</si>
  <si>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</si>
  <si>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</si>
  <si>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</si>
  <si>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</si>
  <si>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</si>
  <si>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</si>
  <si>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</si>
  <si>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</si>
  <si>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</si>
  <si>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</si>
  <si>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</si>
  <si>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</si>
  <si>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</si>
  <si>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</si>
  <si>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</si>
  <si>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</si>
  <si>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</si>
  <si>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</si>
  <si>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</si>
  <si>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</si>
  <si>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</si>
  <si>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</si>
  <si>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</si>
  <si>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</si>
  <si>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</si>
  <si>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</si>
  <si>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</si>
  <si>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</si>
  <si>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</si>
  <si>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</si>
  <si>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</si>
  <si>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</si>
  <si>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</si>
  <si>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</si>
  <si>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</si>
  <si>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</si>
  <si>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</si>
  <si>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</si>
  <si>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</si>
  <si>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</si>
  <si>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</si>
  <si>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</si>
  <si>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</si>
  <si>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</si>
  <si>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</si>
  <si>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</si>
  <si>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</si>
  <si>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</si>
  <si>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</si>
  <si>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</si>
  <si>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</si>
  <si>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</si>
  <si>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</si>
  <si>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</si>
  <si>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</si>
  <si>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</si>
  <si>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</si>
  <si>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</si>
  <si>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</si>
  <si>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</si>
  <si>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</si>
  <si>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</si>
  <si>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</si>
  <si>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</si>
  <si>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</si>
  <si>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</si>
  <si>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</si>
  <si>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</si>
  <si>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</si>
  <si>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</si>
  <si>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</si>
  <si>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</si>
  <si>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</si>
  <si>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</si>
  <si>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</si>
  <si>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</si>
  <si>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</si>
  <si>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</si>
  <si>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</si>
  <si>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</si>
  <si>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</si>
  <si>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</si>
  <si>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</si>
  <si>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</si>
  <si>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</si>
  <si>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</si>
  <si>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</si>
  <si>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</si>
  <si>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</si>
  <si>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</si>
  <si>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</si>
  <si>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</si>
  <si>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</si>
  <si>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</si>
  <si>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</si>
  <si>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</si>
  <si>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</si>
  <si>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</si>
  <si>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</si>
  <si>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</si>
  <si>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</si>
  <si>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</si>
  <si>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</si>
  <si>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</si>
  <si>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</si>
  <si>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</si>
  <si>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</si>
  <si>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</si>
  <si>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</si>
  <si>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</si>
  <si>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</si>
  <si>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</si>
  <si>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</si>
  <si>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</si>
  <si>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</si>
  <si>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</si>
  <si>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</si>
  <si>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</si>
  <si>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</si>
  <si>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</si>
  <si>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</si>
  <si>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</si>
  <si>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</si>
  <si>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</si>
  <si>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</si>
  <si>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</si>
  <si>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</si>
  <si>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</si>
  <si>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</si>
  <si>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</si>
  <si>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</si>
  <si>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</si>
  <si>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</si>
  <si>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</si>
  <si>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</si>
  <si>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</si>
  <si>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</si>
  <si>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</si>
  <si>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</si>
  <si>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</si>
  <si>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</si>
  <si>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</si>
  <si>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</si>
  <si>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</si>
  <si>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</si>
  <si>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</si>
  <si>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</si>
  <si>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</si>
  <si>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</si>
  <si>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</si>
  <si>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</si>
  <si>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</si>
  <si>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</si>
  <si>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</si>
  <si>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</si>
  <si>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</si>
  <si>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</si>
  <si>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</si>
  <si>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</si>
  <si>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</si>
  <si>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</si>
  <si>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</si>
  <si>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</si>
  <si>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</si>
  <si>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</si>
  <si>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</si>
  <si>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</si>
  <si>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</si>
  <si>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</si>
  <si>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</si>
  <si>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</si>
  <si>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</si>
  <si>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</si>
  <si>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</si>
  <si>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</si>
  <si>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</si>
  <si>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</si>
  <si>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</si>
  <si>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</si>
  <si>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</si>
  <si>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</si>
  <si>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</si>
  <si>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</si>
  <si>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</si>
  <si>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</si>
  <si>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</si>
  <si>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</si>
  <si>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</si>
  <si>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</si>
  <si>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</si>
  <si>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</si>
  <si>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</si>
  <si>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</si>
  <si>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</si>
  <si>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</si>
  <si>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</si>
  <si>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</si>
  <si>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</si>
  <si>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</si>
  <si>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</si>
  <si>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</si>
  <si>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</si>
  <si>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</si>
  <si>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</si>
  <si>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</si>
  <si>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</si>
  <si>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</si>
  <si>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</si>
  <si>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</si>
  <si>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</si>
  <si>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</si>
  <si>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</si>
  <si>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</si>
  <si>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</si>
  <si>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</si>
  <si>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</si>
  <si>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</si>
  <si>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</si>
  <si>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</si>
  <si>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</si>
  <si>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</si>
  <si>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</si>
  <si>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</si>
  <si>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</si>
  <si>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</si>
  <si>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</si>
  <si>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</si>
  <si>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</si>
  <si>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</si>
  <si>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</si>
  <si>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</si>
  <si>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</si>
  <si>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</si>
  <si>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</si>
  <si>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</si>
  <si>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</si>
  <si>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</si>
  <si>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</si>
  <si>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</si>
  <si>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</si>
  <si>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</si>
  <si>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</si>
  <si>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</si>
  <si>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</si>
  <si>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</si>
  <si>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</si>
  <si>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</si>
  <si>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</si>
  <si>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</si>
  <si>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</si>
  <si>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</si>
  <si>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</si>
  <si>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</si>
  <si>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</si>
  <si>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</si>
  <si>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</si>
  <si>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</si>
  <si>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</si>
  <si>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</si>
  <si>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</si>
  <si>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</si>
  <si>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</si>
  <si>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</si>
  <si>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</si>
  <si>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</si>
  <si>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</si>
  <si>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</si>
  <si>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</si>
  <si>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</si>
  <si>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</si>
  <si>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</si>
  <si>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</si>
  <si>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</si>
  <si>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</si>
  <si>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</si>
  <si>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</si>
  <si>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</si>
  <si>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</si>
  <si>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</si>
  <si>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</si>
  <si>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</si>
  <si>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</si>
  <si>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</si>
  <si>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</si>
  <si>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</si>
  <si>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</si>
  <si>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</si>
  <si>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</si>
  <si>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</si>
  <si>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</si>
  <si>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</si>
  <si>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</si>
  <si>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</si>
  <si>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</si>
  <si>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</si>
  <si>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</si>
  <si>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</si>
  <si>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</si>
  <si>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</si>
  <si>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</si>
  <si>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</si>
  <si>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</si>
  <si>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</si>
  <si>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</si>
  <si>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</si>
  <si>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</si>
  <si>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</si>
  <si>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</si>
  <si>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</si>
  <si>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</si>
  <si>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</si>
  <si>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</si>
  <si>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</si>
  <si>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</si>
  <si>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</si>
  <si>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</si>
  <si>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</si>
  <si>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</si>
  <si>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</si>
  <si>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</si>
  <si>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</si>
  <si>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</si>
  <si>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</si>
  <si>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</si>
  <si>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</si>
  <si>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</si>
  <si>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</si>
  <si>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</si>
  <si>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</si>
  <si>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</si>
  <si>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</si>
  <si>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</si>
  <si>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</si>
  <si>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</si>
  <si>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</si>
  <si>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</si>
  <si>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</si>
  <si>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</si>
  <si>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</si>
  <si>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</si>
  <si>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</si>
  <si>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</si>
  <si>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</si>
  <si>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</si>
  <si>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</si>
  <si>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</si>
  <si>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</si>
  <si>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</si>
  <si>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</si>
  <si>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</si>
  <si>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</si>
  <si>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</si>
  <si>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</si>
  <si>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</si>
  <si>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</si>
  <si>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</si>
  <si>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</si>
  <si>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</si>
  <si>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</si>
  <si>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</si>
  <si>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</si>
  <si>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</si>
  <si>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</si>
  <si>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</si>
  <si>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</si>
  <si>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</si>
  <si>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</si>
  <si>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</si>
  <si>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</si>
  <si>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</si>
  <si>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</si>
  <si>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</si>
  <si>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</si>
  <si>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</si>
  <si>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</si>
  <si>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</si>
  <si>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</si>
  <si>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</si>
  <si>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</si>
  <si>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</si>
  <si>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</si>
  <si>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</si>
  <si>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</si>
  <si>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</si>
  <si>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</si>
  <si>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</si>
  <si>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</si>
  <si>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</si>
  <si>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</si>
  <si>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</si>
  <si>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</si>
  <si>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</si>
  <si>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</si>
  <si>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</si>
  <si>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</si>
  <si>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</si>
  <si>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</si>
  <si>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</si>
  <si>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</si>
  <si>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</si>
  <si>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</si>
  <si>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</si>
  <si>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</si>
  <si>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</si>
  <si>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</si>
  <si>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</si>
  <si>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</si>
  <si>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</si>
  <si>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</si>
  <si>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</si>
  <si>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</si>
  <si>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</si>
  <si>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</si>
  <si>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</si>
  <si>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</si>
  <si>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</si>
  <si>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</si>
  <si>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</si>
  <si>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</si>
  <si>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</si>
  <si>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</si>
  <si>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</si>
  <si>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</si>
  <si>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</si>
  <si>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</si>
  <si>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</si>
  <si>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</si>
  <si>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</si>
  <si>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</si>
  <si>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</si>
  <si>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</si>
  <si>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</si>
  <si>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</si>
  <si>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</si>
  <si>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</si>
  <si>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</si>
  <si>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</si>
  <si>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</si>
  <si>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</si>
  <si>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</si>
  <si>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</si>
  <si>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</si>
  <si>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</si>
  <si>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</si>
  <si>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</si>
  <si>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</si>
  <si>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</si>
  <si>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</si>
  <si>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</si>
  <si>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</si>
  <si>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</si>
  <si>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</si>
  <si>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</si>
  <si>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</si>
  <si>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</si>
  <si>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</si>
  <si>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</si>
  <si>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</si>
  <si>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</si>
  <si>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</si>
  <si>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</si>
  <si>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</si>
  <si>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</si>
  <si>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</si>
  <si>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</si>
  <si>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</si>
  <si>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</si>
  <si>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</si>
  <si>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</si>
  <si>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</si>
  <si>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</si>
  <si>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</si>
  <si>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</si>
  <si>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</si>
  <si>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</si>
  <si>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</si>
  <si>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</si>
  <si>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</si>
  <si>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</si>
  <si>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</si>
  <si>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</si>
  <si>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</si>
  <si>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</si>
  <si>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</si>
  <si>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</si>
  <si>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</si>
  <si>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</si>
  <si>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</si>
  <si>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</si>
  <si>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</si>
  <si>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</si>
  <si>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</si>
  <si>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</si>
  <si>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</si>
  <si>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</si>
  <si>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</si>
  <si>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</si>
  <si>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</si>
  <si>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</si>
  <si>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</si>
  <si>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</si>
  <si>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</si>
  <si>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</si>
  <si>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</si>
  <si>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</si>
  <si>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</si>
  <si>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</si>
  <si>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</si>
  <si>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</si>
  <si>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</si>
  <si>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</si>
  <si>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</si>
  <si>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</si>
  <si>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</si>
  <si>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</si>
  <si>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</si>
  <si>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</si>
  <si>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</si>
  <si>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</si>
  <si>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</si>
  <si>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</si>
  <si>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</si>
  <si>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</si>
  <si>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</si>
  <si>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</si>
  <si>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</si>
  <si>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</si>
  <si>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</si>
  <si>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</si>
  <si>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</si>
  <si>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</si>
  <si>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</si>
  <si>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</si>
  <si>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</si>
  <si>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</si>
  <si>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</si>
  <si>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</si>
  <si>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</si>
  <si>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</si>
  <si>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</si>
  <si>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</si>
  <si>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</si>
  <si>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</si>
  <si>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</si>
  <si>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</si>
  <si>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</si>
  <si>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</si>
  <si>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</si>
  <si>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</si>
  <si>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</si>
  <si>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</si>
  <si>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</si>
  <si>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</si>
  <si>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</si>
  <si>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</si>
  <si>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</si>
  <si>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</si>
  <si>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</si>
  <si>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</si>
  <si>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</si>
  <si>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</si>
  <si>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</si>
  <si>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</si>
  <si>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</si>
  <si>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</si>
  <si>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</si>
  <si>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</si>
  <si>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</si>
  <si>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</si>
  <si>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</si>
  <si>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</si>
  <si>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</si>
  <si>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</si>
  <si>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</si>
  <si>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</si>
  <si>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</si>
  <si>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</si>
  <si>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</si>
  <si>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</si>
  <si>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</si>
  <si>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</si>
  <si>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</si>
  <si>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</si>
  <si>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</si>
  <si>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</si>
  <si>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</si>
  <si>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</si>
  <si>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</si>
  <si>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</si>
  <si>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</si>
  <si>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</si>
  <si>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</si>
  <si>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</si>
  <si>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</si>
  <si>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</si>
  <si>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</si>
  <si>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</si>
  <si>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</si>
  <si>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</si>
  <si>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</si>
  <si>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</si>
  <si>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</si>
  <si>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</si>
  <si>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</si>
  <si>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</si>
  <si>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</si>
  <si>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</si>
  <si>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</si>
  <si>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</si>
  <si>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</si>
  <si>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</si>
  <si>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</si>
  <si>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</si>
  <si>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</si>
  <si>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</si>
  <si>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</si>
  <si>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</si>
  <si>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</si>
  <si>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</si>
  <si>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</si>
  <si>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</si>
  <si>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</si>
  <si>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</si>
  <si>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</si>
  <si>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</si>
  <si>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</si>
  <si>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</si>
  <si>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</si>
  <si>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</si>
  <si>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</si>
  <si>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</si>
  <si>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</si>
  <si>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</si>
  <si>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</si>
  <si>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</si>
  <si>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</si>
  <si>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</si>
  <si>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</si>
  <si>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</si>
  <si>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</si>
  <si>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</si>
  <si>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</si>
  <si>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</si>
  <si>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</si>
  <si>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</si>
  <si>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</si>
  <si>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</si>
  <si>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</si>
  <si>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</si>
  <si>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</si>
  <si>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</si>
  <si>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</si>
  <si>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</si>
  <si>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</si>
  <si>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</si>
  <si>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</si>
  <si>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</si>
  <si>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</si>
  <si>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</si>
  <si>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</si>
  <si>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</si>
  <si>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</si>
  <si>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</si>
  <si>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</si>
  <si>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</si>
  <si>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</si>
  <si>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</si>
  <si>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</si>
  <si>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</si>
  <si>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</si>
  <si>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</si>
  <si>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</si>
  <si>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</si>
  <si>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</si>
  <si>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</si>
  <si>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</si>
  <si>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</si>
  <si>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</si>
  <si>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</si>
  <si>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</si>
  <si>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</si>
  <si>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</si>
  <si>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</si>
  <si>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</si>
  <si>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</si>
  <si>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</si>
  <si>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</si>
  <si>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</si>
  <si>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</si>
  <si>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</si>
  <si>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</si>
  <si>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</si>
  <si>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</si>
  <si>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</si>
  <si>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</si>
  <si>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</si>
  <si>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</si>
  <si>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</si>
  <si>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</si>
  <si>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</si>
  <si>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</si>
  <si>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</si>
  <si>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</si>
  <si>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</si>
  <si>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</si>
  <si>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</si>
  <si>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</si>
  <si>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</si>
  <si>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</si>
  <si>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</si>
  <si>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</si>
  <si>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</si>
  <si>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</si>
  <si>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</si>
  <si>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</si>
  <si>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</si>
  <si>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</si>
  <si>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</si>
  <si>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</si>
  <si>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</si>
  <si>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</si>
  <si>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</si>
  <si>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</si>
  <si>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</si>
  <si>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</si>
  <si>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</si>
  <si>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</si>
  <si>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</si>
  <si>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</si>
  <si>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</si>
  <si>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</si>
  <si>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</si>
  <si>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</si>
  <si>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</si>
  <si>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</si>
  <si>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</si>
  <si>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</si>
  <si>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</si>
  <si>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</si>
  <si>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</si>
  <si>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</si>
  <si>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</si>
  <si>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</si>
  <si>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</si>
  <si>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</si>
  <si>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</si>
  <si>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</si>
  <si>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</si>
  <si>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</si>
  <si>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</si>
  <si>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</si>
  <si>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</si>
  <si>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</si>
  <si>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</si>
  <si>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</si>
  <si>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</si>
  <si>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</si>
  <si>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</si>
  <si>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</si>
  <si>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</si>
  <si>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</si>
  <si>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</si>
  <si>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</si>
  <si>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</si>
  <si>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</si>
  <si>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</si>
  <si>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</si>
  <si>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</si>
  <si>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</si>
  <si>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</si>
  <si>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</si>
  <si>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</si>
  <si>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</si>
  <si>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</si>
  <si>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</si>
  <si>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</si>
  <si>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</si>
  <si>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</si>
  <si>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</si>
  <si>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</si>
  <si>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</si>
  <si>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</si>
  <si>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</si>
  <si>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</si>
  <si>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</si>
  <si>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</si>
  <si>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</si>
  <si>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</si>
  <si>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</si>
  <si>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</si>
  <si>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</si>
  <si>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</si>
  <si>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</si>
  <si>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</si>
  <si>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</si>
  <si>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</si>
  <si>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</si>
  <si>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</si>
  <si>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</si>
  <si>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</si>
  <si>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</si>
  <si>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</si>
  <si>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</si>
  <si>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</si>
  <si>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</si>
  <si>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</si>
  <si>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</si>
  <si>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</si>
  <si>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</si>
  <si>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</si>
  <si>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</si>
  <si>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</si>
  <si>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</si>
  <si>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</si>
  <si>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</si>
  <si>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</si>
  <si>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</si>
  <si>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</si>
  <si>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</si>
  <si>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</si>
  <si>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</si>
  <si>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</si>
  <si>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</si>
  <si>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</si>
  <si>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</si>
  <si>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</si>
  <si>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</si>
  <si>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</si>
  <si>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</si>
  <si>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</si>
  <si>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</si>
  <si>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</si>
  <si>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</si>
  <si>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</si>
  <si>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</si>
  <si>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</si>
  <si>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</si>
  <si>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</si>
  <si>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</si>
  <si>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</si>
  <si>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</si>
  <si>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</si>
  <si>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</si>
  <si>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</si>
  <si>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</si>
  <si>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</si>
  <si>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</si>
  <si>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</si>
  <si>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</si>
  <si>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</si>
  <si>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</si>
  <si>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</si>
  <si>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</si>
  <si>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</si>
  <si>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</si>
  <si>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</si>
  <si>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</si>
  <si>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</si>
  <si>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</si>
  <si>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</si>
  <si>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</si>
  <si>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</si>
  <si>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</si>
  <si>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</si>
  <si>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</si>
  <si>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</si>
  <si>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</si>
  <si>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</si>
  <si>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</si>
  <si>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</si>
  <si>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</si>
  <si>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</si>
  <si>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</si>
  <si>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</si>
  <si>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</si>
  <si>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</si>
  <si>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</si>
  <si>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</si>
  <si>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</si>
  <si>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</si>
  <si>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</si>
  <si>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</si>
  <si>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</si>
  <si>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</si>
  <si>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</si>
  <si>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</si>
  <si>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</si>
  <si>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</si>
  <si>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</si>
  <si>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</si>
  <si>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</si>
  <si>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</si>
  <si>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</si>
  <si>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</si>
  <si>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</si>
  <si>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</si>
  <si>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</si>
  <si>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</si>
  <si>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</si>
  <si>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</si>
  <si>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</si>
  <si>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</si>
  <si>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</si>
  <si>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</si>
  <si>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</si>
  <si>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</si>
  <si>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</si>
  <si>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</si>
  <si>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</si>
  <si>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</si>
  <si>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</si>
  <si>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</si>
  <si>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</si>
  <si>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</si>
  <si>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</si>
  <si>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</si>
  <si>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</si>
  <si>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</si>
  <si>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</si>
  <si>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</si>
  <si>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</si>
  <si>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</si>
  <si>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</si>
  <si>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</si>
  <si>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</si>
  <si>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</si>
  <si>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</si>
  <si>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</si>
  <si>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</si>
  <si>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</si>
  <si>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</si>
  <si>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</si>
  <si>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</si>
  <si>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</si>
  <si>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</si>
  <si>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</si>
  <si>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</si>
  <si>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</si>
  <si>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</si>
  <si>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</si>
  <si>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</si>
  <si>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</si>
  <si>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</si>
  <si>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</si>
  <si>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</si>
  <si>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</si>
  <si>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</si>
  <si>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</si>
  <si>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</si>
  <si>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</si>
  <si>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</si>
  <si>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</si>
  <si>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</si>
  <si>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</si>
  <si>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</si>
  <si>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</si>
  <si>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</si>
  <si>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</si>
  <si>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</si>
  <si>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</si>
  <si>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</si>
  <si>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</si>
  <si>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</si>
  <si>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</si>
  <si>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</si>
  <si>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</si>
  <si>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</si>
  <si>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</si>
  <si>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</si>
  <si>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</si>
  <si>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</si>
  <si>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</si>
  <si>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</si>
  <si>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</si>
  <si>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</si>
  <si>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</si>
  <si>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</si>
  <si>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</si>
  <si>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</si>
  <si>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</si>
  <si>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</si>
  <si>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</si>
  <si>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</si>
  <si>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</si>
  <si>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</si>
  <si>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</si>
  <si>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</si>
  <si>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</si>
  <si>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</si>
  <si>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</si>
  <si>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</si>
  <si>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</si>
  <si>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</si>
  <si>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</si>
  <si>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</si>
  <si>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</si>
  <si>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</si>
  <si>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</si>
  <si>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</si>
  <si>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</si>
  <si>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</si>
  <si>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</si>
  <si>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</si>
  <si>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</si>
  <si>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</si>
  <si>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</si>
  <si>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</si>
  <si>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</si>
  <si>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</si>
  <si>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</si>
  <si>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</si>
  <si>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</si>
  <si>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</si>
  <si>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</si>
  <si>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</si>
  <si>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</si>
  <si>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</si>
  <si>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</si>
  <si>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</si>
  <si>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</si>
  <si>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</si>
  <si>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</si>
  <si>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</si>
  <si>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</si>
  <si>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</si>
  <si>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</si>
  <si>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</si>
  <si>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</si>
  <si>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</si>
  <si>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</si>
  <si>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</si>
  <si>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</si>
  <si>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</si>
  <si>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</si>
  <si>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</si>
  <si>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</si>
  <si>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</si>
  <si>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</si>
  <si>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</si>
  <si>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</si>
  <si>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</si>
  <si>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</si>
  <si>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</si>
  <si>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</si>
  <si>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</si>
  <si>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</si>
  <si>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</si>
  <si>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</si>
  <si>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</si>
  <si>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</si>
  <si>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</si>
  <si>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</si>
  <si>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</si>
  <si>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</si>
  <si>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</si>
  <si>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</si>
  <si>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</si>
  <si>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</si>
  <si>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</si>
  <si>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</si>
  <si>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</si>
  <si>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</si>
  <si>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</si>
  <si>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</si>
  <si>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</si>
  <si>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</si>
  <si>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</si>
  <si>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</si>
  <si>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</si>
  <si>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</si>
  <si>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</si>
  <si>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</si>
  <si>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</si>
  <si>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</si>
  <si>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</si>
  <si>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</si>
  <si>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</si>
  <si>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</si>
  <si>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</si>
  <si>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</si>
  <si>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</si>
  <si>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</si>
  <si>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</si>
  <si>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</si>
  <si>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</si>
  <si>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</si>
  <si>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</si>
  <si>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</si>
  <si>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</si>
  <si>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</si>
  <si>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</si>
  <si>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</si>
  <si>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</si>
  <si>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</si>
  <si>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</si>
  <si>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</si>
  <si>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</si>
  <si>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</si>
  <si>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</si>
  <si>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</si>
  <si>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</si>
  <si>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</si>
  <si>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</si>
  <si>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</si>
  <si>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</si>
  <si>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</si>
  <si>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</si>
  <si>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</si>
  <si>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</si>
  <si>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</si>
  <si>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</si>
  <si>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</si>
  <si>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</si>
  <si>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</si>
  <si>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</si>
  <si>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</si>
  <si>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</si>
  <si>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</si>
  <si>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</si>
  <si>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</si>
  <si>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</si>
  <si>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</si>
  <si>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</si>
  <si>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</si>
  <si>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</si>
  <si>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</si>
  <si>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</si>
  <si>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</si>
  <si>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</si>
  <si>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</si>
  <si>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</si>
  <si>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</si>
  <si>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</si>
  <si>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</si>
  <si>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</si>
  <si>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</si>
  <si>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</si>
  <si>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</si>
  <si>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</si>
  <si>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</si>
  <si>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</si>
  <si>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</si>
  <si>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</si>
  <si>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</si>
  <si>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</si>
  <si>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</si>
  <si>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</si>
  <si>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</si>
  <si>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</si>
  <si>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</si>
  <si>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</si>
  <si>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</si>
  <si>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</si>
  <si>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</si>
  <si>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</si>
  <si>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</si>
  <si>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</si>
  <si>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</si>
  <si>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</si>
  <si>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</si>
  <si>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</si>
  <si>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</si>
  <si>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</si>
  <si>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</si>
  <si>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</si>
  <si>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</si>
  <si>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</si>
  <si>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</si>
  <si>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</si>
  <si>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</si>
  <si>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</si>
  <si>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</si>
  <si>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</si>
  <si>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</si>
  <si>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</si>
  <si>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</si>
  <si>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</si>
  <si>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</si>
  <si>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</si>
  <si>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</si>
  <si>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</si>
  <si>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</si>
  <si>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</si>
  <si>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</si>
  <si>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</si>
  <si>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</si>
  <si>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</si>
  <si>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</si>
  <si>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</si>
  <si>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</si>
  <si>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</si>
  <si>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</si>
  <si>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</si>
  <si>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</si>
  <si>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</si>
  <si>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</si>
  <si>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</si>
  <si>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</si>
  <si>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</si>
  <si>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</si>
  <si>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</si>
  <si>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</si>
  <si>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</si>
  <si>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</si>
  <si>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</si>
  <si>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</si>
  <si>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</si>
  <si>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</si>
  <si>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</si>
  <si>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</si>
  <si>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</si>
  <si>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</si>
  <si>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</si>
  <si>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</si>
  <si>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</si>
  <si>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</si>
  <si>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</si>
  <si>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</si>
  <si>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</si>
  <si>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</si>
  <si>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</si>
  <si>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</si>
  <si>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</si>
  <si>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</si>
  <si>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</si>
  <si>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</si>
  <si>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</si>
  <si>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</si>
  <si>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</si>
  <si>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</si>
  <si>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</si>
  <si>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</si>
  <si>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</si>
  <si>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</si>
  <si>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</si>
  <si>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</si>
  <si>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</si>
  <si>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</si>
  <si>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</si>
  <si>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</si>
  <si>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</si>
  <si>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</si>
  <si>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</si>
  <si>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</si>
  <si>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</si>
  <si>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</si>
  <si>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</si>
  <si>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</si>
  <si>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</si>
  <si>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</si>
  <si>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</si>
  <si>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</si>
  <si>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</si>
  <si>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</si>
  <si>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</si>
  <si>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</si>
  <si>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</si>
  <si>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</si>
  <si>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</si>
  <si>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</si>
  <si>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</si>
  <si>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</si>
  <si>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</si>
  <si>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</si>
  <si>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</si>
  <si>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</si>
  <si>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</si>
  <si>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</si>
  <si>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</si>
  <si>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</si>
  <si>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</si>
  <si>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</si>
  <si>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</si>
  <si>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</si>
  <si>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</si>
  <si>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</si>
  <si>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</si>
  <si>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</si>
  <si>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</si>
  <si>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</si>
  <si>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</si>
  <si>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</si>
  <si>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</si>
  <si>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</si>
  <si>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</si>
  <si>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</si>
  <si>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</si>
  <si>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</si>
  <si>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</si>
  <si>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</si>
  <si>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</si>
  <si>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</si>
  <si>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</si>
  <si>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</si>
  <si>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</si>
  <si>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</si>
  <si>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</si>
  <si>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</si>
  <si>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</si>
  <si>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</si>
  <si>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</si>
  <si>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</si>
  <si>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</si>
  <si>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</si>
  <si>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</si>
  <si>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</si>
  <si>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</si>
  <si>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</si>
  <si>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</si>
  <si>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</si>
  <si>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</si>
  <si>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</si>
  <si>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</si>
  <si>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</si>
  <si>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</si>
  <si>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</si>
  <si>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</si>
  <si>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</si>
  <si>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</si>
  <si>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</si>
  <si>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</si>
  <si>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</si>
  <si>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</si>
  <si>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</si>
  <si>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</si>
  <si>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</si>
  <si>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</si>
  <si>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</si>
  <si>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</si>
  <si>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</si>
  <si>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</si>
  <si>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</si>
  <si>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</si>
  <si>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</si>
  <si>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</si>
  <si>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</si>
  <si>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</si>
  <si>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</si>
  <si>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</si>
  <si>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</si>
  <si>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</si>
  <si>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</si>
  <si>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</si>
  <si>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</si>
  <si>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</si>
  <si>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</si>
  <si>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</si>
  <si>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</si>
  <si>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</si>
  <si>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</si>
  <si>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</si>
  <si>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</si>
  <si>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</si>
  <si>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</si>
  <si>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</si>
  <si>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</si>
  <si>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</si>
  <si>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</si>
  <si>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</si>
  <si>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</si>
  <si>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</si>
  <si>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</si>
  <si>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</si>
  <si>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</si>
  <si>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</si>
  <si>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</si>
  <si>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</si>
  <si>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</si>
  <si>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</si>
  <si>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</si>
  <si>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</si>
  <si>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</si>
  <si>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</si>
  <si>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</si>
  <si>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</si>
  <si>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</si>
  <si>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</si>
  <si>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</si>
  <si>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</si>
  <si>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</si>
  <si>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</si>
  <si>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</si>
  <si>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</si>
  <si>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</si>
  <si>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</si>
  <si>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</si>
  <si>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</si>
  <si>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</si>
  <si>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</si>
  <si>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</si>
  <si>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</si>
  <si>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</si>
  <si>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</si>
  <si>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</si>
  <si>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</si>
  <si>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</si>
  <si>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</si>
  <si>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</si>
  <si>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</si>
  <si>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</si>
  <si>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</si>
  <si>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</si>
  <si>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</si>
  <si>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</si>
  <si>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</si>
  <si>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</si>
  <si>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</si>
  <si>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</si>
  <si>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</si>
  <si>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</si>
  <si>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</si>
  <si>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</si>
  <si>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</si>
  <si>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</si>
  <si>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</si>
  <si>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</si>
  <si>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</si>
  <si>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</si>
  <si>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</si>
  <si>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</si>
  <si>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</si>
  <si>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</si>
  <si>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</si>
  <si>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</si>
  <si>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</si>
  <si>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</si>
  <si>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</si>
  <si>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</si>
  <si>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</si>
  <si>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</si>
  <si>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</si>
  <si>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</si>
  <si>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</si>
  <si>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</si>
  <si>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</si>
  <si>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</si>
  <si>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</si>
  <si>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</si>
  <si>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</si>
  <si>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</si>
  <si>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</si>
  <si>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</si>
  <si>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</si>
  <si>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</si>
  <si>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</si>
  <si>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</si>
  <si>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</si>
  <si>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</si>
  <si>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</si>
  <si>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</si>
  <si>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</si>
  <si>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</si>
  <si>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</si>
  <si>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</si>
  <si>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</si>
  <si>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</si>
  <si>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</si>
  <si>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</si>
  <si>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</si>
  <si>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</si>
  <si>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</si>
  <si>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</si>
  <si>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</si>
  <si>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</si>
  <si>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</si>
  <si>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</si>
  <si>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</si>
  <si>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</si>
  <si>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</si>
  <si>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</si>
  <si>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</si>
  <si>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</si>
  <si>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</si>
  <si>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</si>
  <si>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</si>
  <si>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</si>
  <si>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</si>
  <si>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</si>
  <si>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</si>
  <si>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</si>
  <si>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</si>
  <si>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</si>
  <si>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</si>
  <si>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</si>
  <si>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</si>
  <si>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</si>
  <si>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</si>
  <si>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</si>
  <si>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</si>
  <si>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</si>
  <si>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</si>
  <si>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</si>
  <si>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</si>
  <si>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</si>
  <si>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</si>
  <si>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</si>
  <si>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</si>
  <si>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</si>
  <si>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</si>
  <si>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</si>
  <si>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</si>
  <si>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</si>
  <si>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</si>
  <si>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</si>
  <si>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</si>
  <si>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</si>
  <si>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</si>
  <si>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</si>
  <si>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</si>
  <si>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</si>
  <si>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</si>
  <si>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</si>
  <si>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</si>
  <si>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</si>
  <si>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</si>
  <si>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</si>
  <si>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</si>
  <si>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</si>
  <si>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</si>
  <si>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</si>
  <si>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</si>
  <si>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</si>
  <si>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</si>
  <si>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</si>
  <si>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</si>
  <si>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</si>
  <si>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</si>
  <si>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</si>
  <si>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</si>
  <si>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</si>
  <si>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</si>
  <si>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</si>
  <si>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</si>
  <si>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</si>
  <si>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</si>
  <si>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</si>
  <si>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</si>
  <si>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</si>
  <si>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</si>
  <si>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</si>
  <si>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</si>
  <si>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</si>
  <si>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</si>
  <si>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</si>
  <si>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</si>
  <si>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</si>
  <si>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</si>
  <si>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</si>
  <si>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</si>
  <si>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</si>
  <si>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</si>
  <si>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</si>
  <si>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</si>
  <si>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</si>
  <si>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</si>
  <si>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</si>
  <si>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</si>
  <si>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</si>
  <si>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</si>
  <si>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</si>
  <si>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</si>
  <si>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</si>
  <si>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</si>
  <si>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</si>
  <si>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</si>
  <si>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</si>
  <si>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</si>
  <si>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</si>
  <si>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</si>
  <si>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</si>
  <si>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</si>
  <si>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</si>
  <si>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</si>
  <si>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</si>
  <si>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</si>
  <si>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</si>
  <si>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</si>
  <si>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</si>
  <si>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</si>
  <si>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</si>
  <si>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</si>
  <si>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</si>
  <si>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</si>
  <si>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</si>
  <si>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</si>
  <si>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</si>
  <si>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</si>
  <si>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</si>
  <si>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</si>
  <si>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</si>
  <si>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</si>
  <si>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</si>
  <si>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</si>
  <si>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</si>
  <si>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</si>
  <si>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</si>
  <si>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</si>
  <si>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</si>
  <si>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</si>
  <si>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</si>
  <si>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</si>
  <si>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</si>
  <si>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</si>
  <si>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</si>
  <si>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</si>
  <si>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</si>
  <si>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</si>
  <si>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</si>
  <si>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</si>
  <si>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</si>
  <si>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</si>
  <si>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</si>
  <si>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</si>
  <si>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</si>
  <si>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</si>
  <si>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</si>
  <si>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</si>
  <si>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</si>
  <si>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</si>
  <si>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</si>
  <si>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</si>
  <si>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</si>
  <si>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</si>
  <si>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</si>
  <si>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</si>
  <si>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</si>
  <si>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</si>
  <si>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</si>
  <si>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</si>
  <si>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</si>
  <si>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</si>
  <si>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</si>
  <si>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</si>
  <si>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</si>
  <si>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</si>
  <si>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</si>
  <si>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</si>
  <si>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</si>
  <si>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</si>
  <si>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</si>
  <si>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</si>
  <si>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</si>
  <si>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</si>
  <si>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</si>
  <si>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</si>
  <si>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</si>
  <si>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</si>
  <si>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</si>
  <si>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</si>
  <si>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</si>
  <si>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</si>
  <si>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</si>
  <si>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</si>
  <si>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</si>
  <si>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</si>
  <si>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</si>
  <si>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</si>
  <si>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</si>
  <si>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</si>
  <si>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</si>
  <si>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</si>
  <si>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</si>
  <si>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</si>
  <si>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</si>
  <si>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</si>
  <si>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</si>
  <si>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</si>
  <si>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</si>
  <si>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</si>
  <si>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</si>
  <si>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</si>
  <si>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</si>
  <si>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</si>
  <si>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</si>
  <si>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</si>
  <si>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</si>
  <si>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</si>
  <si>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</si>
  <si>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</si>
  <si>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</si>
  <si>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</si>
  <si>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</si>
  <si>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</si>
  <si>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</si>
  <si>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</si>
  <si>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</si>
  <si>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</si>
  <si>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</si>
  <si>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</si>
  <si>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</si>
  <si>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</si>
  <si>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</si>
  <si>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</si>
  <si>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</si>
  <si>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</si>
  <si>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</si>
  <si>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</si>
  <si>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</si>
  <si>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</si>
  <si>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</si>
  <si>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</si>
  <si>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</si>
  <si>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</si>
  <si>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</si>
  <si>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</si>
  <si>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</si>
  <si>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</si>
  <si>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</si>
  <si>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</si>
  <si>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</si>
  <si>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</si>
  <si>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</si>
  <si>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</si>
  <si>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</si>
  <si>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</si>
  <si>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</si>
  <si>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</si>
  <si>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</si>
  <si>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</si>
  <si>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</si>
  <si>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</si>
  <si>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</si>
  <si>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</si>
  <si>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</si>
  <si>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</si>
  <si>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</si>
  <si>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</si>
  <si>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</si>
  <si>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</si>
  <si>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</si>
  <si>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</si>
  <si>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</si>
  <si>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</si>
  <si>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</si>
  <si>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</si>
  <si>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</si>
  <si>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</si>
  <si>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</si>
  <si>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</si>
  <si>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</si>
  <si>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</si>
  <si>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</si>
  <si>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</si>
  <si>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</si>
  <si>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</si>
  <si>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</si>
  <si>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</si>
  <si>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</si>
  <si>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</si>
  <si>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</si>
  <si>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</si>
  <si>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</si>
  <si>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</si>
  <si>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</si>
  <si>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</si>
  <si>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</si>
  <si>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</si>
  <si>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</si>
  <si>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</si>
  <si>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</si>
  <si>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</si>
  <si>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</si>
  <si>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</si>
  <si>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</si>
  <si>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</si>
  <si>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</si>
  <si>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</si>
  <si>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</si>
  <si>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</si>
  <si>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</si>
  <si>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</si>
  <si>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</si>
  <si>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</si>
  <si>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</si>
  <si>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</si>
  <si>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</si>
  <si>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</si>
  <si>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</si>
  <si>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</si>
  <si>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</si>
  <si>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</si>
  <si>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综合（写字楼）</t>
    <phoneticPr fontId="4" type="noConversion"/>
  </si>
  <si>
    <t>清晰一致</t>
    <phoneticPr fontId="4" type="noConversion"/>
  </si>
  <si>
    <t>李涛</t>
    <phoneticPr fontId="7" type="noConversion"/>
  </si>
  <si>
    <t>无变化</t>
    <phoneticPr fontId="4" type="noConversion"/>
  </si>
  <si>
    <t>正常</t>
    <phoneticPr fontId="4" type="noConversion"/>
  </si>
  <si>
    <t>复印件</t>
  </si>
  <si>
    <t>未核对原件</t>
  </si>
  <si>
    <t>京房权证海私字第049821号</t>
    <phoneticPr fontId="4" type="noConversion"/>
  </si>
  <si>
    <t>海淀区知春路108号1号楼607号综合（写字楼）用房</t>
    <phoneticPr fontId="4" type="noConversion"/>
  </si>
  <si>
    <t>单独所有</t>
    <phoneticPr fontId="4" type="noConversion"/>
  </si>
  <si>
    <t>私产</t>
    <phoneticPr fontId="4" type="noConversion"/>
  </si>
  <si>
    <t>商品房</t>
    <phoneticPr fontId="4" type="noConversion"/>
  </si>
  <si>
    <t>综合（写字楼）</t>
    <phoneticPr fontId="4" type="noConversion"/>
  </si>
  <si>
    <t>办公</t>
    <phoneticPr fontId="4" type="noConversion"/>
  </si>
  <si>
    <t>6</t>
    <phoneticPr fontId="4" type="noConversion"/>
  </si>
  <si>
    <t>有</t>
  </si>
  <si>
    <t>元</t>
  </si>
  <si>
    <t>楼面单价</t>
  </si>
  <si>
    <t>办公</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</si>
  <si>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</si>
  <si>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</si>
  <si>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</si>
  <si>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</si>
  <si>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</si>
  <si>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</si>
  <si>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</si>
  <si>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</si>
  <si>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</si>
  <si>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</si>
  <si>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估价对象位于知春路商圈，周边办公楼项目较多，入驻率高，办公集聚程度较好</t>
    <phoneticPr fontId="4" type="noConversion"/>
  </si>
  <si>
    <t>估价对象周边道路状况较好、公共交通通达情况较好、有304路、386路、549路及地铁10号线、4号线等经过并设站、停车便捷程度较好，综合评价交通便捷度较好</t>
    <phoneticPr fontId="4" type="noConversion"/>
  </si>
  <si>
    <t>估价对象所在区域公共配套设施齐备情况较齐全</t>
    <phoneticPr fontId="4" type="noConversion"/>
  </si>
  <si>
    <t>估价对象所在区域基础设施水平较高</t>
    <phoneticPr fontId="4" type="noConversion"/>
  </si>
  <si>
    <t>区域自然环境：知春公园；人文环境：中国人民大学，较好</t>
    <phoneticPr fontId="4" type="noConversion"/>
  </si>
  <si>
    <t>城市主干道-知春路</t>
    <phoneticPr fontId="4"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</si>
  <si>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</si>
  <si>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</si>
  <si>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</si>
  <si>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</si>
  <si>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</si>
  <si>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</si>
  <si>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</si>
  <si>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</si>
  <si>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</si>
  <si>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</si>
  <si>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</si>
  <si>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</si>
  <si>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</si>
  <si>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</si>
  <si>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</si>
  <si>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</si>
  <si>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</si>
  <si>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</si>
  <si>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</si>
  <si>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</si>
  <si>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</si>
  <si>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</si>
  <si>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</si>
  <si>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</si>
  <si>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</si>
  <si>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</si>
  <si>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</si>
  <si>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</si>
  <si>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</si>
  <si>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</si>
  <si>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</si>
  <si>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</si>
  <si>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</si>
  <si>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</si>
  <si>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</si>
  <si>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</si>
  <si>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</si>
  <si>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</si>
  <si>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</si>
  <si>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</si>
  <si>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</si>
  <si>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</si>
  <si>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</si>
  <si>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</si>
  <si>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</si>
  <si>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</si>
  <si>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</si>
  <si>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</si>
  <si>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</si>
  <si>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</si>
  <si>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比较法-办公</t>
  </si>
  <si>
    <t>按租金收入计税</t>
  </si>
  <si>
    <t>典型户型修正</t>
  </si>
  <si>
    <t>无租约</t>
  </si>
  <si>
    <t>个人非住宅</t>
  </si>
  <si>
    <t>转让取得</t>
  </si>
  <si>
    <t>正常</t>
  </si>
  <si>
    <t>情况4</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</si>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</sst>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18</xdr:row>
      <xdr:rowOff>128718</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95950" cy="3033843"/>
        </a:xfrm>
        <a:prstGeom prst="rect">
          <a:avLst/>
        </a:prstGeom>
        <a:noFill/>
        <a:ln w="1">
          <a:noFill/>
          <a:miter lim="800000"/>
          <a:headEnd/>
          <a:tailEnd type="none" w="med" len="med"/>
        </a:ln>
        <a:effectLst/>
      </xdr:spPr>
    </xdr:pic>
    <xdr:clientData/>
  </xdr:twoCellAnchor>
  <xdr:twoCellAnchor editAs="oneCell">
    <xdr:from>
      <xdr:col>0</xdr:col>
      <xdr:colOff>28576</xdr:colOff>
      <xdr:row>18</xdr:row>
      <xdr:rowOff>71276</xdr:rowOff>
    </xdr:from>
    <xdr:to>
      <xdr:col>9</xdr:col>
      <xdr:colOff>123826</xdr:colOff>
      <xdr:row>35</xdr:row>
      <xdr:rowOff>114299</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576" y="2976401"/>
          <a:ext cx="6267450" cy="2957673"/>
        </a:xfrm>
        <a:prstGeom prst="rect">
          <a:avLst/>
        </a:prstGeom>
        <a:noFill/>
        <a:ln w="1">
          <a:noFill/>
          <a:miter lim="800000"/>
          <a:headEnd/>
          <a:tailEnd type="none" w="med" len="med"/>
        </a:ln>
        <a:effectLst/>
      </xdr:spPr>
    </xdr:pic>
    <xdr:clientData/>
  </xdr:twoCellAnchor>
  <xdr:twoCellAnchor editAs="oneCell">
    <xdr:from>
      <xdr:col>0</xdr:col>
      <xdr:colOff>1</xdr:colOff>
      <xdr:row>5</xdr:row>
      <xdr:rowOff>0</xdr:rowOff>
    </xdr:from>
    <xdr:to>
      <xdr:col>8</xdr:col>
      <xdr:colOff>613813</xdr:colOff>
      <xdr:row>10</xdr:row>
      <xdr:rowOff>47625</xdr:rowOff>
    </xdr:to>
    <xdr:pic>
      <xdr:nvPicPr>
        <xdr:cNvPr id="7372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 y="857250"/>
          <a:ext cx="6100212" cy="9048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946;&#26223;&#22823;&#21414;-6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148.04</v>
          </cell>
          <cell r="D14">
            <v>594.66189999999995</v>
          </cell>
          <cell r="G14">
            <v>594.66189999999995</v>
          </cell>
          <cell r="I14">
            <v>457.70609999999999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估价对象为北京市房地产，为李涛所有。根据《不动产权证书》[]，估价对象建筑面积为194.17平方米，（分摊）出让国有建设用地使用权面积为平方米。估价对象用途为。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2020年3月26日（评估专业人员实地查勘之日）</v>
      </c>
    </row>
    <row r="10" spans="1:2">
      <c r="A10" s="1697" t="s">
        <v>1110</v>
      </c>
      <c r="B10" s="1684" t="str">
        <f>'预评函-1'!A13</f>
        <v>本次估价的“房地产价值”是指在正常市场情况下，在价值时点2020年3月26日，估价对象规划用途为，假定未设立法定优先受偿款下的房地产市场价值。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194.17</v>
      </c>
    </row>
    <row r="19" spans="1:2">
      <c r="A19" s="1697" t="s">
        <v>1119</v>
      </c>
      <c r="B19" s="1684">
        <f ca="1">'预评函-2（1）'!D7</f>
        <v>13746234</v>
      </c>
    </row>
    <row r="20" spans="1:2">
      <c r="A20" s="1697" t="s">
        <v>1157</v>
      </c>
      <c r="B20" s="1684" t="str">
        <f>'预评函-2（1）'!C7</f>
        <v>总价（元）</v>
      </c>
    </row>
    <row r="21" spans="1:2">
      <c r="A21" s="1697" t="s">
        <v>1120</v>
      </c>
      <c r="B21" s="1684">
        <f ca="1">'预评函-2（1）'!D9</f>
        <v>40169</v>
      </c>
    </row>
    <row r="22" spans="1:2">
      <c r="A22" s="1697" t="s">
        <v>1121</v>
      </c>
      <c r="B22" s="1684" t="str">
        <f ca="1">'预评函-2（1）'!D8</f>
        <v>壹仟叁佰柒拾肆万陆仟贰佰叁拾肆元整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13746234</v>
      </c>
    </row>
    <row r="30" spans="1:2">
      <c r="A30" s="1697" t="s">
        <v>1127</v>
      </c>
      <c r="B30" s="1684" t="str">
        <f ca="1">'预评函-2（1）'!D16</f>
        <v>壹仟叁佰柒拾肆万陆仟贰佰叁拾肆元整</v>
      </c>
    </row>
    <row r="31" spans="1:2">
      <c r="A31" s="1697" t="s">
        <v>1128</v>
      </c>
      <c r="B31" s="1684" t="str">
        <f>'预评函-2（1）'!D18</f>
        <v>——</v>
      </c>
    </row>
    <row r="32" spans="1:2">
      <c r="A32" s="1697" t="s">
        <v>1129</v>
      </c>
      <c r="B32" s="1684" t="e">
        <f>'预评函-2（1）'!D19</f>
        <v>#VALUE!</v>
      </c>
    </row>
    <row r="33" spans="1:2">
      <c r="A33" s="1697" t="s">
        <v>1130</v>
      </c>
      <c r="B33" s="1684">
        <f ca="1">'预评函-2（1）'!D21</f>
        <v>9995791</v>
      </c>
    </row>
    <row r="34" spans="1:2">
      <c r="A34" s="1697" t="s">
        <v>1131</v>
      </c>
      <c r="B34" s="1684">
        <f ca="1">'预评函-2（1）'!D23</f>
        <v>51480</v>
      </c>
    </row>
    <row r="35" spans="1:2">
      <c r="A35" s="1697" t="s">
        <v>1132</v>
      </c>
      <c r="B35" s="1684" t="str">
        <f ca="1">'预评函-2（1）'!D22</f>
        <v>玖佰玖拾玖万伍仟柒佰玖拾壹元整</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4.抵押净值</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f ca="1">'预评函-2（1）'!D38</f>
        <v>40169</v>
      </c>
    </row>
    <row r="63" spans="1:2" s="1696" customFormat="1" ht="28.5">
      <c r="A63" s="1700" t="s">
        <v>1251</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抵押净值</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22" zoomScaleNormal="100" zoomScaleSheetLayoutView="110" workbookViewId="0">
      <selection activeCell="B36" sqref="B36"/>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43916</v>
      </c>
      <c r="C2" s="1993" t="s">
        <v>1539</v>
      </c>
      <c r="D2" s="1083">
        <f>B2</f>
        <v>43916</v>
      </c>
      <c r="E2" s="1059"/>
      <c r="F2" s="1059"/>
      <c r="G2" s="1678"/>
      <c r="H2" s="1015"/>
    </row>
    <row r="3" spans="1:10" ht="13.5" thickBot="1">
      <c r="A3" s="1994" t="s">
        <v>1540</v>
      </c>
      <c r="B3" s="1995" t="s">
        <v>2824</v>
      </c>
      <c r="C3" s="1060">
        <f ca="1">SUMIF(注册房地产估价师,B3,估价师及机构信息!B3:B24)</f>
        <v>1120070131</v>
      </c>
      <c r="D3" s="1995" t="s">
        <v>2825</v>
      </c>
      <c r="E3" s="1061">
        <f ca="1">SUMIF(注册房地产估价师,D3,估价师及机构信息!B3:B24)</f>
        <v>1120100036</v>
      </c>
      <c r="F3" s="1062"/>
      <c r="G3" s="1679"/>
      <c r="H3" s="1015"/>
    </row>
    <row r="4" spans="1:10" ht="30" customHeight="1" thickTop="1">
      <c r="A4" s="1996" t="s">
        <v>1541</v>
      </c>
      <c r="B4" s="2745" t="s">
        <v>2826</v>
      </c>
      <c r="C4" s="1997" t="s">
        <v>1542</v>
      </c>
      <c r="D4" s="1998" t="s">
        <v>2828</v>
      </c>
      <c r="E4" s="1059"/>
      <c r="F4" s="1059"/>
      <c r="G4" s="1678"/>
    </row>
    <row r="5" spans="1:10" ht="24">
      <c r="A5" s="1999" t="s">
        <v>1543</v>
      </c>
      <c r="B5" s="2746" t="s">
        <v>2827</v>
      </c>
      <c r="C5" s="2000" t="s">
        <v>1544</v>
      </c>
      <c r="D5" s="2001" t="s">
        <v>2829</v>
      </c>
      <c r="E5" s="2002" t="s">
        <v>1545</v>
      </c>
      <c r="F5" s="2003" t="s">
        <v>2829</v>
      </c>
      <c r="G5" s="2004" t="s">
        <v>1229</v>
      </c>
      <c r="I5" s="1015" t="str">
        <f>IF(C16="否","截至估价时点，估价对象抵押权未见登记。","截至价值时点，估价对象已设定抵押。")</f>
        <v>截至价值时点，估价对象已设定抵押。</v>
      </c>
    </row>
    <row r="6" spans="1:10">
      <c r="A6" s="2005" t="s">
        <v>1546</v>
      </c>
      <c r="B6" s="2006" t="s">
        <v>2830</v>
      </c>
      <c r="C6" s="2007" t="s">
        <v>2811</v>
      </c>
      <c r="D6" s="2008" t="s">
        <v>1547</v>
      </c>
      <c r="E6" s="1017"/>
      <c r="F6" s="1016"/>
      <c r="G6" s="1069"/>
      <c r="I6" s="1065" t="str">
        <f>IF(COUNTIF(B5,"*上海银行*"),"上海银行","")</f>
        <v/>
      </c>
    </row>
    <row r="7" spans="1:10" ht="13.5" thickBot="1">
      <c r="A7" s="1994" t="s">
        <v>1548</v>
      </c>
      <c r="B7" s="2009" t="s">
        <v>2831</v>
      </c>
      <c r="C7" s="2010" t="str">
        <f>IF(B7="自然人","姓名","名称")</f>
        <v>姓名</v>
      </c>
      <c r="D7" s="2755" t="s">
        <v>2834</v>
      </c>
      <c r="E7" s="1063"/>
      <c r="F7" s="1062"/>
      <c r="G7" s="1679"/>
    </row>
    <row r="8" spans="1:10" ht="13.5" thickTop="1">
      <c r="A8" s="2832" t="s">
        <v>1549</v>
      </c>
      <c r="B8" s="2011" t="s">
        <v>1550</v>
      </c>
      <c r="C8" s="2844" t="s">
        <v>2833</v>
      </c>
      <c r="D8" s="2845"/>
      <c r="E8" s="2012" t="s">
        <v>1551</v>
      </c>
      <c r="F8" s="2013" t="s">
        <v>1552</v>
      </c>
      <c r="G8" s="690" t="str">
        <f>C6</f>
        <v>XX</v>
      </c>
    </row>
    <row r="9" spans="1:10">
      <c r="A9" s="2832"/>
      <c r="B9" s="344" t="s">
        <v>1553</v>
      </c>
      <c r="C9" s="2754" t="s">
        <v>2832</v>
      </c>
      <c r="D9" s="2014"/>
      <c r="E9" s="1005" t="s">
        <v>1554</v>
      </c>
      <c r="F9" s="991" t="s">
        <v>221</v>
      </c>
      <c r="G9" s="1007"/>
    </row>
    <row r="10" spans="1:10" ht="13.5" thickBot="1">
      <c r="A10" s="2832"/>
      <c r="B10" s="344" t="s">
        <v>1555</v>
      </c>
      <c r="C10" s="2846" t="s">
        <v>2835</v>
      </c>
      <c r="D10" s="2847"/>
      <c r="E10" s="2015" t="s">
        <v>1556</v>
      </c>
      <c r="F10" s="1008" t="s">
        <v>88</v>
      </c>
      <c r="G10" s="1009"/>
    </row>
    <row r="11" spans="1:10" ht="13.5" thickBot="1">
      <c r="A11" s="2832"/>
      <c r="B11" s="2016" t="s">
        <v>1557</v>
      </c>
      <c r="C11" s="2848" t="s">
        <v>2836</v>
      </c>
      <c r="D11" s="2849"/>
      <c r="E11" s="1017"/>
      <c r="F11" s="1016"/>
      <c r="G11" s="1069"/>
    </row>
    <row r="12" spans="1:10" ht="24.75" thickBot="1">
      <c r="A12" s="2835" t="s">
        <v>1558</v>
      </c>
      <c r="B12" s="2017" t="s">
        <v>1559</v>
      </c>
      <c r="C12" s="1011">
        <v>194.17</v>
      </c>
      <c r="D12" s="2017" t="s">
        <v>1560</v>
      </c>
      <c r="E12" s="2018" t="s">
        <v>1561</v>
      </c>
      <c r="F12" s="2019" t="s">
        <v>1562</v>
      </c>
      <c r="G12" s="1069"/>
    </row>
    <row r="13" spans="1:10" ht="21" customHeight="1" thickBot="1">
      <c r="A13" s="2836"/>
      <c r="B13" s="2020" t="s">
        <v>1563</v>
      </c>
      <c r="C13" s="1012"/>
      <c r="D13" s="2020" t="s">
        <v>1564</v>
      </c>
      <c r="E13" s="2021" t="s">
        <v>1561</v>
      </c>
      <c r="F13" s="1016"/>
      <c r="G13" s="1069"/>
      <c r="I13" s="2822"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22"/>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22"/>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2810</v>
      </c>
      <c r="D16" s="2030" t="s">
        <v>1570</v>
      </c>
      <c r="E16" s="2031" t="s">
        <v>2810</v>
      </c>
      <c r="F16" s="2032" t="str">
        <f>IF(AND(C16="是",E16="否"),"是否提供他项权证或相关说明","")</f>
        <v/>
      </c>
      <c r="G16" s="2031" t="s">
        <v>2810</v>
      </c>
      <c r="I16" s="1066"/>
      <c r="J16" s="1015"/>
    </row>
    <row r="17" spans="1:15" ht="13.5" customHeight="1">
      <c r="A17" s="2033" t="s">
        <v>1571</v>
      </c>
      <c r="B17" s="2850" t="s">
        <v>1572</v>
      </c>
      <c r="C17" s="2851"/>
      <c r="D17" s="2852" t="s">
        <v>1573</v>
      </c>
      <c r="E17" s="2853"/>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6" t="s">
        <v>2839</v>
      </c>
      <c r="C27" s="2838" t="s">
        <v>1589</v>
      </c>
      <c r="D27" s="2839"/>
      <c r="E27" s="999"/>
      <c r="F27" s="1006" t="s">
        <v>1589</v>
      </c>
      <c r="G27" s="999"/>
      <c r="I27" s="1066"/>
      <c r="K27" s="1066"/>
    </row>
    <row r="28" spans="1:15" ht="36">
      <c r="A28" s="1003" t="s">
        <v>1590</v>
      </c>
      <c r="B28" s="2757" t="s">
        <v>2840</v>
      </c>
      <c r="C28" s="2840" t="s">
        <v>1591</v>
      </c>
      <c r="D28" s="2841"/>
      <c r="E28" s="973"/>
      <c r="F28" s="1888" t="s">
        <v>1591</v>
      </c>
      <c r="G28" s="973"/>
      <c r="I28" s="1066"/>
      <c r="K28" s="1066"/>
    </row>
    <row r="29" spans="1:15">
      <c r="A29" s="1003" t="s">
        <v>1592</v>
      </c>
      <c r="B29" s="2757" t="s">
        <v>2841</v>
      </c>
      <c r="C29" s="2840" t="s">
        <v>1592</v>
      </c>
      <c r="D29" s="2841"/>
      <c r="E29" s="973"/>
      <c r="F29" s="1888" t="s">
        <v>1593</v>
      </c>
      <c r="G29" s="973"/>
      <c r="I29" s="1066"/>
      <c r="K29" s="1066"/>
    </row>
    <row r="30" spans="1:15">
      <c r="A30" s="1003" t="s">
        <v>1594</v>
      </c>
      <c r="B30" s="2757" t="s">
        <v>2842</v>
      </c>
      <c r="C30" s="2829" t="s">
        <v>1595</v>
      </c>
      <c r="D30" s="2059"/>
      <c r="E30" s="1018" t="str">
        <f>E31&amp;" "&amp;E32&amp;" "&amp;E33&amp;" "&amp;E34</f>
        <v xml:space="preserve">   </v>
      </c>
      <c r="F30" s="1888" t="s">
        <v>1596</v>
      </c>
      <c r="G30" s="973"/>
    </row>
    <row r="31" spans="1:15">
      <c r="A31" s="1003" t="s">
        <v>1597</v>
      </c>
      <c r="B31" s="2758">
        <v>38096</v>
      </c>
      <c r="C31" s="2830"/>
      <c r="D31" s="1887" t="s">
        <v>1598</v>
      </c>
      <c r="E31" s="973"/>
      <c r="F31" s="1888" t="s">
        <v>1599</v>
      </c>
      <c r="G31" s="973"/>
    </row>
    <row r="32" spans="1:15" ht="24.75" thickBot="1">
      <c r="A32" s="1004" t="s">
        <v>1600</v>
      </c>
      <c r="B32" s="2759" t="s">
        <v>2843</v>
      </c>
      <c r="C32" s="2830"/>
      <c r="D32" s="1887" t="s">
        <v>1601</v>
      </c>
      <c r="E32" s="973"/>
      <c r="F32" s="1888" t="s">
        <v>1602</v>
      </c>
      <c r="G32" s="973"/>
    </row>
    <row r="33" spans="1:7">
      <c r="A33" s="1002" t="s">
        <v>1603</v>
      </c>
      <c r="B33" s="2756" t="s">
        <v>2844</v>
      </c>
      <c r="C33" s="2830"/>
      <c r="D33" s="1887" t="s">
        <v>1604</v>
      </c>
      <c r="E33" s="973"/>
      <c r="F33" s="1888" t="s">
        <v>1605</v>
      </c>
      <c r="G33" s="973"/>
    </row>
    <row r="34" spans="1:7" ht="13.5" thickBot="1">
      <c r="A34" s="1003" t="s">
        <v>1606</v>
      </c>
      <c r="B34" s="2757" t="s">
        <v>2845</v>
      </c>
      <c r="C34" s="2831"/>
      <c r="D34" s="1887" t="s">
        <v>1607</v>
      </c>
      <c r="E34" s="973"/>
      <c r="F34" s="1889" t="s">
        <v>1608</v>
      </c>
      <c r="G34" s="1001"/>
    </row>
    <row r="35" spans="1:7">
      <c r="A35" s="1003" t="s">
        <v>1559</v>
      </c>
      <c r="B35" s="973">
        <f>194.17</f>
        <v>194.17</v>
      </c>
      <c r="C35" s="2840" t="s">
        <v>1609</v>
      </c>
      <c r="D35" s="2841"/>
      <c r="E35" s="973"/>
      <c r="F35" s="1014" t="s">
        <v>1610</v>
      </c>
      <c r="G35" s="999"/>
    </row>
    <row r="36" spans="1:7" ht="13.5" thickBot="1">
      <c r="A36" s="1003" t="s">
        <v>1611</v>
      </c>
      <c r="B36" s="973">
        <f>131.94</f>
        <v>131.94</v>
      </c>
      <c r="C36" s="2842" t="s">
        <v>1612</v>
      </c>
      <c r="D36" s="2843"/>
      <c r="E36" s="1000"/>
      <c r="F36" s="1885" t="s">
        <v>1613</v>
      </c>
      <c r="G36" s="973"/>
    </row>
    <row r="37" spans="1:7" ht="13.5" thickBot="1">
      <c r="A37" s="1003" t="s">
        <v>1614</v>
      </c>
      <c r="B37" s="973"/>
      <c r="C37" s="2827" t="s">
        <v>1615</v>
      </c>
      <c r="D37" s="2060" t="s">
        <v>1599</v>
      </c>
      <c r="E37" s="999"/>
      <c r="F37" s="1889" t="s">
        <v>1616</v>
      </c>
      <c r="G37" s="1000"/>
    </row>
    <row r="38" spans="1:7">
      <c r="A38" s="1003" t="s">
        <v>1617</v>
      </c>
      <c r="B38" s="973">
        <v>19</v>
      </c>
      <c r="C38" s="2833"/>
      <c r="D38" s="1887" t="s">
        <v>1606</v>
      </c>
      <c r="E38" s="973"/>
      <c r="F38" s="1006" t="s">
        <v>1618</v>
      </c>
      <c r="G38" s="999"/>
    </row>
    <row r="39" spans="1:7">
      <c r="A39" s="1003" t="s">
        <v>1619</v>
      </c>
      <c r="B39" s="2760" t="s">
        <v>2846</v>
      </c>
      <c r="C39" s="2833" t="s">
        <v>1620</v>
      </c>
      <c r="D39" s="1887" t="s">
        <v>1559</v>
      </c>
      <c r="E39" s="973"/>
      <c r="F39" s="1888" t="s">
        <v>1621</v>
      </c>
      <c r="G39" s="973"/>
    </row>
    <row r="40" spans="1:7" ht="24.75" customHeight="1" thickBot="1">
      <c r="A40" s="1004" t="s">
        <v>1622</v>
      </c>
      <c r="B40" s="1000">
        <v>2003</v>
      </c>
      <c r="C40" s="2834"/>
      <c r="D40" s="1890" t="s">
        <v>1563</v>
      </c>
      <c r="E40" s="1000"/>
      <c r="F40" s="1889" t="s">
        <v>1623</v>
      </c>
      <c r="G40" s="1000"/>
    </row>
    <row r="41" spans="1:7">
      <c r="A41" s="1005" t="s">
        <v>1624</v>
      </c>
      <c r="B41" s="1055" t="s">
        <v>2847</v>
      </c>
      <c r="C41" s="2823" t="s">
        <v>1624</v>
      </c>
      <c r="D41" s="2824"/>
      <c r="E41" s="1055"/>
      <c r="F41" s="1006" t="s">
        <v>1625</v>
      </c>
      <c r="G41" s="1055"/>
    </row>
    <row r="42" spans="1:7">
      <c r="A42" s="1052" t="s">
        <v>1626</v>
      </c>
      <c r="B42" s="1056" t="s">
        <v>2837</v>
      </c>
      <c r="C42" s="2061"/>
      <c r="D42" s="2062"/>
      <c r="E42" s="1056"/>
      <c r="F42" s="1054"/>
      <c r="G42" s="1056"/>
    </row>
    <row r="43" spans="1:7">
      <c r="A43" s="94" t="s">
        <v>1580</v>
      </c>
      <c r="B43" s="2761">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25" t="s">
        <v>1627</v>
      </c>
      <c r="D48" s="2826"/>
      <c r="E48" s="1050"/>
      <c r="F48" s="1889" t="s">
        <v>1628</v>
      </c>
      <c r="G48" s="1000"/>
    </row>
    <row r="49" spans="1:15">
      <c r="A49" s="1003" t="s">
        <v>1629</v>
      </c>
      <c r="B49" s="1049"/>
      <c r="C49" s="2827" t="s">
        <v>1630</v>
      </c>
      <c r="D49" s="2828"/>
      <c r="E49" s="1051"/>
      <c r="F49" s="1079"/>
      <c r="G49" s="1080"/>
    </row>
    <row r="50" spans="1:15" ht="13.5" thickBot="1">
      <c r="A50" s="1003" t="s">
        <v>1631</v>
      </c>
      <c r="B50" s="1049"/>
      <c r="C50" s="2834" t="s">
        <v>1632</v>
      </c>
      <c r="D50" s="2837"/>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H23" sqref="H2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43916</v>
      </c>
      <c r="C2" s="1850"/>
      <c r="D2" s="2856"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2848</v>
      </c>
      <c r="C3" s="1850"/>
      <c r="D3" s="2857"/>
      <c r="E3" s="1183" t="s">
        <v>2810</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2849</v>
      </c>
      <c r="C4" s="1850"/>
      <c r="D4" s="2857"/>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194.17</v>
      </c>
      <c r="C5" s="1850"/>
      <c r="D5" s="2072" t="s">
        <v>1640</v>
      </c>
      <c r="E5" s="393">
        <v>194.17</v>
      </c>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2850</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50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55105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30.65</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0.85</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0.05</v>
      </c>
      <c r="C15" s="1850"/>
      <c r="D15" s="2085" t="s">
        <v>1658</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5.5E-2</v>
      </c>
      <c r="C16" s="1850"/>
      <c r="D16" s="2090" t="s">
        <v>1660</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3300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640761</v>
      </c>
      <c r="F18" s="1315">
        <f>ROUND(E5*E17*IF(B25=0,1,E20),0)</f>
        <v>640761</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ROUND(1-(2020-2003)/60,2)</f>
        <v>0.72</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2</v>
      </c>
      <c r="C21" s="1850"/>
      <c r="D21" s="2085" t="s">
        <v>1666</v>
      </c>
      <c r="E21" s="710">
        <v>0.04</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2</v>
      </c>
      <c r="C22" s="1850"/>
      <c r="D22" s="2085" t="s">
        <v>1669</v>
      </c>
      <c r="E22" s="40"/>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2</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2</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2003</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2920</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f>'比较法-办公租金'!C49</f>
        <v>6</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30.65</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365</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0.02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1.4999999999999999E-2</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9.5" style="2134"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3"/>
    <col min="30" max="16384" width="9" style="2134"/>
  </cols>
  <sheetData>
    <row r="1" spans="1:29" s="2126" customFormat="1" ht="19.5" thickBot="1">
      <c r="A1" s="2858" t="s">
        <v>1727</v>
      </c>
      <c r="B1" s="2859"/>
      <c r="C1" s="2859"/>
      <c r="D1" s="2859"/>
      <c r="E1" s="2859"/>
      <c r="F1" s="2859"/>
      <c r="G1" s="2859"/>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54">
      <c r="A3" s="395" t="s">
        <v>1730</v>
      </c>
      <c r="B3" s="2135" t="s">
        <v>1731</v>
      </c>
      <c r="C3" s="2136" t="s">
        <v>1732</v>
      </c>
      <c r="D3" s="2137"/>
      <c r="E3" s="411" t="s">
        <v>1730</v>
      </c>
      <c r="F3" s="2138" t="s">
        <v>1733</v>
      </c>
      <c r="G3" s="2139" t="s">
        <v>1734</v>
      </c>
      <c r="H3" s="2133"/>
      <c r="I3" s="2133"/>
      <c r="J3" s="2133"/>
      <c r="K3" s="2133"/>
      <c r="L3" s="2133"/>
      <c r="M3" s="2133"/>
      <c r="N3" s="2133"/>
      <c r="O3" s="2133"/>
      <c r="P3" s="2133"/>
      <c r="Q3" s="2133"/>
      <c r="R3" s="2133"/>
    </row>
    <row r="4" spans="1:29" ht="41.25">
      <c r="A4" s="411"/>
      <c r="B4" s="1881" t="s">
        <v>1735</v>
      </c>
      <c r="C4" s="2140" t="s">
        <v>1736</v>
      </c>
      <c r="D4" s="2137"/>
      <c r="E4" s="2141"/>
      <c r="F4" s="2142" t="s">
        <v>1737</v>
      </c>
      <c r="G4" s="2143" t="s">
        <v>1738</v>
      </c>
      <c r="H4" s="2133"/>
      <c r="I4" s="2133"/>
      <c r="J4" s="2133"/>
      <c r="K4" s="2133"/>
      <c r="L4" s="2133"/>
      <c r="M4" s="2133"/>
      <c r="N4" s="2133"/>
      <c r="O4" s="2133"/>
      <c r="P4" s="2133"/>
      <c r="Q4" s="2133"/>
      <c r="R4" s="2133"/>
    </row>
    <row r="5" spans="1:29" ht="40.5">
      <c r="A5" s="411"/>
      <c r="B5" s="1881" t="s">
        <v>1739</v>
      </c>
      <c r="C5" s="2764" t="s">
        <v>2861</v>
      </c>
      <c r="D5" s="2137"/>
      <c r="E5" s="2141"/>
      <c r="F5" s="1881" t="s">
        <v>1740</v>
      </c>
      <c r="G5" s="2143" t="s">
        <v>1741</v>
      </c>
      <c r="H5" s="2133"/>
      <c r="I5" s="2133"/>
      <c r="J5" s="2133"/>
      <c r="K5" s="2133"/>
      <c r="L5" s="2133"/>
      <c r="M5" s="2133"/>
      <c r="N5" s="2133"/>
      <c r="O5" s="2133"/>
      <c r="P5" s="2133"/>
      <c r="Q5" s="2133"/>
      <c r="R5" s="2133"/>
    </row>
    <row r="6" spans="1:29" ht="81">
      <c r="A6" s="411"/>
      <c r="B6" s="1881" t="s">
        <v>1742</v>
      </c>
      <c r="C6" s="2765" t="s">
        <v>2862</v>
      </c>
      <c r="D6" s="2137"/>
      <c r="E6" s="2141"/>
      <c r="F6" s="1881" t="s">
        <v>1743</v>
      </c>
      <c r="G6" s="2143" t="s">
        <v>1744</v>
      </c>
      <c r="H6" s="2133"/>
      <c r="I6" s="2133"/>
      <c r="J6" s="2133"/>
      <c r="K6" s="2133"/>
      <c r="L6" s="2133"/>
      <c r="M6" s="2133"/>
      <c r="N6" s="2133"/>
      <c r="O6" s="2133"/>
      <c r="P6" s="2133"/>
      <c r="Q6" s="2133"/>
      <c r="R6" s="2133"/>
    </row>
    <row r="7" spans="1:29" ht="41.25" thickBot="1">
      <c r="A7" s="411"/>
      <c r="B7" s="1881" t="s">
        <v>1740</v>
      </c>
      <c r="C7" s="2766" t="s">
        <v>2863</v>
      </c>
      <c r="D7" s="2144"/>
      <c r="E7" s="2145"/>
      <c r="F7" s="2146" t="s">
        <v>1745</v>
      </c>
      <c r="G7" s="2147" t="s">
        <v>1746</v>
      </c>
      <c r="H7" s="2133"/>
      <c r="I7" s="2133"/>
      <c r="J7" s="2133"/>
      <c r="K7" s="2133"/>
      <c r="L7" s="2133"/>
      <c r="M7" s="2133"/>
      <c r="N7" s="2133"/>
      <c r="O7" s="2133"/>
      <c r="P7" s="2133"/>
      <c r="Q7" s="2133"/>
      <c r="R7" s="2133"/>
    </row>
    <row r="8" spans="1:29" ht="27">
      <c r="A8" s="411"/>
      <c r="B8" s="1881" t="s">
        <v>1743</v>
      </c>
      <c r="C8" s="2766" t="s">
        <v>2864</v>
      </c>
      <c r="D8" s="2144"/>
      <c r="E8" s="2144"/>
      <c r="F8" s="1241"/>
      <c r="G8" s="1241"/>
      <c r="H8" s="2133"/>
      <c r="I8" s="2133"/>
      <c r="J8" s="2133"/>
      <c r="K8" s="2133"/>
      <c r="L8" s="2133"/>
      <c r="M8" s="2133"/>
      <c r="N8" s="2133"/>
      <c r="O8" s="2133"/>
      <c r="P8" s="2133"/>
      <c r="Q8" s="2133"/>
      <c r="R8" s="2133"/>
    </row>
    <row r="9" spans="1:29" ht="40.5">
      <c r="A9" s="411"/>
      <c r="B9" s="1881" t="s">
        <v>1747</v>
      </c>
      <c r="C9" s="2764" t="s">
        <v>2865</v>
      </c>
      <c r="D9" s="2137"/>
      <c r="E9" s="2144"/>
      <c r="F9" s="1241"/>
      <c r="G9" s="1241"/>
      <c r="H9" s="2133"/>
      <c r="I9" s="2133"/>
      <c r="J9" s="2133"/>
      <c r="K9" s="2133"/>
      <c r="L9" s="2133"/>
      <c r="M9" s="2133"/>
      <c r="N9" s="2133"/>
      <c r="O9" s="2133"/>
      <c r="P9" s="2133"/>
      <c r="Q9" s="2133"/>
      <c r="R9" s="2133"/>
    </row>
    <row r="10" spans="1:29" s="35" customFormat="1" ht="15.75" thickBot="1">
      <c r="A10" s="2148"/>
      <c r="B10" s="2149" t="s">
        <v>1748</v>
      </c>
      <c r="C10" s="2767" t="s">
        <v>2866</v>
      </c>
      <c r="D10" s="2137"/>
      <c r="E10" s="2137"/>
      <c r="F10" s="1241"/>
      <c r="G10" s="1241"/>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8">
      <c r="A12" s="2153"/>
      <c r="B12" s="2144"/>
      <c r="C12" s="2137"/>
      <c r="D12" s="2154"/>
      <c r="E12" s="2137"/>
      <c r="F12" s="2144"/>
      <c r="G12" s="1261"/>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9.5" thickBot="1">
      <c r="A13" s="2160" t="s">
        <v>1749</v>
      </c>
      <c r="B13" s="2154"/>
      <c r="C13" s="2154"/>
      <c r="D13" s="2130"/>
      <c r="E13" s="2154"/>
      <c r="F13" s="2154"/>
      <c r="G13" s="2154"/>
    </row>
    <row r="14" spans="1:29" ht="15.75" thickBot="1">
      <c r="A14" s="2164"/>
      <c r="B14" s="2165"/>
      <c r="C14" s="2166" t="s">
        <v>1750</v>
      </c>
      <c r="D14" s="2137"/>
      <c r="E14" s="2167"/>
      <c r="F14" s="2167"/>
      <c r="G14" s="2129" t="s">
        <v>1751</v>
      </c>
    </row>
    <row r="15" spans="1:29" ht="57">
      <c r="A15" s="25" t="s">
        <v>1752</v>
      </c>
      <c r="B15" s="2168" t="s">
        <v>1731</v>
      </c>
      <c r="C15" s="2169" t="str">
        <f>C3</f>
        <v>估价对象周边居住用地比例、居住小区规模和社区发展完善程度，综合评价居住社区成熟度一般</v>
      </c>
      <c r="D15" s="2137"/>
      <c r="E15" s="2170" t="s">
        <v>1753</v>
      </c>
      <c r="F15" s="2168" t="s">
        <v>1754</v>
      </c>
      <c r="G15" s="51" t="str">
        <f>G3</f>
        <v>估价对象位于XX开发区，园区建设成熟度XX，产业集聚程度XX</v>
      </c>
    </row>
    <row r="16" spans="1:29" ht="42.75">
      <c r="A16" s="629"/>
      <c r="B16" s="1488" t="s">
        <v>1735</v>
      </c>
      <c r="C16" s="2171" t="str">
        <f>C4</f>
        <v>估价对象位于XX商圈，周边商业氛围成熟，人流量大，商业繁华度好</v>
      </c>
      <c r="D16" s="2137"/>
      <c r="E16" s="2172"/>
      <c r="F16" s="2173" t="s">
        <v>1737</v>
      </c>
      <c r="G16" s="52" t="str">
        <f>G4</f>
        <v>估价对象周边道路状况、公共交通通达情况、停车便捷程度，综合评价交通便捷度较好</v>
      </c>
    </row>
    <row r="17" spans="1:18" ht="42.75">
      <c r="A17" s="629"/>
      <c r="B17" s="1488" t="s">
        <v>1739</v>
      </c>
      <c r="C17" s="2171" t="str">
        <f>C5</f>
        <v>估价对象位于知春路商圈，周边办公楼项目较多，入驻率高，办公集聚程度较好</v>
      </c>
      <c r="D17" s="2144"/>
      <c r="E17" s="2172"/>
      <c r="F17" s="2173" t="s">
        <v>1755</v>
      </c>
      <c r="G17" s="2174"/>
    </row>
    <row r="18" spans="1:18" ht="85.5">
      <c r="A18" s="629"/>
      <c r="B18" s="2173" t="s">
        <v>1742</v>
      </c>
      <c r="C18" s="52" t="str">
        <f>C6</f>
        <v>估价对象周边道路状况较好、公共交通通达情况较好、有304路、386路、549路及地铁10号线、4号线等经过并设站、停车便捷程度较好，综合评价交通便捷度较好</v>
      </c>
      <c r="D18" s="2144"/>
      <c r="E18" s="2172"/>
      <c r="F18" s="2173" t="s">
        <v>1745</v>
      </c>
      <c r="G18" s="52" t="str">
        <f>G7</f>
        <v>该园区内是否有污染型企业，绿化情况，卫生条件，整体环境状况判断</v>
      </c>
    </row>
    <row r="19" spans="1:18" ht="28.5">
      <c r="A19" s="629"/>
      <c r="B19" s="2173" t="s">
        <v>1756</v>
      </c>
      <c r="C19" s="2174"/>
      <c r="D19" s="2137"/>
      <c r="E19" s="2172"/>
      <c r="F19" s="1881" t="s">
        <v>1740</v>
      </c>
      <c r="G19" s="52" t="str">
        <f>G5</f>
        <v>估价对象所在区域公共配套设施齐备情况</v>
      </c>
    </row>
    <row r="20" spans="1:18" ht="42.75">
      <c r="A20" s="629"/>
      <c r="B20" s="2173" t="s">
        <v>1757</v>
      </c>
      <c r="C20" s="2171" t="str">
        <f>C9</f>
        <v>区域自然环境：知春公园；人文环境：中国人民大学，较好</v>
      </c>
      <c r="D20" s="2144"/>
      <c r="E20" s="2172"/>
      <c r="F20" s="1881" t="s">
        <v>1758</v>
      </c>
      <c r="G20" s="52" t="str">
        <f>G6</f>
        <v>估价对象所在区域基础设施水平</v>
      </c>
    </row>
    <row r="21" spans="1:18" ht="28.5">
      <c r="A21" s="629"/>
      <c r="B21" s="1881" t="s">
        <v>1740</v>
      </c>
      <c r="C21" s="52" t="str">
        <f>C7</f>
        <v>估价对象所在区域公共配套设施齐备情况较齐全</v>
      </c>
      <c r="D21" s="2137"/>
      <c r="E21" s="2172"/>
      <c r="F21" s="2173" t="s">
        <v>1759</v>
      </c>
      <c r="G21" s="2175"/>
    </row>
    <row r="22" spans="1:18" ht="28.5">
      <c r="A22" s="629"/>
      <c r="B22" s="1881" t="s">
        <v>1743</v>
      </c>
      <c r="C22" s="52" t="str">
        <f>C8</f>
        <v>估价对象所在区域基础设施水平较高</v>
      </c>
      <c r="D22" s="2137"/>
      <c r="E22" s="2172"/>
      <c r="F22" s="2173" t="s">
        <v>1748</v>
      </c>
      <c r="G22" s="2176"/>
    </row>
    <row r="23" spans="1:18" s="2133" customFormat="1" ht="15.75" thickBot="1">
      <c r="A23" s="629"/>
      <c r="B23" s="2173" t="s">
        <v>1759</v>
      </c>
      <c r="C23" s="2175"/>
      <c r="D23" s="2161"/>
      <c r="E23" s="2177"/>
      <c r="F23" s="2178" t="s">
        <v>1760</v>
      </c>
      <c r="G23" s="2179"/>
      <c r="H23" s="2161"/>
      <c r="I23" s="2162"/>
      <c r="J23" s="2161"/>
      <c r="K23" s="2161"/>
      <c r="L23" s="2162"/>
      <c r="M23" s="2161"/>
      <c r="N23" s="2161"/>
      <c r="O23" s="2162"/>
      <c r="P23" s="2161"/>
      <c r="Q23" s="2161"/>
      <c r="R23" s="2163"/>
    </row>
    <row r="24" spans="1:18" s="2133" customFormat="1" ht="15.75" thickBot="1">
      <c r="A24" s="2180"/>
      <c r="B24" s="2178" t="s">
        <v>1761</v>
      </c>
      <c r="C24" s="53" t="str">
        <f>C10</f>
        <v>城市主干道-知春路</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F12" sqref="F12"/>
    </sheetView>
  </sheetViews>
  <sheetFormatPr defaultColWidth="14.625" defaultRowHeight="13.5"/>
  <cols>
    <col min="1" max="1" width="24.375" customWidth="1"/>
  </cols>
  <sheetData>
    <row r="1" spans="1:9" ht="16.5">
      <c r="A1" s="1825" t="s">
        <v>1219</v>
      </c>
      <c r="B1" s="1825">
        <f>SUM(B14:B23)</f>
        <v>342.21</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43916</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1374.6233999999999</v>
      </c>
      <c r="C5" s="1825">
        <f ca="1">ROUND(B5*10000/$B$1,0)</f>
        <v>40169</v>
      </c>
      <c r="D5" s="1825" t="e">
        <f ca="1">ROUND(B5*10000/$B$2,0)</f>
        <v>#DIV/0!</v>
      </c>
      <c r="E5" s="1826"/>
      <c r="F5" s="1830"/>
      <c r="G5" s="1830"/>
    </row>
    <row r="6" spans="1:9" ht="16.5">
      <c r="A6" s="1825" t="s">
        <v>1227</v>
      </c>
      <c r="B6" s="1825">
        <f ca="1">SUM(G14:G23)</f>
        <v>1374.6233999999999</v>
      </c>
      <c r="C6" s="1825">
        <f t="shared" ref="C6:C8" ca="1" si="0">ROUND(B6*10000/$B$1,0)</f>
        <v>40169</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f ca="1">SUM(I14:I23)</f>
        <v>1049.2849000000001</v>
      </c>
      <c r="C8" s="1825">
        <f t="shared" ca="1" si="0"/>
        <v>30662</v>
      </c>
      <c r="D8" s="1825" t="e">
        <f t="shared" ca="1" si="1"/>
        <v>#DIV/0!</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2925</v>
      </c>
      <c r="B14" s="1829">
        <f>项目基本情况!C12</f>
        <v>194.17</v>
      </c>
      <c r="C14" s="1829">
        <f>项目基本情况!C13</f>
        <v>0</v>
      </c>
      <c r="D14" s="1829">
        <f ca="1">IF('数据-取费表'!B3="万元",IF(A14="估价对象1（结果表）",结果表!H121,'结果表 (1修多)'!H124),IF(A14="估价对象1（结果表）",结果表!H121,'结果表 (1修多)'!H124)/10000)</f>
        <v>779.9615</v>
      </c>
      <c r="E14" s="1829">
        <f ca="1">ROUND(D14*10000/B14,0)</f>
        <v>40169</v>
      </c>
      <c r="F14" s="1829" t="e">
        <f ca="1">ROUND(D14*10000/C14,0)</f>
        <v>#DIV/0!</v>
      </c>
      <c r="G14" s="1829">
        <f ca="1">IF('数据-取费表'!B3="万元",IF(A14="估价对象1（结果表）",结果表!D125,'结果表 (1修多)'!D128),IF(A14="估价对象1（结果表）",结果表!D125,'结果表 (1修多)'!D128)/10000)</f>
        <v>779.9615</v>
      </c>
      <c r="H14" s="1829" t="e">
        <f>IF('数据-取费表'!B3="万元",IF(A14="估价对象1（结果表）",结果表!D127,'结果表 (1修多)'!D130),IF(A14="估价对象1（结果表）",结果表!D127,'结果表 (1修多)'!D130)/10000)</f>
        <v>#VALUE!</v>
      </c>
      <c r="I14" s="1829">
        <f ca="1">IF('数据-取费表'!B3="万元",IF(A14="估价对象1（结果表）",结果表!D129,'结果表 (1修多)'!D132),IF(A14="估价对象1（结果表）",结果表!D129,'结果表 (1修多)'!D132)/10000)</f>
        <v>591.5788</v>
      </c>
    </row>
    <row r="15" spans="1:9" ht="16.5">
      <c r="A15" s="1827" t="s">
        <v>1236</v>
      </c>
      <c r="B15" s="1833">
        <f>[1]系统读取表!$B$14</f>
        <v>148.04</v>
      </c>
      <c r="C15" s="1833"/>
      <c r="D15" s="1833">
        <f ca="1">[1]系统读取表!$D$14</f>
        <v>594.66189999999995</v>
      </c>
      <c r="E15" s="1829">
        <f t="shared" ref="E15:E23" ca="1" si="2">ROUND(D15*10000/B15,0)</f>
        <v>40169</v>
      </c>
      <c r="F15" s="1829" t="e">
        <f t="shared" ref="F15:F23" ca="1" si="3">ROUND(D15*10000/C15,0)</f>
        <v>#DIV/0!</v>
      </c>
      <c r="G15" s="1834">
        <f ca="1">[1]系统读取表!$G$14</f>
        <v>594.66189999999995</v>
      </c>
      <c r="H15" s="1834"/>
      <c r="I15" s="1833">
        <f ca="1">[1]系统读取表!$I$14</f>
        <v>457.70609999999999</v>
      </c>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9" zoomScaleNormal="100" zoomScaleSheetLayoutView="100" zoomScalePageLayoutView="80" workbookViewId="0">
      <selection activeCell="J79" sqref="J79"/>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1955</v>
      </c>
      <c r="B1" s="2187"/>
      <c r="C1" s="2187"/>
      <c r="D1" s="2187"/>
      <c r="E1" s="2187"/>
      <c r="F1" s="2187"/>
      <c r="G1" s="2187"/>
      <c r="H1" s="2187"/>
      <c r="I1" s="2187"/>
    </row>
    <row r="2" spans="1:12" ht="21.75" customHeight="1">
      <c r="A2" s="2973" t="s">
        <v>1956</v>
      </c>
      <c r="B2" s="2973"/>
      <c r="C2" s="2973"/>
      <c r="D2" s="2973"/>
      <c r="E2" s="2973"/>
      <c r="F2" s="2973"/>
      <c r="G2" s="2973"/>
      <c r="H2" s="2973"/>
      <c r="I2" s="2973"/>
    </row>
    <row r="3" spans="1:12" ht="12.75">
      <c r="A3" s="2974" t="s">
        <v>1763</v>
      </c>
      <c r="B3" s="2975"/>
      <c r="C3" s="2975"/>
      <c r="D3" s="2975"/>
      <c r="E3" s="2975"/>
      <c r="F3" s="2975"/>
      <c r="G3" s="2975"/>
      <c r="H3" s="2975"/>
      <c r="I3" s="2975"/>
    </row>
    <row r="4" spans="1:12" ht="14.25">
      <c r="A4" s="2189" t="s">
        <v>1764</v>
      </c>
      <c r="B4" s="2190" t="s">
        <v>1765</v>
      </c>
      <c r="C4" s="2191" t="s">
        <v>2919</v>
      </c>
      <c r="D4" s="2191" t="s">
        <v>2919</v>
      </c>
      <c r="E4" s="2961" t="s">
        <v>1957</v>
      </c>
      <c r="F4" s="2970"/>
      <c r="G4" s="2970"/>
      <c r="H4" s="2970"/>
      <c r="I4" s="296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76" t="s">
        <v>1767</v>
      </c>
      <c r="B5" s="2875">
        <v>25</v>
      </c>
      <c r="C5" s="2977"/>
      <c r="D5" s="2980"/>
      <c r="E5" s="56" t="s">
        <v>1768</v>
      </c>
      <c r="F5" s="2192"/>
      <c r="G5" s="2192"/>
      <c r="H5" s="2192"/>
      <c r="I5" s="2193"/>
    </row>
    <row r="6" spans="1:12" ht="12.75">
      <c r="A6" s="2976"/>
      <c r="B6" s="2875"/>
      <c r="C6" s="2978"/>
      <c r="D6" s="2980"/>
      <c r="E6" s="56" t="s">
        <v>1769</v>
      </c>
      <c r="F6" s="2192"/>
      <c r="G6" s="2192"/>
      <c r="H6" s="2192"/>
      <c r="I6" s="2193"/>
    </row>
    <row r="7" spans="1:12" ht="12.75">
      <c r="A7" s="2976"/>
      <c r="B7" s="2875"/>
      <c r="C7" s="2979"/>
      <c r="D7" s="2980"/>
      <c r="E7" s="56" t="s">
        <v>1770</v>
      </c>
      <c r="F7" s="2192"/>
      <c r="G7" s="2192"/>
      <c r="H7" s="2192"/>
      <c r="I7" s="2193"/>
    </row>
    <row r="8" spans="1:12" ht="12.75">
      <c r="A8" s="2976" t="s">
        <v>1771</v>
      </c>
      <c r="B8" s="2875">
        <v>15</v>
      </c>
      <c r="C8" s="2977"/>
      <c r="D8" s="2980"/>
      <c r="E8" s="56" t="s">
        <v>1772</v>
      </c>
      <c r="F8" s="2192"/>
      <c r="G8" s="2192"/>
      <c r="H8" s="2192"/>
      <c r="I8" s="2193"/>
    </row>
    <row r="9" spans="1:12" ht="12.75">
      <c r="A9" s="2976"/>
      <c r="B9" s="2875"/>
      <c r="C9" s="2979"/>
      <c r="D9" s="2980"/>
      <c r="E9" s="56" t="s">
        <v>1773</v>
      </c>
      <c r="F9" s="2192"/>
      <c r="G9" s="2192"/>
      <c r="H9" s="2192"/>
      <c r="I9" s="2193"/>
    </row>
    <row r="10" spans="1:12" ht="12.75">
      <c r="A10" s="2976" t="s">
        <v>1774</v>
      </c>
      <c r="B10" s="2875">
        <v>15</v>
      </c>
      <c r="C10" s="2977"/>
      <c r="D10" s="2980"/>
      <c r="E10" s="56" t="s">
        <v>1775</v>
      </c>
      <c r="F10" s="2192"/>
      <c r="G10" s="2192"/>
      <c r="H10" s="2192"/>
      <c r="I10" s="2193"/>
    </row>
    <row r="11" spans="1:12" ht="12.75">
      <c r="A11" s="2976"/>
      <c r="B11" s="2875"/>
      <c r="C11" s="2979"/>
      <c r="D11" s="2980"/>
      <c r="E11" s="56" t="s">
        <v>1776</v>
      </c>
      <c r="F11" s="2192"/>
      <c r="G11" s="2192"/>
      <c r="H11" s="2192"/>
      <c r="I11" s="2193"/>
    </row>
    <row r="12" spans="1:12" ht="12.75">
      <c r="A12" s="2976" t="s">
        <v>1777</v>
      </c>
      <c r="B12" s="2875">
        <v>15</v>
      </c>
      <c r="C12" s="2977"/>
      <c r="D12" s="2980"/>
      <c r="E12" s="56" t="s">
        <v>1778</v>
      </c>
      <c r="F12" s="2192"/>
      <c r="G12" s="2192"/>
      <c r="H12" s="2192"/>
      <c r="I12" s="2193"/>
    </row>
    <row r="13" spans="1:12" ht="12.75">
      <c r="A13" s="2976"/>
      <c r="B13" s="2875"/>
      <c r="C13" s="2979"/>
      <c r="D13" s="2980"/>
      <c r="E13" s="56" t="s">
        <v>1779</v>
      </c>
      <c r="F13" s="2192"/>
      <c r="G13" s="2192"/>
      <c r="H13" s="2192"/>
      <c r="I13" s="2193"/>
    </row>
    <row r="14" spans="1:12" ht="12.75">
      <c r="A14" s="2976" t="s">
        <v>1780</v>
      </c>
      <c r="B14" s="2875">
        <v>30</v>
      </c>
      <c r="C14" s="2977">
        <v>1</v>
      </c>
      <c r="D14" s="2980">
        <v>0</v>
      </c>
      <c r="E14" s="56" t="s">
        <v>1781</v>
      </c>
      <c r="F14" s="2192"/>
      <c r="G14" s="2192"/>
      <c r="H14" s="2192"/>
      <c r="I14" s="2193"/>
    </row>
    <row r="15" spans="1:12" ht="12.75">
      <c r="A15" s="2976"/>
      <c r="B15" s="2875"/>
      <c r="C15" s="2978"/>
      <c r="D15" s="2980"/>
      <c r="E15" s="56" t="s">
        <v>1782</v>
      </c>
      <c r="F15" s="2192"/>
      <c r="G15" s="2192"/>
      <c r="H15" s="2192"/>
      <c r="I15" s="2193"/>
    </row>
    <row r="16" spans="1:12" ht="12.75">
      <c r="A16" s="2976"/>
      <c r="B16" s="2875"/>
      <c r="C16" s="2979"/>
      <c r="D16" s="2980"/>
      <c r="E16" s="56" t="s">
        <v>1783</v>
      </c>
      <c r="F16" s="2192"/>
      <c r="G16" s="2192"/>
      <c r="H16" s="2192"/>
      <c r="I16" s="2193"/>
    </row>
    <row r="17" spans="1:35" ht="15">
      <c r="A17" s="2194" t="s">
        <v>1784</v>
      </c>
      <c r="B17" s="2195"/>
      <c r="C17" s="57">
        <f>SUM(C5:C16)</f>
        <v>1</v>
      </c>
      <c r="D17" s="57">
        <f>SUM(D5:D16)</f>
        <v>0</v>
      </c>
      <c r="E17" s="2187"/>
      <c r="F17" s="2187"/>
      <c r="G17" s="2187"/>
      <c r="H17" s="2187"/>
      <c r="I17" s="2187"/>
    </row>
    <row r="18" spans="1:35" ht="15.75" thickBot="1">
      <c r="A18" s="2196" t="s">
        <v>1785</v>
      </c>
      <c r="B18" s="2197"/>
      <c r="C18" s="58">
        <f>ROUND(C17/SUM(C17:D17),2)</f>
        <v>1</v>
      </c>
      <c r="D18" s="58">
        <f>1-C18</f>
        <v>0</v>
      </c>
      <c r="E18" s="2187"/>
      <c r="F18" s="2187"/>
      <c r="G18" s="2187"/>
      <c r="H18" s="2187"/>
      <c r="I18" s="2187"/>
    </row>
    <row r="19" spans="1:35" ht="15">
      <c r="A19" s="2198" t="s">
        <v>1786</v>
      </c>
      <c r="B19" s="2199" t="s">
        <v>1787</v>
      </c>
      <c r="C19" s="59">
        <f ca="1">SUMIF(INDIRECT("'"&amp;C4&amp;"'"&amp;"!A:A"),'结果表 (1修多)'!B19,INDIRECT("'"&amp;C4&amp;"'"&amp;"!B:B"))</f>
        <v>13746234</v>
      </c>
      <c r="D19" s="60">
        <f ca="1">SUMIF(INDIRECT("'"&amp;D4&amp;"'"&amp;"!A:A"),'结果表 (1修多)'!B19,INDIRECT("'"&amp;D4&amp;"'"&amp;"!B:B"))</f>
        <v>13746234</v>
      </c>
      <c r="E19" s="2198" t="s">
        <v>1788</v>
      </c>
      <c r="F19" s="2199" t="s">
        <v>1787</v>
      </c>
      <c r="G19" s="61">
        <f ca="1">ROUND(C19*$C$18+D19*$D$18,0)</f>
        <v>13746234</v>
      </c>
      <c r="H19" s="2200" t="str">
        <f>'数据-取费表'!B3</f>
        <v>元</v>
      </c>
      <c r="I19" s="2187"/>
    </row>
    <row r="20" spans="1:35" ht="15">
      <c r="A20" s="2201"/>
      <c r="B20" s="2202" t="s">
        <v>1789</v>
      </c>
      <c r="C20" s="62">
        <f ca="1">SUMIF(INDIRECT("'"&amp;C4&amp;"'"&amp;"!A:A"),'结果表 (1修多)'!B20,INDIRECT("'"&amp;C4&amp;"'"&amp;"!B:B"))</f>
        <v>40169</v>
      </c>
      <c r="D20" s="63">
        <f ca="1">SUMIF(INDIRECT("'"&amp;D4&amp;"'"&amp;"!A:A"),'结果表 (1修多)'!B20,INDIRECT("'"&amp;D4&amp;"'"&amp;"!B:B"))</f>
        <v>40169</v>
      </c>
      <c r="E20" s="2201"/>
      <c r="F20" s="2202" t="s">
        <v>1789</v>
      </c>
      <c r="G20" s="64">
        <f ca="1">ROUND(C20*$C$18+D20*$D$18,0)</f>
        <v>40169</v>
      </c>
      <c r="H20" s="2203" t="s">
        <v>1790</v>
      </c>
      <c r="I20" s="2187"/>
      <c r="J20" s="2771">
        <v>40183</v>
      </c>
    </row>
    <row r="21" spans="1:35" ht="15" customHeight="1" thickBot="1">
      <c r="A21" s="2204"/>
      <c r="B21" s="2205"/>
      <c r="C21" s="769"/>
      <c r="D21" s="770"/>
      <c r="E21" s="2204"/>
      <c r="F21" s="2205"/>
      <c r="G21" s="65"/>
      <c r="H21" s="2206"/>
      <c r="I21" s="2187"/>
    </row>
    <row r="22" spans="1:35" ht="15" thickBot="1">
      <c r="A22" s="2207" t="s">
        <v>1791</v>
      </c>
      <c r="B22" s="2208"/>
      <c r="C22" s="2209"/>
      <c r="D22" s="771">
        <f ca="1">IF(C19&lt;D19,D19/C19-1,C19/D19-1)</f>
        <v>0</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1792</v>
      </c>
      <c r="B24" s="2199" t="s">
        <v>1787</v>
      </c>
      <c r="C24" s="61">
        <f>D30</f>
        <v>0</v>
      </c>
      <c r="D24" s="989"/>
      <c r="E24" s="2187"/>
      <c r="F24" s="2187"/>
      <c r="G24" s="2187"/>
      <c r="H24" s="2187"/>
      <c r="I24" s="2187"/>
    </row>
    <row r="25" spans="1:35" ht="21.75" customHeight="1">
      <c r="A25" s="2982"/>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t="s">
        <v>1958</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1959</v>
      </c>
      <c r="B30" s="2697"/>
      <c r="C30" s="2697"/>
      <c r="D30" s="2697"/>
      <c r="E30" s="2695" t="s">
        <v>2793</v>
      </c>
      <c r="F30" s="2187"/>
      <c r="G30" s="2187"/>
      <c r="H30" s="2187"/>
      <c r="I30" s="2187"/>
    </row>
    <row r="31" spans="1:35" s="2214" customFormat="1" ht="15.75" thickBot="1">
      <c r="A31" s="2868" t="s">
        <v>1960</v>
      </c>
      <c r="B31" s="2868"/>
      <c r="C31" s="2868"/>
      <c r="D31" s="2868"/>
      <c r="E31" s="2868"/>
      <c r="F31" s="2868"/>
      <c r="G31" s="2868"/>
      <c r="H31" s="2868"/>
      <c r="I31" s="2868"/>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1961</v>
      </c>
      <c r="C32" s="1303">
        <f ca="1">典型户型修正!R27</f>
        <v>40169</v>
      </c>
      <c r="D32" s="2187" t="s">
        <v>1962</v>
      </c>
      <c r="E32" s="2187"/>
      <c r="F32" s="2187"/>
      <c r="G32" s="2187"/>
      <c r="H32" s="2187"/>
      <c r="I32" s="2187"/>
    </row>
    <row r="33" spans="1:16" ht="15">
      <c r="A33" s="2314" t="s">
        <v>1963</v>
      </c>
      <c r="B33" s="2315" t="s">
        <v>1964</v>
      </c>
      <c r="C33" s="1304">
        <f ca="1">典型户型修正!B2</f>
        <v>13746234</v>
      </c>
      <c r="D33" s="2316" t="str">
        <f>IF('数据-取费表'!B3="万元","万元","元")</f>
        <v>元</v>
      </c>
      <c r="E33" s="2187"/>
      <c r="F33" s="2187"/>
      <c r="G33" s="2187"/>
      <c r="H33" s="2187"/>
      <c r="I33" s="2187"/>
    </row>
    <row r="34" spans="1:16" ht="15.75" thickBot="1">
      <c r="A34" s="2317"/>
      <c r="B34" s="2318" t="s">
        <v>1965</v>
      </c>
      <c r="C34" s="770">
        <f ca="1">典型户型修正!B3</f>
        <v>40169</v>
      </c>
      <c r="D34" s="2187" t="s">
        <v>1966</v>
      </c>
      <c r="E34" s="2187"/>
      <c r="F34" s="2187"/>
      <c r="G34" s="2187"/>
      <c r="H34" s="2187"/>
      <c r="I34" s="2187"/>
    </row>
    <row r="35" spans="1:16" ht="15">
      <c r="A35" s="2319"/>
      <c r="B35" s="2320" t="s">
        <v>1967</v>
      </c>
      <c r="C35" s="1311">
        <f>IF('数据-取费表'!B3="万元",典型户型修正!V25,典型户型修正!U25)</f>
        <v>0</v>
      </c>
      <c r="D35" s="2187" t="str">
        <f>D33</f>
        <v>元</v>
      </c>
      <c r="E35" s="2187"/>
      <c r="F35" s="2187"/>
      <c r="G35" s="2187"/>
      <c r="H35" s="2187"/>
      <c r="I35" s="2187"/>
    </row>
    <row r="36" spans="1:16" ht="15.75" thickBot="1">
      <c r="A36" s="2226"/>
      <c r="B36" s="2321" t="s">
        <v>1968</v>
      </c>
      <c r="C36" s="1312">
        <f>IF('数据-取费表'!B3="万元",典型户型修正!Y25,典型户型修正!X25)</f>
        <v>0</v>
      </c>
      <c r="D36" s="2187" t="str">
        <f>D33</f>
        <v>元</v>
      </c>
      <c r="E36" s="2187"/>
      <c r="F36" s="2187"/>
      <c r="G36" s="2187"/>
      <c r="H36" s="2187"/>
      <c r="I36" s="2187"/>
    </row>
    <row r="37" spans="1:16" ht="15.75" thickBot="1">
      <c r="A37" s="2983" t="s">
        <v>1969</v>
      </c>
      <c r="B37" s="2229" t="s">
        <v>1970</v>
      </c>
      <c r="C37" s="69"/>
      <c r="D37" s="2230"/>
      <c r="E37" s="2231"/>
      <c r="F37" s="2231"/>
      <c r="G37" s="2187"/>
      <c r="H37" s="2187"/>
      <c r="I37" s="2187"/>
    </row>
    <row r="38" spans="1:16" ht="15.75" thickBot="1">
      <c r="A38" s="2984"/>
      <c r="B38" s="2232" t="s">
        <v>1971</v>
      </c>
      <c r="C38" s="71"/>
      <c r="D38" s="2197"/>
      <c r="E38" s="2197"/>
      <c r="F38" s="2231"/>
      <c r="G38" s="2197"/>
      <c r="H38" s="2197"/>
      <c r="I38" s="2197"/>
    </row>
    <row r="39" spans="1:16" ht="15.75" thickBot="1">
      <c r="A39" s="2985"/>
      <c r="B39" s="2233" t="s">
        <v>1972</v>
      </c>
      <c r="C39" s="711"/>
      <c r="D39" s="2234" t="s">
        <v>1973</v>
      </c>
      <c r="E39" s="2197"/>
      <c r="F39" s="2231"/>
      <c r="G39" s="2197"/>
      <c r="H39" s="2197"/>
      <c r="I39" s="2197"/>
    </row>
    <row r="40" spans="1:16" ht="15">
      <c r="A40" s="2201" t="s">
        <v>1974</v>
      </c>
      <c r="B40" s="2235" t="s">
        <v>1975</v>
      </c>
      <c r="C40" s="2236" t="s">
        <v>1976</v>
      </c>
      <c r="D40" s="2236" t="s">
        <v>1977</v>
      </c>
      <c r="E40" s="2237" t="s">
        <v>1978</v>
      </c>
      <c r="F40" s="2231"/>
      <c r="G40" s="2197"/>
      <c r="H40" s="2197"/>
      <c r="I40" s="2197"/>
    </row>
    <row r="41" spans="1:16" ht="14.25">
      <c r="A41" s="2238" t="s">
        <v>1979</v>
      </c>
      <c r="B41" s="74"/>
      <c r="C41" s="75"/>
      <c r="D41" s="75"/>
      <c r="E41" s="76"/>
      <c r="F41" s="2231"/>
      <c r="G41" s="2197"/>
      <c r="H41" s="2197"/>
      <c r="I41" s="2197"/>
    </row>
    <row r="42" spans="1:16" ht="14.25">
      <c r="A42" s="2238" t="s">
        <v>1980</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1981</v>
      </c>
      <c r="B45" s="2244"/>
      <c r="C45" s="2244"/>
      <c r="D45" s="2245"/>
      <c r="E45" s="2245"/>
      <c r="F45" s="2246"/>
      <c r="G45" s="2246"/>
      <c r="H45" s="2246"/>
      <c r="I45" s="2246"/>
      <c r="J45" s="2247" t="s">
        <v>1815</v>
      </c>
      <c r="K45" s="2248"/>
      <c r="L45" s="2248"/>
      <c r="M45" s="2248"/>
      <c r="N45" s="2248"/>
      <c r="O45" s="2248"/>
      <c r="P45" s="1840"/>
    </row>
    <row r="46" spans="1:16" ht="14.25" customHeight="1" thickBot="1">
      <c r="A46" s="2987" t="s">
        <v>1982</v>
      </c>
      <c r="B46" s="2988"/>
      <c r="C46" s="2989"/>
      <c r="D46" s="80">
        <f ca="1">ROUND(I103*F46,0)</f>
        <v>13746234</v>
      </c>
      <c r="E46" s="81" t="s">
        <v>1983</v>
      </c>
      <c r="F46" s="82">
        <v>1</v>
      </c>
      <c r="G46" s="83" t="s">
        <v>1984</v>
      </c>
      <c r="H46" s="2187"/>
      <c r="I46" s="2187"/>
      <c r="J46" s="2965" t="s">
        <v>1819</v>
      </c>
      <c r="K46" s="2965"/>
      <c r="L46" s="2965"/>
      <c r="M46" s="2965"/>
      <c r="N46" s="2965"/>
      <c r="O46" s="2965"/>
      <c r="P46" s="1840"/>
    </row>
    <row r="47" spans="1:16" ht="14.25" customHeight="1">
      <c r="A47" s="2990" t="s">
        <v>1820</v>
      </c>
      <c r="B47" s="2991"/>
      <c r="C47" s="2991"/>
      <c r="D47" s="2991"/>
      <c r="E47" s="2991"/>
      <c r="F47" s="2991"/>
      <c r="G47" s="2992"/>
      <c r="H47" s="2249"/>
      <c r="I47" s="1139"/>
      <c r="J47" s="1877">
        <v>1</v>
      </c>
      <c r="K47" s="2965" t="s">
        <v>1821</v>
      </c>
      <c r="L47" s="2965"/>
      <c r="M47" s="2993"/>
      <c r="N47" s="2993"/>
      <c r="O47" s="2993"/>
      <c r="P47" s="1840"/>
    </row>
    <row r="48" spans="1:16" ht="12" customHeight="1">
      <c r="A48" s="85" t="s">
        <v>1822</v>
      </c>
      <c r="B48" s="86"/>
      <c r="C48" s="87"/>
      <c r="D48" s="88" t="s">
        <v>1823</v>
      </c>
      <c r="E48" s="14" t="s">
        <v>1824</v>
      </c>
      <c r="F48" s="89" t="s">
        <v>1825</v>
      </c>
      <c r="G48" s="90" t="s">
        <v>1826</v>
      </c>
      <c r="H48" s="2249"/>
      <c r="I48" s="1139"/>
      <c r="J48" s="1877">
        <v>2</v>
      </c>
      <c r="K48" s="2965" t="s">
        <v>1827</v>
      </c>
      <c r="L48" s="2965"/>
      <c r="M48" s="2994">
        <f>'数据-取费表'!B2</f>
        <v>43916</v>
      </c>
      <c r="N48" s="2994"/>
      <c r="O48" s="2994"/>
      <c r="P48" s="1840"/>
    </row>
    <row r="49" spans="1:16" ht="25.5">
      <c r="A49" s="2995" t="s">
        <v>1828</v>
      </c>
      <c r="B49" s="2960"/>
      <c r="C49" s="2960"/>
      <c r="D49" s="56">
        <f ca="1">IF(H49="情况1",0,IF(H49="情况2",D53,IF(H49="情况3",D54,IF(H49="情况4",D55))))</f>
        <v>733132</v>
      </c>
      <c r="E49" s="1887" t="str">
        <f>IF(H49="情况4","(销售额-原购置价)×税（费）率","销售额×税（费）率")</f>
        <v>(销售额-原购置价)×税（费）率</v>
      </c>
      <c r="F49" s="91">
        <f>IF(H49="情况1","免征",'数据-取费表'!E29)</f>
        <v>5.6000000000000001E-2</v>
      </c>
      <c r="G49" s="2250" t="s">
        <v>1829</v>
      </c>
      <c r="H49" s="2251" t="s">
        <v>2924</v>
      </c>
      <c r="I49" s="2249"/>
      <c r="J49" s="1877">
        <v>3</v>
      </c>
      <c r="K49" s="2965" t="s">
        <v>1830</v>
      </c>
      <c r="L49" s="2965"/>
      <c r="M49" s="2966">
        <f ca="1">I103</f>
        <v>13746234</v>
      </c>
      <c r="N49" s="2966"/>
      <c r="O49" s="2966"/>
      <c r="P49" s="1840"/>
    </row>
    <row r="50" spans="1:16" ht="25.5" customHeight="1">
      <c r="A50" s="92" t="s">
        <v>1831</v>
      </c>
      <c r="B50" s="2954" t="s">
        <v>1832</v>
      </c>
      <c r="C50" s="2954"/>
      <c r="D50" s="93">
        <v>0</v>
      </c>
      <c r="E50" s="13" t="s">
        <v>1833</v>
      </c>
      <c r="F50" s="18" t="s">
        <v>48</v>
      </c>
      <c r="G50" s="2967"/>
      <c r="H50" s="2187"/>
      <c r="I50" s="2252"/>
      <c r="J50" s="1877">
        <v>4</v>
      </c>
      <c r="K50" s="2965" t="str">
        <f>IF(项目基本情况!F5="房地产抵押价值","房地产抵押价值","抵押担保权已注销时的房地产抵押价值")</f>
        <v>房地产抵押价值</v>
      </c>
      <c r="L50" s="2965"/>
      <c r="M50" s="2966">
        <f ca="1">IF(项目基本情况!F5="房地产抵押价值",I111,I113)</f>
        <v>13746234</v>
      </c>
      <c r="N50" s="2966"/>
      <c r="O50" s="2966"/>
      <c r="P50" s="1840"/>
    </row>
    <row r="51" spans="1:16" ht="25.5" customHeight="1">
      <c r="A51" s="94"/>
      <c r="B51" s="2954" t="s">
        <v>1834</v>
      </c>
      <c r="C51" s="2954"/>
      <c r="D51" s="95"/>
      <c r="E51" s="21"/>
      <c r="F51" s="96"/>
      <c r="G51" s="2968"/>
      <c r="H51" s="2187"/>
      <c r="I51" s="2252"/>
      <c r="J51" s="2965" t="s">
        <v>1835</v>
      </c>
      <c r="K51" s="2965"/>
      <c r="L51" s="2965"/>
      <c r="M51" s="2965"/>
      <c r="N51" s="2965"/>
      <c r="O51" s="2965"/>
      <c r="P51" s="1840"/>
    </row>
    <row r="52" spans="1:16" ht="12" customHeight="1">
      <c r="A52" s="97"/>
      <c r="B52" s="2954" t="s">
        <v>1836</v>
      </c>
      <c r="C52" s="2954"/>
      <c r="D52" s="98"/>
      <c r="E52" s="20"/>
      <c r="F52" s="96"/>
      <c r="G52" s="2969"/>
      <c r="H52" s="2187"/>
      <c r="I52" s="2252"/>
      <c r="J52" s="2253" t="s">
        <v>1837</v>
      </c>
      <c r="K52" s="2965" t="s">
        <v>1838</v>
      </c>
      <c r="L52" s="2965"/>
      <c r="M52" s="2253" t="s">
        <v>1839</v>
      </c>
      <c r="N52" s="2253" t="s">
        <v>1840</v>
      </c>
      <c r="O52" s="2253" t="s">
        <v>1841</v>
      </c>
      <c r="P52" s="1840"/>
    </row>
    <row r="53" spans="1:16" ht="24" customHeight="1">
      <c r="A53" s="99" t="s">
        <v>1842</v>
      </c>
      <c r="B53" s="2954" t="s">
        <v>1843</v>
      </c>
      <c r="C53" s="2954"/>
      <c r="D53" s="98">
        <f ca="1">ROUND(D46*'数据-取费表'!E29/(1+'数据-取费表'!F30),0)</f>
        <v>733132</v>
      </c>
      <c r="E53" s="10" t="s">
        <v>1844</v>
      </c>
      <c r="F53" s="100">
        <f>'数据-取费表'!E29</f>
        <v>5.6000000000000001E-2</v>
      </c>
      <c r="G53" s="2254"/>
      <c r="H53" s="2187"/>
      <c r="I53" s="2252"/>
      <c r="J53" s="1877">
        <v>1</v>
      </c>
      <c r="K53" s="2958" t="s">
        <v>1845</v>
      </c>
      <c r="L53" s="2958"/>
      <c r="M53" s="777">
        <f ca="1">D49</f>
        <v>733132</v>
      </c>
      <c r="N53" s="1877" t="str">
        <f>E49</f>
        <v>(销售额-原购置价)×税（费）率</v>
      </c>
      <c r="O53" s="778">
        <f>F49</f>
        <v>5.6000000000000001E-2</v>
      </c>
      <c r="P53" s="1840"/>
    </row>
    <row r="54" spans="1:16" ht="12" customHeight="1">
      <c r="A54" s="99" t="s">
        <v>1846</v>
      </c>
      <c r="B54" s="2953" t="s">
        <v>1847</v>
      </c>
      <c r="C54" s="2841"/>
      <c r="D54" s="98">
        <f ca="1">ROUND(D46*'数据-取费表'!E29/(1+'数据-取费表'!F30),0)</f>
        <v>733132</v>
      </c>
      <c r="E54" s="10" t="s">
        <v>1844</v>
      </c>
      <c r="F54" s="100">
        <f>'数据-取费表'!E29</f>
        <v>5.6000000000000001E-2</v>
      </c>
      <c r="G54" s="2254"/>
      <c r="H54" s="2187"/>
      <c r="I54" s="2252"/>
      <c r="J54" s="1877">
        <v>2</v>
      </c>
      <c r="K54" s="2958" t="s">
        <v>1848</v>
      </c>
      <c r="L54" s="2958"/>
      <c r="M54" s="777">
        <f t="shared" ref="M54:O55" ca="1" si="1">D56</f>
        <v>6873</v>
      </c>
      <c r="N54" s="1877" t="str">
        <f t="shared" si="1"/>
        <v>销售额×税（费）率</v>
      </c>
      <c r="O54" s="778">
        <f t="shared" si="1"/>
        <v>5.0000000000000001E-4</v>
      </c>
      <c r="P54" s="1840"/>
    </row>
    <row r="55" spans="1:16" ht="12" customHeight="1">
      <c r="A55" s="99" t="s">
        <v>1849</v>
      </c>
      <c r="B55" s="2953" t="s">
        <v>1850</v>
      </c>
      <c r="C55" s="2841"/>
      <c r="D55" s="98">
        <f ca="1">C69</f>
        <v>733132</v>
      </c>
      <c r="E55" s="20" t="s">
        <v>1851</v>
      </c>
      <c r="F55" s="100">
        <f>'数据-取费表'!E29</f>
        <v>5.6000000000000001E-2</v>
      </c>
      <c r="G55" s="2254"/>
      <c r="H55" s="2255"/>
      <c r="I55" s="2252"/>
      <c r="J55" s="1877">
        <v>3</v>
      </c>
      <c r="K55" s="2958" t="s">
        <v>1852</v>
      </c>
      <c r="L55" s="2958"/>
      <c r="M55" s="777">
        <f t="shared" ca="1" si="1"/>
        <v>2872976</v>
      </c>
      <c r="N55" s="1877" t="str">
        <f t="shared" si="1"/>
        <v>增值额×税（费）率</v>
      </c>
      <c r="O55" s="779" t="str">
        <f t="shared" si="1"/>
        <v>——</v>
      </c>
      <c r="P55" s="1840"/>
    </row>
    <row r="56" spans="1:16" ht="24" customHeight="1">
      <c r="A56" s="2833" t="s">
        <v>1853</v>
      </c>
      <c r="B56" s="2960"/>
      <c r="C56" s="2960"/>
      <c r="D56" s="101">
        <f ca="1">IF(H56="个人住宅",0,ROUND(D46*I56,0))</f>
        <v>6873</v>
      </c>
      <c r="E56" s="10" t="s">
        <v>1854</v>
      </c>
      <c r="F56" s="100">
        <f>IF(H56="正常",I56,"免征")</f>
        <v>5.0000000000000001E-4</v>
      </c>
      <c r="G56" s="2254"/>
      <c r="H56" s="2251" t="s">
        <v>2923</v>
      </c>
      <c r="I56" s="102">
        <f>'数据-取费表'!E37</f>
        <v>5.0000000000000001E-4</v>
      </c>
      <c r="J56" s="1877">
        <f>IF(H60="非个人房产","",4)</f>
        <v>4</v>
      </c>
      <c r="K56" s="2958" t="str">
        <f>IF(H60="非个人房产","——","个人所得税")</f>
        <v>个人所得税</v>
      </c>
      <c r="L56" s="2958"/>
      <c r="M56" s="780">
        <f ca="1">D60</f>
        <v>137462</v>
      </c>
      <c r="N56" s="1880" t="str">
        <f>E60</f>
        <v>销售额×税（费）率</v>
      </c>
      <c r="O56" s="781">
        <f>F60</f>
        <v>0.01</v>
      </c>
      <c r="P56" s="1840"/>
    </row>
    <row r="57" spans="1:16" ht="24.75">
      <c r="A57" s="2833" t="s">
        <v>1856</v>
      </c>
      <c r="B57" s="2960"/>
      <c r="C57" s="2960"/>
      <c r="D57" s="101">
        <f ca="1">IF(H57="个人住宅",D58,D59)</f>
        <v>2872976</v>
      </c>
      <c r="E57" s="10" t="s">
        <v>1857</v>
      </c>
      <c r="F57" s="100" t="str">
        <f>IF(H57="正常",F59,"免征")</f>
        <v>——</v>
      </c>
      <c r="G57" s="2256" t="s">
        <v>1858</v>
      </c>
      <c r="H57" s="2257" t="s">
        <v>2923</v>
      </c>
      <c r="I57" s="1017"/>
      <c r="J57" s="1877" t="str">
        <f>IF(项目基本情况!I6="上海银行",IF(J56="",4,J56+1),"")</f>
        <v/>
      </c>
      <c r="K57" s="2963" t="str">
        <f>IF(项目基本情况!I6="上海银行","其他处置费用","")</f>
        <v/>
      </c>
      <c r="L57" s="2964"/>
      <c r="M57" s="777" t="str">
        <f>IF(项目基本情况!I6="上海银行",M70,"")</f>
        <v/>
      </c>
      <c r="N57" s="2971" t="str">
        <f>IF(项目基本情况!I6="上海银行","包含处置中涉及的律师、诉讼、拍卖、评估等费用","")</f>
        <v/>
      </c>
      <c r="O57" s="2972"/>
      <c r="P57" s="1840"/>
    </row>
    <row r="58" spans="1:16" ht="12.75">
      <c r="A58" s="99" t="s">
        <v>1831</v>
      </c>
      <c r="B58" s="2961" t="s">
        <v>1859</v>
      </c>
      <c r="C58" s="2962"/>
      <c r="D58" s="103">
        <v>0</v>
      </c>
      <c r="E58" s="13" t="s">
        <v>1833</v>
      </c>
      <c r="F58" s="70"/>
      <c r="G58" s="2254"/>
      <c r="H58" s="1017"/>
      <c r="I58" s="1017"/>
      <c r="J58" s="2958">
        <f>IF(AND(J56="",J57=""),4,IF(项目基本情况!I6="上海银行",J57+1,J56+1))</f>
        <v>5</v>
      </c>
      <c r="K58" s="2958" t="s">
        <v>1860</v>
      </c>
      <c r="L58" s="2258" t="s">
        <v>1861</v>
      </c>
      <c r="M58" s="782"/>
      <c r="N58" s="783">
        <f ca="1">SUMIF(M53:M57,"&lt;9e307")</f>
        <v>3750443</v>
      </c>
      <c r="O58" s="2259"/>
      <c r="P58" s="1836">
        <f ca="1">N58/M50</f>
        <v>0.27283421772101363</v>
      </c>
    </row>
    <row r="59" spans="1:16" ht="24.75">
      <c r="A59" s="99" t="s">
        <v>1842</v>
      </c>
      <c r="B59" s="2961" t="s">
        <v>1862</v>
      </c>
      <c r="C59" s="2970"/>
      <c r="D59" s="101">
        <f ca="1">IF(H59="转让取得",C82,C98)</f>
        <v>2872976</v>
      </c>
      <c r="E59" s="10" t="s">
        <v>1857</v>
      </c>
      <c r="F59" s="14" t="s">
        <v>48</v>
      </c>
      <c r="G59" s="2254"/>
      <c r="H59" s="2257" t="s">
        <v>2922</v>
      </c>
      <c r="I59" s="1017"/>
      <c r="J59" s="2958"/>
      <c r="K59" s="2958"/>
      <c r="L59" s="2258" t="s">
        <v>1863</v>
      </c>
      <c r="M59" s="784"/>
      <c r="N59" s="2260" t="str">
        <f ca="1">IF(H19="元",NUMBERSTRING(INT(N58),2)&amp;"元整",NUMBERSTRING(INT(N58*10000),2)&amp;"元整")</f>
        <v>叁佰柒拾伍万零肆佰肆拾叁元整</v>
      </c>
      <c r="O59" s="2261"/>
      <c r="P59" s="1840"/>
    </row>
    <row r="60" spans="1:16" ht="26.25" thickBot="1">
      <c r="A60" s="2834" t="s">
        <v>1864</v>
      </c>
      <c r="B60" s="2837"/>
      <c r="C60" s="2837"/>
      <c r="D60" s="104">
        <f ca="1">IF(H60="非个人房产","——",IF(H60="个人住宅",0,ROUND(D46*I60,0)))</f>
        <v>137462</v>
      </c>
      <c r="E60" s="105" t="str">
        <f>IF(H60="非个人房产","——","销售额×税（费）率")</f>
        <v>销售额×税（费）率</v>
      </c>
      <c r="F60" s="106">
        <f>IF(H60="非个人房产","——",IF(H60="个人住宅","免征",I60))</f>
        <v>0.01</v>
      </c>
      <c r="G60" s="2262" t="s">
        <v>1858</v>
      </c>
      <c r="H60" s="2257" t="s">
        <v>2921</v>
      </c>
      <c r="I60" s="107">
        <v>0.01</v>
      </c>
      <c r="J60" s="2956">
        <f>J58+1</f>
        <v>6</v>
      </c>
      <c r="K60" s="2958" t="s">
        <v>1865</v>
      </c>
      <c r="L60" s="1877" t="s">
        <v>1861</v>
      </c>
      <c r="M60" s="785"/>
      <c r="N60" s="786">
        <f ca="1">M50-N58</f>
        <v>9995791</v>
      </c>
      <c r="O60" s="2263"/>
      <c r="P60" s="1840"/>
    </row>
    <row r="61" spans="1:16" ht="12" customHeight="1">
      <c r="A61" s="2059"/>
      <c r="B61" s="2187"/>
      <c r="C61" s="2187"/>
      <c r="D61" s="2187"/>
      <c r="E61" s="1017"/>
      <c r="F61" s="1017"/>
      <c r="G61" s="1017"/>
      <c r="H61" s="2240"/>
      <c r="I61" s="2187"/>
      <c r="J61" s="2957"/>
      <c r="K61" s="2958"/>
      <c r="L61" s="2258" t="s">
        <v>1863</v>
      </c>
      <c r="M61" s="784"/>
      <c r="N61" s="2260" t="str">
        <f ca="1">IF(H19="元",NUMBERSTRING(INT(N60),2)&amp;"元整",NUMBERSTRING(INT(N60*10000),2)&amp;"元整")</f>
        <v>玖佰玖拾玖万伍仟柒佰玖拾壹元整</v>
      </c>
      <c r="O61" s="2261"/>
      <c r="P61" s="1840"/>
    </row>
    <row r="62" spans="1:16" ht="13.5" thickBot="1">
      <c r="A62" s="2959" t="s">
        <v>1866</v>
      </c>
      <c r="B62" s="2959"/>
      <c r="C62" s="2959"/>
      <c r="D62" s="2959"/>
      <c r="E62" s="2959"/>
      <c r="F62" s="1017"/>
      <c r="G62" s="1017"/>
      <c r="H62" s="2240"/>
      <c r="I62" s="2187"/>
      <c r="J62" s="1877">
        <f>J60+1</f>
        <v>7</v>
      </c>
      <c r="K62" s="2958" t="s">
        <v>1867</v>
      </c>
      <c r="L62" s="2958"/>
      <c r="M62" s="787"/>
      <c r="N62" s="788">
        <f ca="1">IF(H19="元",ROUND(N60/项目基本情况!C12,0),ROUND(N60*10000/项目基本情况!C12,0))</f>
        <v>51480</v>
      </c>
      <c r="O62" s="2264"/>
      <c r="P62" s="1840"/>
    </row>
    <row r="63" spans="1:16" ht="12.75">
      <c r="A63" s="2940" t="s">
        <v>1868</v>
      </c>
      <c r="B63" s="2941"/>
      <c r="C63" s="1879"/>
      <c r="D63" s="1879" t="s">
        <v>1869</v>
      </c>
      <c r="E63" s="108" t="s">
        <v>1870</v>
      </c>
      <c r="F63" s="1017"/>
      <c r="G63" s="1017"/>
      <c r="H63" s="2240"/>
      <c r="I63" s="2187"/>
      <c r="J63" s="1840"/>
      <c r="K63" s="1840"/>
      <c r="L63" s="1840"/>
      <c r="M63" s="1840"/>
      <c r="N63" s="1840"/>
      <c r="O63" s="1840"/>
      <c r="P63" s="1840"/>
    </row>
    <row r="64" spans="1:16" ht="12.75">
      <c r="A64" s="109">
        <v>1</v>
      </c>
      <c r="B64" s="110" t="s">
        <v>1871</v>
      </c>
      <c r="C64" s="111">
        <f ca="1">ROUND((C65+C66)/(1+'数据-取费表'!F30),0)</f>
        <v>13091651</v>
      </c>
      <c r="D64" s="112"/>
      <c r="E64" s="113"/>
      <c r="F64" s="1017"/>
      <c r="G64" s="1017"/>
      <c r="H64" s="2240"/>
      <c r="I64" s="2187"/>
      <c r="J64" s="2986" t="s">
        <v>1872</v>
      </c>
      <c r="K64" s="2265" t="s">
        <v>1873</v>
      </c>
      <c r="L64" s="1839">
        <f ca="1">IF(M50&gt;10000,M50*0.5%,IF(AND(M50&gt;1000,M50&lt;=10000),M50*1%,IF(AND(M50&gt;100,M50&lt;=1000),M50*3%,IF(AND(M50&gt;10,M50&lt;=100),M50*5%,M50*8%))))</f>
        <v>68731.17</v>
      </c>
      <c r="M64" s="14">
        <f ca="1">ROUND(L64,1)</f>
        <v>68731.199999999997</v>
      </c>
      <c r="N64" s="1840"/>
      <c r="O64" s="1840"/>
      <c r="P64" s="1840"/>
    </row>
    <row r="65" spans="1:35" ht="12.75">
      <c r="A65" s="114" t="s">
        <v>71</v>
      </c>
      <c r="B65" s="115" t="s">
        <v>1874</v>
      </c>
      <c r="C65" s="116">
        <f ca="1">D46</f>
        <v>13746234</v>
      </c>
      <c r="D65" s="117" t="s">
        <v>41</v>
      </c>
      <c r="E65" s="118"/>
      <c r="F65" s="1017"/>
      <c r="G65" s="1017"/>
      <c r="H65" s="2240"/>
      <c r="I65" s="2187"/>
      <c r="J65" s="2986"/>
      <c r="K65" s="2265" t="s">
        <v>1875</v>
      </c>
      <c r="L65" s="1839">
        <f ca="1">IF(M50&gt;2000,M50*0.5%,IF(AND(M50&gt;1000,M50&lt;=2000),M50*0.6%,IF(AND(M50&gt;500,M50&lt;=1000),M50*0.7%,IF(AND(M50&gt;200,M50&lt;=500),M50*0.8%,IF(AND(M50&gt;100,M50&lt;=200),M50*0.9%,IF(AND(M50&gt;50,M50&lt;=100),M50*1%,IF(AND(M50&gt;20,M50&lt;=50),M50*1.5%,IF(AND(M50&gt;10,M50&lt;=20),M50*2%,IF(AND(M50&gt;1,M50&lt;=10),M50*2.5%)))))))))</f>
        <v>68731.17</v>
      </c>
      <c r="M65" s="14">
        <f t="shared" ref="M65:M66" ca="1" si="2">ROUND(L65,1)</f>
        <v>68731.199999999997</v>
      </c>
      <c r="N65" s="1840" t="s">
        <v>1876</v>
      </c>
      <c r="O65" s="1840"/>
      <c r="P65" s="1840"/>
    </row>
    <row r="66" spans="1:35" ht="12.75">
      <c r="A66" s="114" t="s">
        <v>72</v>
      </c>
      <c r="B66" s="115" t="s">
        <v>1877</v>
      </c>
      <c r="C66" s="119"/>
      <c r="D66" s="117"/>
      <c r="E66" s="118"/>
      <c r="F66" s="1017"/>
      <c r="G66" s="1017"/>
      <c r="H66" s="2240"/>
      <c r="I66" s="2187"/>
      <c r="J66" s="2986"/>
      <c r="K66" s="2265" t="s">
        <v>1878</v>
      </c>
      <c r="L66" s="1839">
        <f ca="1">IF(M50&gt;1000,M50*0.1%,IF(AND(M50&gt;500,M50&lt;=1000),M50*0.5%,IF(AND(M50&gt;50,M50&lt;=500),M50*1%,IF(AND(M50&gt;1,M50&lt;=50),M50*1.5%))))</f>
        <v>13746.234</v>
      </c>
      <c r="M66" s="14">
        <f t="shared" ca="1" si="2"/>
        <v>13746.2</v>
      </c>
      <c r="N66" s="1840" t="s">
        <v>1876</v>
      </c>
      <c r="O66" s="1840"/>
      <c r="P66" s="1840"/>
    </row>
    <row r="67" spans="1:35" ht="12.75">
      <c r="A67" s="120" t="s">
        <v>47</v>
      </c>
      <c r="B67" s="121" t="s">
        <v>1879</v>
      </c>
      <c r="C67" s="122"/>
      <c r="D67" s="123" t="s">
        <v>41</v>
      </c>
      <c r="E67" s="1856" t="s">
        <v>1880</v>
      </c>
      <c r="F67" s="1017"/>
      <c r="G67" s="1017"/>
      <c r="H67" s="2240"/>
      <c r="I67" s="2187"/>
      <c r="J67" s="2986"/>
      <c r="K67" s="2265" t="s">
        <v>1881</v>
      </c>
      <c r="L67" s="1839">
        <f ca="1">M50*0.5%</f>
        <v>68731.17</v>
      </c>
      <c r="M67" s="14">
        <f ca="1">IF(L67&gt;0.5,0.5,ROUND(L67,0))</f>
        <v>0.5</v>
      </c>
      <c r="N67" s="1840" t="s">
        <v>1882</v>
      </c>
      <c r="O67" s="1840"/>
      <c r="P67" s="1840"/>
    </row>
    <row r="68" spans="1:35" ht="12.75">
      <c r="A68" s="120" t="s">
        <v>42</v>
      </c>
      <c r="B68" s="121" t="s">
        <v>1883</v>
      </c>
      <c r="C68" s="124">
        <f ca="1">C64-C67</f>
        <v>13091651</v>
      </c>
      <c r="D68" s="117" t="s">
        <v>41</v>
      </c>
      <c r="E68" s="118"/>
      <c r="F68" s="1017"/>
      <c r="G68" s="1017"/>
      <c r="H68" s="2240"/>
      <c r="I68" s="2187"/>
      <c r="J68" s="2986"/>
      <c r="K68" s="2265" t="s">
        <v>1884</v>
      </c>
      <c r="L68" s="1839">
        <f ca="1">IF(M50&gt;=10000,(8.25+(M50-10000)*0.01%),IF(AND(M50&gt;=8000,M50&lt;10000),(7.85+(M50-8000)*0.02%),IF(AND(M50&gt;=5000,M50&lt;8000),(6.65+(M50-5000)*0.04%),IF(AND(M50&gt;=2000,M50&lt;5000),(4.25+(PM50-2000)*0.08%),IF(AND(M50&gt;=1000,M50&lt;2000),(2.75+(M50-1000)*0.15%),IF(AND(M50&gt;=100,M50&lt;1000),(0.5+(M50-100)*0.25%),IF(AND(M50&gt;0,M50&lt;100),M50*0.5%)))))))</f>
        <v>1381.8734000000002</v>
      </c>
      <c r="M68" s="14">
        <f ca="1">ROUND(L68*0.9,1)</f>
        <v>1243.7</v>
      </c>
      <c r="N68" s="1840"/>
      <c r="O68" s="1840"/>
      <c r="P68" s="1840"/>
    </row>
    <row r="69" spans="1:35" ht="13.5" thickBot="1">
      <c r="A69" s="125" t="s">
        <v>46</v>
      </c>
      <c r="B69" s="126" t="s">
        <v>1885</v>
      </c>
      <c r="C69" s="127">
        <f ca="1">IF(C68&lt;=0,0,ROUND(C68*D69,0))</f>
        <v>733132</v>
      </c>
      <c r="D69" s="128">
        <f>'数据-取费表'!E29</f>
        <v>5.6000000000000001E-2</v>
      </c>
      <c r="E69" s="129"/>
      <c r="F69" s="1017"/>
      <c r="G69" s="1017"/>
      <c r="H69" s="2240"/>
      <c r="I69" s="2187"/>
      <c r="J69" s="2986"/>
      <c r="K69" s="2265" t="s">
        <v>1886</v>
      </c>
      <c r="L69" s="1839">
        <f ca="1">IF(M50&gt;10000,M50*0.5%,IF(AND(M50&gt;5000,M50&lt;=10000),M50*1%,IF(AND(M50&gt;1000,M50&lt;=5000),M50*2%,IF(AND(M50&gt;200,M50&lt;=1000),M50*3%,M50*5%))))</f>
        <v>68731.17</v>
      </c>
      <c r="M69" s="14">
        <f ca="1">ROUND(L69,1)</f>
        <v>68731.199999999997</v>
      </c>
      <c r="N69" s="1840"/>
      <c r="O69" s="1840"/>
      <c r="P69" s="1840"/>
    </row>
    <row r="70" spans="1:35" s="2214" customFormat="1" ht="7.5" customHeight="1">
      <c r="A70" s="2266"/>
      <c r="B70" s="2267"/>
      <c r="C70" s="2268"/>
      <c r="D70" s="2269"/>
      <c r="E70" s="2270"/>
      <c r="F70" s="1017"/>
      <c r="G70" s="1017"/>
      <c r="H70" s="2240"/>
      <c r="I70" s="2187"/>
      <c r="J70" s="2986"/>
      <c r="K70" s="2265" t="s">
        <v>1887</v>
      </c>
      <c r="L70" s="2271"/>
      <c r="M70" s="14">
        <f ca="1">ROUND(SUM(M64:M69),0)</f>
        <v>221184</v>
      </c>
      <c r="N70" s="1836">
        <f ca="1">M70/M50</f>
        <v>1.6090516137001597E-2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51" t="s">
        <v>1888</v>
      </c>
      <c r="B71" s="2952"/>
      <c r="C71" s="2952"/>
      <c r="D71" s="2952"/>
      <c r="E71" s="2952"/>
      <c r="F71" s="2952"/>
      <c r="G71" s="2952"/>
      <c r="H71" s="2952"/>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40" t="s">
        <v>1868</v>
      </c>
      <c r="B72" s="2941"/>
      <c r="C72" s="1879"/>
      <c r="D72" s="1879" t="s">
        <v>1869</v>
      </c>
      <c r="E72" s="130" t="s">
        <v>1870</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3">
        <v>1</v>
      </c>
      <c r="B73" s="121" t="s">
        <v>1889</v>
      </c>
      <c r="C73" s="124">
        <f ca="1">ROUND(D46/(1+'数据-取费表'!F30),0)</f>
        <v>13091651</v>
      </c>
      <c r="D73" s="117" t="s">
        <v>41</v>
      </c>
      <c r="E73" s="1882"/>
      <c r="F73" s="1883"/>
      <c r="G73" s="1883"/>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5">
        <v>2</v>
      </c>
      <c r="B74" s="89" t="s">
        <v>1891</v>
      </c>
      <c r="C74" s="124">
        <f ca="1">C75+C79</f>
        <v>5650537</v>
      </c>
      <c r="D74" s="117" t="s">
        <v>41</v>
      </c>
      <c r="E74" s="1882"/>
      <c r="F74" s="1883"/>
      <c r="G74" s="1883"/>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73</v>
      </c>
      <c r="B75" s="115" t="s">
        <v>1892</v>
      </c>
      <c r="C75" s="117">
        <f>ROUND(IF(G78="2016年5月1日后购买",C76/(1+'数据-取费表'!F30)+C77+C78,C76+C77+C78),0)</f>
        <v>5571987</v>
      </c>
      <c r="D75" s="117" t="s">
        <v>41</v>
      </c>
      <c r="E75" s="1882"/>
      <c r="F75" s="1883"/>
      <c r="G75" s="1883"/>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6" t="s">
        <v>74</v>
      </c>
      <c r="B76" s="115" t="s">
        <v>1893</v>
      </c>
      <c r="C76" s="137">
        <f>1844615+1678773.6</f>
        <v>3523388.6</v>
      </c>
      <c r="D76" s="117" t="s">
        <v>41</v>
      </c>
      <c r="E76" s="138" t="s">
        <v>1894</v>
      </c>
      <c r="F76" s="2276" t="s">
        <v>1895</v>
      </c>
      <c r="G76" s="138" t="s">
        <v>1896</v>
      </c>
      <c r="H76" s="139">
        <v>12</v>
      </c>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1897</v>
      </c>
      <c r="C77" s="117">
        <f>IF(F76="购房发票",ROUND(C76*H76*D77,0),0)</f>
        <v>2114033</v>
      </c>
      <c r="D77" s="141">
        <v>0.05</v>
      </c>
      <c r="E77" s="2953" t="s">
        <v>1898</v>
      </c>
      <c r="F77" s="2954"/>
      <c r="G77" s="2954"/>
      <c r="H77" s="2955"/>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1899</v>
      </c>
      <c r="C78" s="117">
        <f>ROUND(IF(G78="个人住宅",0,IF(G78="2016年5月1日前购买",C76*D78,C76*D78/(1+'数据-取费表'!F30))),0)</f>
        <v>102346</v>
      </c>
      <c r="D78" s="142">
        <f>'数据-取费表'!E36+'数据-取费表'!E37</f>
        <v>3.0499999999999999E-2</v>
      </c>
      <c r="E78" s="12" t="s">
        <v>1900</v>
      </c>
      <c r="F78" s="143"/>
      <c r="G78" s="2277" t="s">
        <v>1901</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1902</v>
      </c>
      <c r="C79" s="144">
        <f ca="1">ROUND(D46*D79/(1+'数据-取费表'!F30),0)</f>
        <v>78550</v>
      </c>
      <c r="D79" s="145">
        <f>'数据-取费表'!E31</f>
        <v>6.000000000000001E-3</v>
      </c>
      <c r="E79" s="2942" t="s">
        <v>1903</v>
      </c>
      <c r="F79" s="2943"/>
      <c r="G79" s="2943"/>
      <c r="H79" s="2944"/>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6" t="s">
        <v>42</v>
      </c>
      <c r="B80" s="121" t="s">
        <v>1904</v>
      </c>
      <c r="C80" s="124">
        <f ca="1">C73-C74</f>
        <v>7441114</v>
      </c>
      <c r="D80" s="117" t="s">
        <v>41</v>
      </c>
      <c r="E80" s="1882"/>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6" t="s">
        <v>43</v>
      </c>
      <c r="B81" s="121" t="s">
        <v>1905</v>
      </c>
      <c r="C81" s="147">
        <f ca="1">IF(C80&lt;=0,0,C80/C74)</f>
        <v>1.3168861649786561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增值额超过扣除项目金额100%，未超过200%</v>
      </c>
      <c r="F81" s="1883"/>
      <c r="G81" s="1883"/>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8" t="s">
        <v>44</v>
      </c>
      <c r="B82" s="126" t="s">
        <v>1906</v>
      </c>
      <c r="C82" s="149">
        <f ca="1">ROUND(IF(C80&lt;=0,0,IF(C81&gt;=200%,C80*60%-C74*35%,IF(C81&gt;=100%,C80*50%-C74*15%,IF(C81&gt;=50%,C80*40%-C74*5%,IF(C81&lt;50%,C80*30%,0))))),0)</f>
        <v>2872976</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土地增值税税额=增值额×50%－扣除项目金额×15%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51" t="s">
        <v>1907</v>
      </c>
      <c r="B84" s="2952"/>
      <c r="C84" s="2952"/>
      <c r="D84" s="2952"/>
      <c r="E84" s="2952"/>
      <c r="F84" s="2952"/>
      <c r="G84" s="2952"/>
      <c r="H84" s="2952"/>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40" t="s">
        <v>1868</v>
      </c>
      <c r="B85" s="2941"/>
      <c r="C85" s="1879"/>
      <c r="D85" s="1879" t="s">
        <v>1869</v>
      </c>
      <c r="E85" s="130" t="s">
        <v>1870</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3">
        <v>1</v>
      </c>
      <c r="B86" s="121" t="s">
        <v>1889</v>
      </c>
      <c r="C86" s="124">
        <f ca="1">ROUND(D46/(1+'数据-取费表'!F30),0)</f>
        <v>13091651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v>2</v>
      </c>
      <c r="B87" s="89" t="s">
        <v>1891</v>
      </c>
      <c r="C87" s="124">
        <f ca="1">IF(H89="仅含出让金",C88+C91+C92+C93+C94+C95,C88+C92+C93+C94+C95)</f>
        <v>78550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73</v>
      </c>
      <c r="B88" s="115" t="s">
        <v>1908</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74</v>
      </c>
      <c r="B89" s="115" t="s">
        <v>1909</v>
      </c>
      <c r="C89" s="157"/>
      <c r="D89" s="145"/>
      <c r="E89" s="158" t="s">
        <v>1910</v>
      </c>
      <c r="F89" s="1876"/>
      <c r="G89" s="159" t="s">
        <v>1911</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75</v>
      </c>
      <c r="B90" s="115" t="s">
        <v>1899</v>
      </c>
      <c r="C90" s="144">
        <f>ROUND(C89*D90,0)</f>
        <v>0</v>
      </c>
      <c r="D90" s="145">
        <f>'数据-取费表'!E36+'数据-取费表'!E37</f>
        <v>3.0499999999999999E-2</v>
      </c>
      <c r="E90" s="158" t="s">
        <v>1912</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6" t="s">
        <v>77</v>
      </c>
      <c r="B91" s="115" t="s">
        <v>1913</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1914</v>
      </c>
      <c r="C92" s="144">
        <f>IF(H92="——",成本法!C33,I92)</f>
        <v>0</v>
      </c>
      <c r="D92" s="145"/>
      <c r="E92" s="2942" t="s">
        <v>1915</v>
      </c>
      <c r="F92" s="2943"/>
      <c r="G92" s="2943"/>
      <c r="H92" s="2280" t="s">
        <v>1916</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1917</v>
      </c>
      <c r="C93" s="144">
        <f>ROUND((C88+C91+C92)*D93,0)</f>
        <v>0</v>
      </c>
      <c r="D93" s="145">
        <v>0.1</v>
      </c>
      <c r="E93" s="2942" t="s">
        <v>1918</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1902</v>
      </c>
      <c r="C94" s="144">
        <f ca="1">ROUND(D46*D94/(1+'数据-取费表'!F30),0)</f>
        <v>78550</v>
      </c>
      <c r="D94" s="145">
        <f>'数据-取费表'!E31</f>
        <v>6.000000000000001E-3</v>
      </c>
      <c r="E94" s="2942" t="s">
        <v>1903</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1919</v>
      </c>
      <c r="C95" s="144">
        <f>ROUND((C88+C91+C92)*D95,0)</f>
        <v>0</v>
      </c>
      <c r="D95" s="145">
        <v>0.2</v>
      </c>
      <c r="E95" s="2942" t="s">
        <v>1920</v>
      </c>
      <c r="F95" s="2943"/>
      <c r="G95" s="2943"/>
      <c r="H95" s="2944"/>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6" t="s">
        <v>42</v>
      </c>
      <c r="B96" s="121" t="s">
        <v>1904</v>
      </c>
      <c r="C96" s="124">
        <f ca="1">ROUND(C86-C87,0)</f>
        <v>13013101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6" t="s">
        <v>43</v>
      </c>
      <c r="B97" s="121" t="s">
        <v>1905</v>
      </c>
      <c r="C97" s="147">
        <f ca="1">IF(C96&lt;=0,0,C96/C87)</f>
        <v>165.66646721833229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8" t="s">
        <v>44</v>
      </c>
      <c r="B98" s="126" t="s">
        <v>1906</v>
      </c>
      <c r="C98" s="149">
        <f ca="1">ROUND(IF(C96&lt;=0,0,IF(C97&gt;=200%,C96*60%-C87*35%,IF(C97&gt;=100%,C96*50%-C87*15%,IF(C97&gt;=50%,C96*40%-C87*5%,IF(C97&lt;50%,C96*30%,0))))),0)</f>
        <v>7780368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1921</v>
      </c>
      <c r="B99" s="2187"/>
      <c r="C99" s="2187"/>
      <c r="D99" s="2187"/>
      <c r="E99" s="1017"/>
      <c r="F99" s="1017"/>
      <c r="G99" s="1017"/>
      <c r="H99" s="2240"/>
      <c r="I99" s="2187"/>
    </row>
    <row r="100" spans="1:35" ht="15.75">
      <c r="A100" s="2945" t="s">
        <v>1922</v>
      </c>
      <c r="B100" s="2946"/>
      <c r="C100" s="2946"/>
      <c r="D100" s="2947"/>
      <c r="E100" s="2187"/>
      <c r="F100" s="2948" t="s">
        <v>1923</v>
      </c>
      <c r="G100" s="2949"/>
      <c r="H100" s="2949"/>
      <c r="I100" s="2950"/>
    </row>
    <row r="101" spans="1:35" ht="30">
      <c r="A101" s="2926" t="s">
        <v>1924</v>
      </c>
      <c r="B101" s="2927"/>
      <c r="C101" s="719" t="str">
        <f>C4</f>
        <v>典型户型修正</v>
      </c>
      <c r="D101" s="720" t="str">
        <f>D4</f>
        <v>典型户型修正</v>
      </c>
      <c r="E101" s="2187"/>
      <c r="F101" s="2928" t="s">
        <v>1925</v>
      </c>
      <c r="G101" s="2929"/>
      <c r="H101" s="2930" t="s">
        <v>1926</v>
      </c>
      <c r="I101" s="2931"/>
    </row>
    <row r="102" spans="1:35" ht="15.75">
      <c r="A102" s="2932" t="s">
        <v>1985</v>
      </c>
      <c r="B102" s="2282" t="str">
        <f>IF(H19="元","总价（元）","总价（万元）")</f>
        <v>总价（元）</v>
      </c>
      <c r="C102" s="719">
        <f ca="1">C19</f>
        <v>13746234</v>
      </c>
      <c r="D102" s="720">
        <f ca="1">D19</f>
        <v>13746234</v>
      </c>
      <c r="E102" s="2187"/>
      <c r="F102" s="2933"/>
      <c r="G102" s="2934"/>
      <c r="H102" s="2935">
        <f>典型户型修正!B25</f>
        <v>342.21</v>
      </c>
      <c r="I102" s="2931"/>
    </row>
    <row r="103" spans="1:35" ht="15.75">
      <c r="A103" s="2932"/>
      <c r="B103" s="2282" t="s">
        <v>1928</v>
      </c>
      <c r="C103" s="721">
        <f ca="1">C20</f>
        <v>40169</v>
      </c>
      <c r="D103" s="722">
        <f ca="1">D20</f>
        <v>40169</v>
      </c>
      <c r="E103" s="2187"/>
      <c r="F103" s="2936" t="s">
        <v>1929</v>
      </c>
      <c r="G103" s="2937"/>
      <c r="H103" s="2283" t="str">
        <f>C109</f>
        <v>总价（元）</v>
      </c>
      <c r="I103" s="1857">
        <f ca="1">H124</f>
        <v>13746234</v>
      </c>
    </row>
    <row r="104" spans="1:35" ht="15">
      <c r="A104" s="2932" t="s">
        <v>1986</v>
      </c>
      <c r="B104" s="2284" t="str">
        <f>B102</f>
        <v>总价（元）</v>
      </c>
      <c r="C104" s="1185">
        <f ca="1">ROUND(IF('数据-取费表'!B4="总价",G19,IF(H19="元",G20*'数据-取费表'!E5,G20*'数据-取费表'!E5/10000)),0)</f>
        <v>7799615</v>
      </c>
      <c r="D104" s="724"/>
      <c r="E104" s="2187"/>
      <c r="F104" s="2936"/>
      <c r="G104" s="2937"/>
      <c r="H104" s="2283" t="s">
        <v>1928</v>
      </c>
      <c r="I104" s="1045">
        <f ca="1">I124</f>
        <v>40169</v>
      </c>
    </row>
    <row r="105" spans="1:35" ht="15.75">
      <c r="A105" s="2932"/>
      <c r="B105" s="2282" t="s">
        <v>1928</v>
      </c>
      <c r="C105" s="1186">
        <f ca="1">ROUND(IF('数据-取费表'!B4="楼面单价",G20,IF(H19="元",G19/'数据-取费表'!E5,G19*10000/'数据-取费表'!E5)),0)</f>
        <v>40169</v>
      </c>
      <c r="D105" s="724"/>
      <c r="E105" s="2187"/>
      <c r="F105" s="2897"/>
      <c r="G105" s="2898"/>
      <c r="H105" s="2938"/>
      <c r="I105" s="2939"/>
    </row>
    <row r="106" spans="1:35" ht="15.75">
      <c r="A106" s="2866" t="s">
        <v>1987</v>
      </c>
      <c r="B106" s="2322" t="str">
        <f>B102</f>
        <v>总价（元）</v>
      </c>
      <c r="C106" s="723">
        <f ca="1">H124</f>
        <v>13746234</v>
      </c>
      <c r="D106" s="1184"/>
      <c r="E106" s="2187"/>
      <c r="F106" s="2922" t="s">
        <v>1932</v>
      </c>
      <c r="G106" s="2923"/>
      <c r="H106" s="2286" t="str">
        <f>C111</f>
        <v>总额（元）</v>
      </c>
      <c r="I106" s="1857">
        <f>SUMIF(I107:I109,"&lt;9E307")</f>
        <v>0</v>
      </c>
    </row>
    <row r="107" spans="1:35" ht="15.75" thickBot="1">
      <c r="A107" s="2867"/>
      <c r="B107" s="2285" t="s">
        <v>1928</v>
      </c>
      <c r="C107" s="725">
        <f ca="1">I124</f>
        <v>40169</v>
      </c>
      <c r="D107" s="726"/>
      <c r="E107" s="2187"/>
      <c r="F107" s="2895" t="s">
        <v>1934</v>
      </c>
      <c r="G107" s="2896"/>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19" t="s">
        <v>1931</v>
      </c>
      <c r="B108" s="2920"/>
      <c r="C108" s="2920"/>
      <c r="D108" s="2921"/>
      <c r="E108" s="2187"/>
      <c r="F108" s="2895" t="s">
        <v>1935</v>
      </c>
      <c r="G108" s="2896"/>
      <c r="H108" s="2286" t="str">
        <f>C113</f>
        <v>总额（元）</v>
      </c>
      <c r="I108" s="1045">
        <f>C38</f>
        <v>0</v>
      </c>
      <c r="K108" s="2287"/>
    </row>
    <row r="109" spans="1:35" ht="15">
      <c r="A109" s="2908" t="s">
        <v>1988</v>
      </c>
      <c r="B109" s="2909"/>
      <c r="C109" s="2283" t="str">
        <f>B102</f>
        <v>总价（元）</v>
      </c>
      <c r="D109" s="1046">
        <f ca="1">H124</f>
        <v>13746234</v>
      </c>
      <c r="E109" s="2187"/>
      <c r="F109" s="2895" t="s">
        <v>1937</v>
      </c>
      <c r="G109" s="2896"/>
      <c r="H109" s="2286" t="str">
        <f>C114</f>
        <v>总额（元）</v>
      </c>
      <c r="I109" s="1045">
        <f>C39</f>
        <v>0</v>
      </c>
    </row>
    <row r="110" spans="1:35" ht="15.75">
      <c r="A110" s="2908"/>
      <c r="B110" s="2909"/>
      <c r="C110" s="2283" t="s">
        <v>1928</v>
      </c>
      <c r="D110" s="1047">
        <f ca="1">I124</f>
        <v>40169</v>
      </c>
      <c r="E110" s="2187"/>
      <c r="F110" s="2897"/>
      <c r="G110" s="2898"/>
      <c r="H110" s="2893"/>
      <c r="I110" s="2894"/>
    </row>
    <row r="111" spans="1:35" ht="28.5" customHeight="1">
      <c r="A111" s="2924" t="s">
        <v>1936</v>
      </c>
      <c r="B111" s="2925"/>
      <c r="C111" s="2286" t="str">
        <f>IF(H19="元","总额（元）","总额（万元）")</f>
        <v>总额（元）</v>
      </c>
      <c r="D111" s="1046">
        <f>IF(D37="正常操作",I107+I108+I109,I108+I109)</f>
        <v>0</v>
      </c>
      <c r="E111" s="2187"/>
      <c r="F111" s="2899" t="str">
        <f>IF(项目基本情况!F5="已注销","——","3.房地产抵押价值")</f>
        <v>3.房地产抵押价值</v>
      </c>
      <c r="G111" s="2900"/>
      <c r="H111" s="2323" t="str">
        <f>C115</f>
        <v>总价（元）</v>
      </c>
      <c r="I111" s="1857">
        <f ca="1">IF(F111="——","——",I103-I106)</f>
        <v>13746234</v>
      </c>
    </row>
    <row r="112" spans="1:35" ht="15">
      <c r="A112" s="2895" t="s">
        <v>1934</v>
      </c>
      <c r="B112" s="2896"/>
      <c r="C112" s="2286" t="str">
        <f>C111</f>
        <v>总额（元）</v>
      </c>
      <c r="D112" s="637">
        <f>IF(D37="同一抵押权人同一抵押物续贷",C37&amp;"（未扣减，详见特别提示）",C37)</f>
        <v>0</v>
      </c>
      <c r="E112" s="2187"/>
      <c r="F112" s="2901"/>
      <c r="G112" s="2902"/>
      <c r="H112" s="2283" t="s">
        <v>1928</v>
      </c>
      <c r="I112" s="2289">
        <f ca="1">D116</f>
        <v>40169</v>
      </c>
    </row>
    <row r="113" spans="1:26" ht="15.75">
      <c r="A113" s="2895" t="s">
        <v>1935</v>
      </c>
      <c r="B113" s="2896"/>
      <c r="C113" s="2286" t="str">
        <f>C111</f>
        <v>总额（元）</v>
      </c>
      <c r="D113" s="637">
        <f>C38</f>
        <v>0</v>
      </c>
      <c r="E113" s="2187"/>
      <c r="F113" s="2899" t="str">
        <f>IF(项目基本情况!F5="已注销及未注销","4.抵押担保权已注销时的房地产抵押价值",IF(项目基本情况!F5="已注销","3.抵押担保权已注销时的房地产抵押价值","——"))</f>
        <v>——</v>
      </c>
      <c r="G113" s="2900"/>
      <c r="H113" s="2323" t="str">
        <f>C117</f>
        <v>总价（元）</v>
      </c>
      <c r="I113" s="1857" t="str">
        <f>IF(F113="——","——",I103-I108-I109)</f>
        <v>——</v>
      </c>
    </row>
    <row r="114" spans="1:26" ht="15">
      <c r="A114" s="2895" t="s">
        <v>1937</v>
      </c>
      <c r="B114" s="2896"/>
      <c r="C114" s="2286" t="str">
        <f>C111</f>
        <v>总额（元）</v>
      </c>
      <c r="D114" s="637">
        <f>C39</f>
        <v>0</v>
      </c>
      <c r="E114" s="2187"/>
      <c r="F114" s="2901"/>
      <c r="G114" s="2902"/>
      <c r="H114" s="2283" t="s">
        <v>1928</v>
      </c>
      <c r="I114" s="1045" t="str">
        <f>D118</f>
        <v>——</v>
      </c>
    </row>
    <row r="115" spans="1:26" ht="15.75">
      <c r="A115" s="2908" t="str">
        <f>IF(项目基本情况!F5="已注销","——","3.房地产抵押价值")</f>
        <v>3.房地产抵押价值</v>
      </c>
      <c r="B115" s="2909"/>
      <c r="C115" s="2283" t="str">
        <f>B102</f>
        <v>总价（元）</v>
      </c>
      <c r="D115" s="1046">
        <f ca="1">IF(A115="——","——",D109-D111)</f>
        <v>13746234</v>
      </c>
      <c r="E115" s="2187"/>
      <c r="F115" s="2899" t="str">
        <f>IF(项目基本情况!G5="抵押净值",IF(OR(项目基本情况!F5="已注销",项目基本情况!F5="房地产抵押价值"),"4.抵押净值","5.抵押净值"),"——")</f>
        <v>4.抵押净值</v>
      </c>
      <c r="G115" s="2900"/>
      <c r="H115" s="2283" t="str">
        <f>C119</f>
        <v>总价（元）</v>
      </c>
      <c r="I115" s="1857">
        <f ca="1">IF(F115="——","——",N60)</f>
        <v>9995791</v>
      </c>
    </row>
    <row r="116" spans="1:26" ht="15.75" thickBot="1">
      <c r="A116" s="2908"/>
      <c r="B116" s="2909"/>
      <c r="C116" s="2283" t="s">
        <v>1989</v>
      </c>
      <c r="D116" s="1047">
        <f ca="1">ROUND(IF(D115=D109,D110,IF(H19="元",D115/B124,D115*10000/B124)),0)</f>
        <v>40169</v>
      </c>
      <c r="E116" s="2187"/>
      <c r="F116" s="2910"/>
      <c r="G116" s="2911"/>
      <c r="H116" s="2291" t="s">
        <v>1989</v>
      </c>
      <c r="I116" s="1859">
        <f ca="1">D120</f>
        <v>51480</v>
      </c>
    </row>
    <row r="117" spans="1:26" ht="15.75">
      <c r="A117" s="2908" t="str">
        <f>IF(项目基本情况!F5="已注销及未注销","4.抵押担保权已注销时的房地产抵押价值",IF(项目基本情况!F5="已注销","3.抵押担保权已注销时的房地产抵押价值","——"))</f>
        <v>——</v>
      </c>
      <c r="B117" s="2909"/>
      <c r="C117" s="2283" t="str">
        <f>B102</f>
        <v>总价（元）</v>
      </c>
      <c r="D117" s="1046" t="str">
        <f>IF(A117="——","——",D109-D113-D114)</f>
        <v>——</v>
      </c>
      <c r="E117" s="2187"/>
      <c r="F117" s="2914"/>
      <c r="G117" s="2914"/>
      <c r="H117" s="2915"/>
      <c r="I117" s="2915"/>
      <c r="N117" s="55"/>
      <c r="O117" s="55"/>
    </row>
    <row r="118" spans="1:26" s="1840" customFormat="1" ht="15">
      <c r="A118" s="2908"/>
      <c r="B118" s="2909"/>
      <c r="C118" s="2283" t="s">
        <v>1989</v>
      </c>
      <c r="D118" s="1047" t="str">
        <f>IF(A117="——","——",IF(H19="元",ROUND(D117/B124,0),ROUND(D117*10000/B124,0)))</f>
        <v>——</v>
      </c>
      <c r="E118" s="2187"/>
      <c r="F118" s="2916" t="str">
        <f>IF(B32="总价","（以上估价结果中楼面单价为总价除以建筑面积得出）","（以上估价结果中总价为楼面单价乘以建筑面积得出）")</f>
        <v>（以上估价结果中总价为楼面单价乘以建筑面积得出）</v>
      </c>
      <c r="G118" s="2916"/>
      <c r="H118" s="2916"/>
      <c r="I118" s="2916"/>
      <c r="J118" s="797"/>
      <c r="K118" s="797"/>
      <c r="L118" s="797"/>
      <c r="M118" s="797"/>
      <c r="N118" s="55"/>
      <c r="O118" s="55"/>
      <c r="P118" s="797"/>
      <c r="Q118" s="797"/>
      <c r="R118" s="797"/>
      <c r="S118" s="797"/>
      <c r="T118" s="797"/>
      <c r="U118" s="797"/>
      <c r="V118" s="797"/>
      <c r="W118" s="797"/>
      <c r="X118" s="797"/>
      <c r="Y118" s="797"/>
      <c r="Z118" s="797"/>
    </row>
    <row r="119" spans="1:26" s="1840" customFormat="1" ht="15">
      <c r="A119" s="2908" t="str">
        <f>IF(项目基本情况!G5="抵押净值",IF(OR(项目基本情况!F5="已注销",项目基本情况!F5="房地产抵押价值"),"4.抵押净值","5.抵押净值"),"——")</f>
        <v>4.抵押净值</v>
      </c>
      <c r="B119" s="2909"/>
      <c r="C119" s="2283" t="str">
        <f>B102</f>
        <v>总价（元）</v>
      </c>
      <c r="D119" s="1046">
        <f ca="1">IF(A119="——","——",N60)</f>
        <v>9995791</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12"/>
      <c r="B120" s="2913"/>
      <c r="C120" s="2291" t="s">
        <v>1989</v>
      </c>
      <c r="D120" s="1048">
        <f ca="1">IF(D119=D109,D110,IF(A119="——","——",N62))</f>
        <v>51480</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0" customFormat="1" ht="15">
      <c r="A121" s="2917" t="s">
        <v>1990</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74" t="s">
        <v>1939</v>
      </c>
      <c r="B122" s="2903" t="s">
        <v>1991</v>
      </c>
      <c r="C122" s="2903" t="s">
        <v>1992</v>
      </c>
      <c r="D122" s="2905" t="s">
        <v>1942</v>
      </c>
      <c r="E122" s="2906"/>
      <c r="F122" s="2875" t="s">
        <v>1993</v>
      </c>
      <c r="G122" s="2875"/>
      <c r="H122" s="2875" t="s">
        <v>1943</v>
      </c>
      <c r="I122" s="2907"/>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74"/>
      <c r="B123" s="2904"/>
      <c r="C123" s="2904"/>
      <c r="D123" s="1881" t="s">
        <v>1944</v>
      </c>
      <c r="E123" s="1881" t="s">
        <v>1945</v>
      </c>
      <c r="F123" s="1881" t="s">
        <v>1944</v>
      </c>
      <c r="G123" s="1881" t="s">
        <v>1946</v>
      </c>
      <c r="H123" s="1881" t="s">
        <v>1944</v>
      </c>
      <c r="I123" s="637" t="s">
        <v>1946</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342.21</v>
      </c>
      <c r="C124" s="400"/>
      <c r="D124" s="1881">
        <f>C35</f>
        <v>0</v>
      </c>
      <c r="E124" s="1881">
        <f>ROUND(IF(H19="元",D124/B124,D124*10000/B124),0)</f>
        <v>0</v>
      </c>
      <c r="F124" s="1881">
        <f>C36</f>
        <v>0</v>
      </c>
      <c r="G124" s="1881">
        <f>ROUND(IF(H19="元",F124/B124,F124*10000/B124),0)</f>
        <v>0</v>
      </c>
      <c r="H124" s="1881">
        <f ca="1">C33</f>
        <v>13746234</v>
      </c>
      <c r="I124" s="637">
        <f ca="1">C34</f>
        <v>40169</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74" t="s">
        <v>1947</v>
      </c>
      <c r="B125" s="2875"/>
      <c r="C125" s="2875"/>
      <c r="D125" s="2888" t="str">
        <f>IF(H19="元",NUMBERSTRING(INT(D124),2)&amp;"元整",NUMBERSTRING(INT(D124*10000),2)&amp;"元整")</f>
        <v>零元整</v>
      </c>
      <c r="E125" s="2889"/>
      <c r="F125" s="2888" t="str">
        <f>IF(H19="元",NUMBERSTRING(INT(F124),2)&amp;"元整",NUMBERSTRING(INT(F124*10000),2)&amp;"元整")</f>
        <v>零元整</v>
      </c>
      <c r="G125" s="2889"/>
      <c r="H125" s="2888" t="str">
        <f ca="1">IF(H19="元",NUMBERSTRING(INT(H124),2)&amp;"元整",NUMBERSTRING(INT(H124*10000),2)&amp;"元整")</f>
        <v>壹仟叁佰柒拾肆万陆仟贰佰叁拾肆元整</v>
      </c>
      <c r="I125" s="2890"/>
      <c r="J125" s="797"/>
      <c r="K125" s="797"/>
      <c r="L125" s="797"/>
      <c r="M125" s="797"/>
      <c r="N125" s="797"/>
      <c r="O125" s="797"/>
      <c r="P125" s="797"/>
      <c r="Q125" s="797"/>
      <c r="R125" s="797"/>
      <c r="S125" s="797"/>
      <c r="T125" s="797"/>
      <c r="U125" s="797"/>
      <c r="V125" s="797"/>
      <c r="W125" s="797"/>
      <c r="X125" s="797"/>
      <c r="Y125" s="797"/>
      <c r="Z125" s="797"/>
    </row>
    <row r="126" spans="1:26" s="1840" customFormat="1" ht="15">
      <c r="A126" s="2891" t="str">
        <f>IF(项目基本情况!D5="房地产市场价值","——",MID(A111,3,LEN(A111)-2))</f>
        <v>估价师所知悉的法定优先受偿款</v>
      </c>
      <c r="B126" s="2886"/>
      <c r="C126" s="2892"/>
      <c r="D126" s="2878">
        <f>I106</f>
        <v>0</v>
      </c>
      <c r="E126" s="2886"/>
      <c r="F126" s="2886"/>
      <c r="G126" s="2886"/>
      <c r="H126" s="2886"/>
      <c r="I126" s="2887"/>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80" t="s">
        <v>1947</v>
      </c>
      <c r="B127" s="2881"/>
      <c r="C127" s="2882"/>
      <c r="D127" s="2883">
        <f>H110</f>
        <v>0</v>
      </c>
      <c r="E127" s="2884"/>
      <c r="F127" s="2884"/>
      <c r="G127" s="2884"/>
      <c r="H127" s="2884"/>
      <c r="I127" s="2885"/>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69" t="str">
        <f>IF(项目基本情况!D5="房地产市场价值","——",MID(A115,3,LEN(A115)-2))</f>
        <v>房地产抵押价值</v>
      </c>
      <c r="B128" s="2870"/>
      <c r="C128" s="2870"/>
      <c r="D128" s="2878">
        <f ca="1">I111</f>
        <v>13746234</v>
      </c>
      <c r="E128" s="2886"/>
      <c r="F128" s="2886"/>
      <c r="G128" s="2886"/>
      <c r="H128" s="2886"/>
      <c r="I128" s="2887"/>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74" t="s">
        <v>1947</v>
      </c>
      <c r="B129" s="2875"/>
      <c r="C129" s="2875"/>
      <c r="D129" s="2883">
        <f ca="1">I112</f>
        <v>40169</v>
      </c>
      <c r="E129" s="2884"/>
      <c r="F129" s="2884"/>
      <c r="G129" s="2884"/>
      <c r="H129" s="2884"/>
      <c r="I129" s="2885"/>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69" t="str">
        <f>IF(项目基本情况!D5="房地产市场价值","——",MID(A117,3,LEN(A117)-2))</f>
        <v/>
      </c>
      <c r="B130" s="2870"/>
      <c r="C130" s="2870"/>
      <c r="D130" s="2871" t="str">
        <f>I113</f>
        <v>——</v>
      </c>
      <c r="E130" s="2872"/>
      <c r="F130" s="2872"/>
      <c r="G130" s="2872"/>
      <c r="H130" s="2872"/>
      <c r="I130" s="2873"/>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74" t="s">
        <v>1947</v>
      </c>
      <c r="B131" s="2875"/>
      <c r="C131" s="2876"/>
      <c r="D131" s="2877" t="str">
        <f>I114</f>
        <v>——</v>
      </c>
      <c r="E131" s="2877"/>
      <c r="F131" s="2877"/>
      <c r="G131" s="2877"/>
      <c r="H131" s="2877"/>
      <c r="I131" s="2877"/>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69" t="str">
        <f>IF(项目基本情况!D5="房地产市场价值","——",MID(F115,3,LEN(F115)-2))</f>
        <v>抵押净值</v>
      </c>
      <c r="B132" s="2870"/>
      <c r="C132" s="2878"/>
      <c r="D132" s="2879">
        <f ca="1">I115</f>
        <v>9995791</v>
      </c>
      <c r="E132" s="2879"/>
      <c r="F132" s="2879"/>
      <c r="G132" s="2879"/>
      <c r="H132" s="2879"/>
      <c r="I132" s="2879"/>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60" t="s">
        <v>1947</v>
      </c>
      <c r="B133" s="2861"/>
      <c r="C133" s="2861"/>
      <c r="D133" s="2862">
        <f>H117</f>
        <v>0</v>
      </c>
      <c r="E133" s="2863"/>
      <c r="F133" s="2863"/>
      <c r="G133" s="2863"/>
      <c r="H133" s="2863"/>
      <c r="I133" s="2864"/>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65" t="str">
        <f>IF(B32="总价","（以上估价结果中楼面单价为总价除以建筑面积得出）","（以上估价结果中总价为楼面单价乘以建筑面积得出）")</f>
        <v>（以上估价结果中总价为楼面单价乘以建筑面积得出）</v>
      </c>
      <c r="B135" s="2865"/>
      <c r="C135" s="2865"/>
      <c r="D135" s="2865"/>
      <c r="E135" s="2865"/>
      <c r="F135" s="2865"/>
      <c r="G135" s="2865"/>
      <c r="H135" s="2865"/>
      <c r="I135" s="2865"/>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1948</v>
      </c>
      <c r="B136" s="2293"/>
      <c r="C136" s="2294" t="s">
        <v>1949</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1950</v>
      </c>
      <c r="G142" s="2306"/>
      <c r="H142" s="2306"/>
      <c r="I142" s="2307" t="s">
        <v>1951</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1952</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1953</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1954</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1953</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6"/>
      <c r="C1" s="162"/>
      <c r="D1" s="162"/>
      <c r="E1" s="162"/>
      <c r="F1" s="162"/>
      <c r="G1" s="163"/>
    </row>
    <row r="2" spans="1:7" s="164" customFormat="1" ht="18" customHeight="1">
      <c r="A2" s="165" t="s">
        <v>1995</v>
      </c>
      <c r="B2" s="166">
        <f ca="1">IF(D2="——",IF(C2="元",C52,ROUND(C52/10000,0)),IF(C2="元",C52,ROUND(C52/10000,0))-E2)</f>
        <v>2154550</v>
      </c>
      <c r="C2" s="163" t="str">
        <f>'数据-取费表'!B3</f>
        <v>元</v>
      </c>
      <c r="D2" s="2325" t="s">
        <v>1247</v>
      </c>
      <c r="E2" s="1541" t="e">
        <f ca="1">SUMIF(INDIRECT("'"&amp;G2&amp;"'"&amp;"!A:A"),"承租人权益价值",INDIRECT("'"&amp;G2&amp;"'"&amp;"!c:c"))</f>
        <v>#REF!</v>
      </c>
      <c r="F2" s="2326" t="str">
        <f>C2</f>
        <v>元</v>
      </c>
      <c r="G2" s="1900"/>
    </row>
    <row r="3" spans="1:7" s="164" customFormat="1" ht="18" customHeight="1" thickBot="1">
      <c r="A3" s="167" t="s">
        <v>1996</v>
      </c>
      <c r="B3" s="168">
        <f ca="1">ROUND(C52/IF(B1="仅计算典型户型",'数据-取费表'!E5,'数据-取费表'!B5),0)</f>
        <v>11096</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C6+C7+C8</f>
        <v>1030500</v>
      </c>
      <c r="D5" s="195" t="s">
        <v>2001</v>
      </c>
      <c r="E5" s="1527" t="s">
        <v>2002</v>
      </c>
      <c r="F5" s="1527" t="s">
        <v>2003</v>
      </c>
      <c r="G5" s="174"/>
    </row>
    <row r="6" spans="1:7" s="175" customFormat="1" ht="13.5" customHeight="1">
      <c r="A6" s="176" t="s">
        <v>2004</v>
      </c>
      <c r="B6" s="177" t="s">
        <v>2005</v>
      </c>
      <c r="C6" s="1526">
        <v>1000000</v>
      </c>
      <c r="D6" s="1528"/>
      <c r="E6" s="1529"/>
      <c r="F6" s="1529"/>
      <c r="G6" s="179"/>
    </row>
    <row r="7" spans="1:7" s="175" customFormat="1" ht="13.5" customHeight="1">
      <c r="A7" s="176" t="s">
        <v>2006</v>
      </c>
      <c r="B7" s="177" t="s">
        <v>2007</v>
      </c>
      <c r="C7" s="199">
        <f>ROUND(C6*F7,0)</f>
        <v>30500</v>
      </c>
      <c r="D7" s="199"/>
      <c r="E7" s="1529"/>
      <c r="F7" s="1530">
        <f>'数据-取费表'!E36+'数据-取费表'!E37</f>
        <v>3.0499999999999999E-2</v>
      </c>
      <c r="G7" s="179"/>
    </row>
    <row r="8" spans="1:7" s="180" customFormat="1">
      <c r="A8" s="176" t="s">
        <v>2008</v>
      </c>
      <c r="B8" s="177" t="s">
        <v>2009</v>
      </c>
      <c r="C8" s="199">
        <f>IF(G8="已包含在土地购买价格中","0",'数据-取费表'!E13)</f>
        <v>0</v>
      </c>
      <c r="D8" s="1531"/>
      <c r="E8" s="199"/>
      <c r="F8" s="1530"/>
      <c r="G8" s="2327"/>
    </row>
    <row r="9" spans="1:7" s="175" customFormat="1" ht="13.5" customHeight="1">
      <c r="A9" s="1299" t="s">
        <v>949</v>
      </c>
      <c r="B9" s="181" t="s">
        <v>2010</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950</v>
      </c>
      <c r="B10" s="181" t="s">
        <v>2011</v>
      </c>
      <c r="C10" s="1532">
        <f>ROUND(D10*E10,0)</f>
        <v>0</v>
      </c>
      <c r="D10" s="1533">
        <f>IF('数据-取费表'!B10&lt;&gt;"住宅",IF(B1="仅计算典型户型",'数据-取费表'!E5,'数据-取费表'!B5),0)</f>
        <v>194.17</v>
      </c>
      <c r="E10" s="1532">
        <f>'数据-取费表'!E12</f>
        <v>0</v>
      </c>
      <c r="F10" s="1530"/>
      <c r="G10" s="182"/>
    </row>
    <row r="11" spans="1:7" s="175" customFormat="1" ht="13.5" hidden="1" customHeight="1">
      <c r="A11" s="176" t="s">
        <v>4</v>
      </c>
      <c r="B11" s="177" t="s">
        <v>2012</v>
      </c>
      <c r="C11" s="195"/>
      <c r="D11" s="199"/>
      <c r="E11" s="1529"/>
      <c r="F11" s="1529"/>
      <c r="G11" s="179"/>
    </row>
    <row r="12" spans="1:7" s="175" customFormat="1" ht="13.5" hidden="1" customHeight="1">
      <c r="A12" s="176" t="s">
        <v>5</v>
      </c>
      <c r="B12" s="177" t="s">
        <v>2013</v>
      </c>
      <c r="C12" s="195">
        <v>0</v>
      </c>
      <c r="D12" s="199"/>
      <c r="E12" s="1534"/>
      <c r="F12" s="1530">
        <v>3.0499999999999999E-2</v>
      </c>
      <c r="G12" s="179"/>
    </row>
    <row r="13" spans="1:7" s="175" customFormat="1" ht="13.5" hidden="1" customHeight="1">
      <c r="A13" s="176" t="s">
        <v>6</v>
      </c>
      <c r="B13" s="177" t="s">
        <v>2014</v>
      </c>
      <c r="C13" s="195"/>
      <c r="D13" s="199"/>
      <c r="E13" s="1529"/>
      <c r="F13" s="1529"/>
      <c r="G13" s="179"/>
    </row>
    <row r="14" spans="1:7" s="175" customFormat="1" ht="13.5" hidden="1" customHeight="1">
      <c r="A14" s="176" t="s">
        <v>7</v>
      </c>
      <c r="B14" s="177" t="s">
        <v>2009</v>
      </c>
      <c r="C14" s="195"/>
      <c r="D14" s="199"/>
      <c r="E14" s="1529"/>
      <c r="F14" s="1529"/>
      <c r="G14" s="179" t="s">
        <v>2015</v>
      </c>
    </row>
    <row r="15" spans="1:7" s="175" customFormat="1" ht="13.5" hidden="1" customHeight="1">
      <c r="A15" s="176" t="s">
        <v>8</v>
      </c>
      <c r="B15" s="177" t="s">
        <v>2016</v>
      </c>
      <c r="C15" s="199"/>
      <c r="D15" s="199"/>
      <c r="E15" s="1529"/>
      <c r="F15" s="1529"/>
      <c r="G15" s="179" t="s">
        <v>2017</v>
      </c>
    </row>
    <row r="16" spans="1:7" s="175" customFormat="1" ht="13.5" hidden="1" customHeight="1">
      <c r="A16" s="176" t="s">
        <v>9</v>
      </c>
      <c r="B16" s="177" t="s">
        <v>2009</v>
      </c>
      <c r="C16" s="199"/>
      <c r="D16" s="199"/>
      <c r="E16" s="1529"/>
      <c r="F16" s="1529"/>
      <c r="G16" s="179"/>
    </row>
    <row r="17" spans="1:7" s="175" customFormat="1" ht="13.5" hidden="1" customHeight="1">
      <c r="A17" s="176" t="s">
        <v>10</v>
      </c>
      <c r="B17" s="177" t="s">
        <v>2018</v>
      </c>
      <c r="C17" s="1535"/>
      <c r="D17" s="1535"/>
      <c r="E17" s="1535"/>
      <c r="F17" s="1535"/>
      <c r="G17" s="179" t="s">
        <v>2017</v>
      </c>
    </row>
    <row r="18" spans="1:7" s="175" customFormat="1" ht="13.5" hidden="1" customHeight="1">
      <c r="A18" s="176" t="s">
        <v>11</v>
      </c>
      <c r="B18" s="177" t="s">
        <v>2019</v>
      </c>
      <c r="C18" s="199">
        <v>0</v>
      </c>
      <c r="D18" s="199"/>
      <c r="E18" s="1529"/>
      <c r="F18" s="1530">
        <v>3.0499999999999999E-2</v>
      </c>
      <c r="G18" s="179" t="s">
        <v>2020</v>
      </c>
    </row>
    <row r="19" spans="1:7" s="180" customFormat="1" ht="13.5" customHeight="1">
      <c r="A19" s="204" t="s">
        <v>2021</v>
      </c>
      <c r="B19" s="173" t="s">
        <v>2022</v>
      </c>
      <c r="C19" s="195">
        <f>IF(G19="已包含在土地取得成本中","0",ROUND(D19*E19,0))</f>
        <v>38834</v>
      </c>
      <c r="D19" s="1536">
        <f>IF(B1="仅计算典型户型",'数据-取费表'!E5,'数据-取费表'!B5)</f>
        <v>194.17</v>
      </c>
      <c r="E19" s="195">
        <f>'数据-取费表'!E15</f>
        <v>200</v>
      </c>
      <c r="F19" s="196"/>
      <c r="G19" s="2327"/>
    </row>
    <row r="20" spans="1:7" s="175" customFormat="1" ht="13.5" customHeight="1">
      <c r="A20" s="204" t="s">
        <v>2023</v>
      </c>
      <c r="B20" s="173" t="s">
        <v>2024</v>
      </c>
      <c r="C20" s="183">
        <f>ROUND((C5+C19)*F20,0)</f>
        <v>21387</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105016</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0">
        <f ca="1">ROUND(IF('数据-取费表'!B23&lt;=1,C5*F22*'数据-取费表'!B24,C5*(POWER((1+F22),'数据-取费表'!B24)-1)),0)</f>
        <v>100223</v>
      </c>
      <c r="D23" s="188"/>
      <c r="E23" s="188"/>
      <c r="F23" s="189"/>
      <c r="G23" s="190" t="s">
        <v>2034</v>
      </c>
    </row>
    <row r="24" spans="1:7" s="175" customFormat="1" ht="13.5" customHeight="1">
      <c r="A24" s="176" t="s">
        <v>2006</v>
      </c>
      <c r="B24" s="177" t="s">
        <v>2035</v>
      </c>
      <c r="C24" s="1450">
        <f ca="1">ROUND(IF('数据-取费表'!B23&lt;=1,C19*F22*('数据-取费表'!B20/2+'数据-取费表'!B22),C19*(POWER((1+F22),('数据-取费表'!B20/2+'数据-取费表'!B22))-1)),0)</f>
        <v>3777</v>
      </c>
      <c r="D24" s="188"/>
      <c r="E24" s="188"/>
      <c r="F24" s="189"/>
      <c r="G24" s="190" t="s">
        <v>2036</v>
      </c>
    </row>
    <row r="25" spans="1:7" s="175" customFormat="1" ht="24">
      <c r="A25" s="176" t="s">
        <v>2008</v>
      </c>
      <c r="B25" s="177" t="s">
        <v>2037</v>
      </c>
      <c r="C25" s="1450">
        <f ca="1">ROUND(IF('数据-取费表'!B23&lt;=1,C20*F22*'数据-取费表'!B24/2,C20*(POWER((1+F22),'数据-取费表'!B24/2)-1)),0)</f>
        <v>1016</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0" t="s">
        <v>2041</v>
      </c>
      <c r="B27" s="194" t="s">
        <v>2042</v>
      </c>
      <c r="C27" s="195">
        <f>C28</f>
        <v>163608</v>
      </c>
      <c r="D27" s="185">
        <f>C29</f>
        <v>3.0000000000000001E-3</v>
      </c>
      <c r="E27" s="186" t="s">
        <v>2028</v>
      </c>
      <c r="F27" s="196">
        <f>'数据-取费表'!E28</f>
        <v>0.15</v>
      </c>
      <c r="G27" s="197" t="s">
        <v>2043</v>
      </c>
    </row>
    <row r="28" spans="1:7" s="175" customFormat="1" ht="13.5" customHeight="1">
      <c r="A28" s="176" t="s">
        <v>2032</v>
      </c>
      <c r="B28" s="198" t="s">
        <v>2044</v>
      </c>
      <c r="C28" s="199">
        <f>ROUND((C5+C19+C20)*F27*'数据-取费表'!B22/'数据-取费表'!B21,0)</f>
        <v>163608</v>
      </c>
      <c r="D28" s="185"/>
      <c r="E28" s="186"/>
      <c r="F28" s="196"/>
      <c r="G28" s="197"/>
    </row>
    <row r="29" spans="1:7" s="175" customFormat="1" ht="13.5" customHeight="1">
      <c r="A29" s="176" t="s">
        <v>2006</v>
      </c>
      <c r="B29" s="198" t="s">
        <v>2045</v>
      </c>
      <c r="C29" s="188">
        <f>ROUND(C21*F27*'数据-取费表'!B22/'数据-取费表'!B21,4)</f>
        <v>3.0000000000000001E-3</v>
      </c>
      <c r="D29" s="185"/>
      <c r="E29" s="186"/>
      <c r="F29" s="196"/>
      <c r="G29" s="197"/>
    </row>
    <row r="30" spans="1:7" s="175" customFormat="1" ht="13.5" customHeight="1">
      <c r="A30" s="1300"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1473225</v>
      </c>
      <c r="D31" s="1536"/>
      <c r="E31" s="195"/>
      <c r="F31" s="1537"/>
      <c r="G31" s="184" t="s">
        <v>2050</v>
      </c>
    </row>
    <row r="32" spans="1:7" s="172" customFormat="1" ht="15.75">
      <c r="A32" s="201" t="s">
        <v>2051</v>
      </c>
      <c r="B32" s="202"/>
      <c r="C32" s="1538"/>
      <c r="D32" s="1538"/>
      <c r="E32" s="1538"/>
      <c r="F32" s="1538"/>
      <c r="G32" s="203"/>
    </row>
    <row r="33" spans="1:7" s="175" customFormat="1" ht="13.5" customHeight="1">
      <c r="A33" s="204" t="s">
        <v>2052</v>
      </c>
      <c r="B33" s="173" t="s">
        <v>2053</v>
      </c>
      <c r="C33" s="205">
        <f>SUM(C34:C38)</f>
        <v>714836</v>
      </c>
      <c r="D33" s="183"/>
      <c r="E33" s="1527"/>
      <c r="F33" s="191"/>
      <c r="G33" s="184"/>
    </row>
    <row r="34" spans="1:7" s="206" customFormat="1" ht="13.5" customHeight="1">
      <c r="A34" s="176" t="s">
        <v>2032</v>
      </c>
      <c r="B34" s="177" t="s">
        <v>2054</v>
      </c>
      <c r="C34" s="199">
        <f>IF(B1="仅计算典型户型",'数据-取费表'!F18,'数据-取费表'!E18)</f>
        <v>640761</v>
      </c>
      <c r="D34" s="1528"/>
      <c r="E34" s="199"/>
      <c r="F34" s="1539" t="str">
        <f>IF('数据-取费表'!B25=0,"",'数据-取费表'!E20)</f>
        <v/>
      </c>
      <c r="G34" s="179"/>
    </row>
    <row r="35" spans="1:7" ht="13.5" customHeight="1">
      <c r="A35" s="176" t="s">
        <v>2006</v>
      </c>
      <c r="B35" s="177" t="s">
        <v>2055</v>
      </c>
      <c r="C35" s="199">
        <f>ROUND(C34*F35,0)</f>
        <v>25630</v>
      </c>
      <c r="D35" s="199"/>
      <c r="E35" s="199"/>
      <c r="F35" s="1540">
        <f>'数据-取费表'!E21</f>
        <v>0.04</v>
      </c>
      <c r="G35" s="179" t="s">
        <v>2056</v>
      </c>
    </row>
    <row r="36" spans="1:7" ht="24">
      <c r="A36" s="176" t="s">
        <v>2008</v>
      </c>
      <c r="B36" s="177" t="s">
        <v>2057</v>
      </c>
      <c r="C36" s="199">
        <f>ROUND(IF('数据-取费表'!B10="住宅",C34*F36,0),0)</f>
        <v>0</v>
      </c>
      <c r="D36" s="199"/>
      <c r="E36" s="199"/>
      <c r="F36" s="1540">
        <f>'数据-取费表'!E22</f>
        <v>0</v>
      </c>
      <c r="G36" s="207" t="s">
        <v>2058</v>
      </c>
    </row>
    <row r="37" spans="1:7" s="206" customFormat="1" ht="13.5" customHeight="1">
      <c r="A37" s="176" t="s">
        <v>2039</v>
      </c>
      <c r="B37" s="177" t="s">
        <v>2059</v>
      </c>
      <c r="C37" s="199">
        <f>ROUND(E37*D37,0)</f>
        <v>38834</v>
      </c>
      <c r="D37" s="1528">
        <f>IF(B1="仅计算典型户型",'数据-取费表'!E5,'数据-取费表'!B5)</f>
        <v>194.17</v>
      </c>
      <c r="E37" s="199">
        <f>'数据-取费表'!E23</f>
        <v>200</v>
      </c>
      <c r="F37" s="1540"/>
      <c r="G37" s="208" t="s">
        <v>2060</v>
      </c>
    </row>
    <row r="38" spans="1:7" ht="13.5" customHeight="1">
      <c r="A38" s="176" t="s">
        <v>2061</v>
      </c>
      <c r="B38" s="177" t="s">
        <v>2062</v>
      </c>
      <c r="C38" s="199">
        <f>ROUND(C34*F38,0)</f>
        <v>9611</v>
      </c>
      <c r="D38" s="199"/>
      <c r="E38" s="199"/>
      <c r="F38" s="1540">
        <f>'数据-取费表'!E24</f>
        <v>1.4999999999999999E-2</v>
      </c>
      <c r="G38" s="179" t="s">
        <v>2056</v>
      </c>
    </row>
    <row r="39" spans="1:7" s="175" customFormat="1" ht="13.5" customHeight="1">
      <c r="A39" s="204" t="s">
        <v>2021</v>
      </c>
      <c r="B39" s="173" t="s">
        <v>2024</v>
      </c>
      <c r="C39" s="183">
        <f>ROUND(C33*F20,0)</f>
        <v>14297</v>
      </c>
      <c r="D39" s="183"/>
      <c r="E39" s="183"/>
      <c r="F39" s="187"/>
      <c r="G39" s="184" t="s">
        <v>2063</v>
      </c>
    </row>
    <row r="40" spans="1:7" s="175" customFormat="1" ht="13.5" customHeight="1">
      <c r="A40" s="204" t="s">
        <v>2023</v>
      </c>
      <c r="B40" s="173" t="s">
        <v>2027</v>
      </c>
      <c r="C40" s="1814">
        <f>F21</f>
        <v>0.02</v>
      </c>
      <c r="D40" s="186" t="s">
        <v>2064</v>
      </c>
      <c r="E40" s="183"/>
      <c r="F40" s="187"/>
      <c r="G40" s="184" t="s">
        <v>2065</v>
      </c>
    </row>
    <row r="41" spans="1:7" s="175" customFormat="1" ht="13.5" customHeight="1">
      <c r="A41" s="204" t="s">
        <v>2026</v>
      </c>
      <c r="B41" s="173" t="s">
        <v>2031</v>
      </c>
      <c r="C41" s="183">
        <f ca="1">ROUND(SUM(C42:C43),0)</f>
        <v>34634</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33955</v>
      </c>
      <c r="D42" s="188"/>
      <c r="E42" s="188"/>
      <c r="F42" s="189"/>
      <c r="G42" s="2996" t="s">
        <v>2066</v>
      </c>
    </row>
    <row r="43" spans="1:7" ht="13.5" customHeight="1">
      <c r="A43" s="176" t="s">
        <v>2006</v>
      </c>
      <c r="B43" s="177" t="s">
        <v>2035</v>
      </c>
      <c r="C43" s="188">
        <f ca="1">ROUND(IF('数据-取费表'!B23&lt;=1,C39*F22*'数据-取费表'!B22/2,C39*(POWER((1+F22),'数据-取费表'!B22/2)-1)),0)</f>
        <v>679</v>
      </c>
      <c r="D43" s="188"/>
      <c r="E43" s="188"/>
      <c r="F43" s="189"/>
      <c r="G43" s="2997"/>
    </row>
    <row r="44" spans="1:7" ht="13.5" customHeight="1">
      <c r="A44" s="176" t="s">
        <v>2008</v>
      </c>
      <c r="B44" s="177" t="s">
        <v>2037</v>
      </c>
      <c r="C44" s="188">
        <f ca="1">ROUND(IF('数据-取费表'!B23&lt;=1,C40*F22*'数据-取费表'!B22/2,C40*(POWER((1+F22),'数据-取费表'!B22/2)-1)),4)</f>
        <v>1E-3</v>
      </c>
      <c r="D44" s="188"/>
      <c r="E44" s="188"/>
      <c r="F44" s="189"/>
      <c r="G44" s="2998"/>
    </row>
    <row r="45" spans="1:7" s="175" customFormat="1" ht="13.5" customHeight="1">
      <c r="A45" s="204" t="s">
        <v>2030</v>
      </c>
      <c r="B45" s="194" t="s">
        <v>2042</v>
      </c>
      <c r="C45" s="195">
        <f>C46</f>
        <v>109370</v>
      </c>
      <c r="D45" s="185">
        <f>C47</f>
        <v>3.0000000000000001E-3</v>
      </c>
      <c r="E45" s="186" t="s">
        <v>2064</v>
      </c>
      <c r="F45" s="196"/>
      <c r="G45" s="197" t="s">
        <v>2067</v>
      </c>
    </row>
    <row r="46" spans="1:7" s="175" customFormat="1" ht="13.5" customHeight="1">
      <c r="A46" s="176" t="s">
        <v>2032</v>
      </c>
      <c r="B46" s="198" t="s">
        <v>2068</v>
      </c>
      <c r="C46" s="199">
        <f>ROUND((C33+C39)*F27,0)</f>
        <v>109370</v>
      </c>
      <c r="D46" s="209"/>
      <c r="E46" s="186"/>
      <c r="F46" s="196"/>
      <c r="G46" s="197"/>
    </row>
    <row r="47" spans="1:7" s="175" customFormat="1" ht="13.5" customHeight="1">
      <c r="A47" s="176" t="s">
        <v>2006</v>
      </c>
      <c r="B47" s="198" t="s">
        <v>2069</v>
      </c>
      <c r="C47" s="188">
        <f>ROUND(C40*F27,4)</f>
        <v>3.0000000000000001E-3</v>
      </c>
      <c r="D47" s="209"/>
      <c r="E47" s="186"/>
      <c r="F47" s="196"/>
      <c r="G47" s="197"/>
    </row>
    <row r="48" spans="1:7" s="175" customFormat="1" ht="13.5" customHeight="1">
      <c r="A48" s="1300" t="s">
        <v>2041</v>
      </c>
      <c r="B48" s="173" t="s">
        <v>2070</v>
      </c>
      <c r="C48" s="1814">
        <f>ROUND(F30/(1+'数据-取费表'!F30),4)</f>
        <v>5.33E-2</v>
      </c>
      <c r="D48" s="186" t="s">
        <v>2064</v>
      </c>
      <c r="E48" s="183"/>
      <c r="F48" s="187"/>
      <c r="G48" s="184" t="s">
        <v>2071</v>
      </c>
    </row>
    <row r="49" spans="1:7" ht="16.5" customHeight="1">
      <c r="A49" s="1300" t="s">
        <v>2072</v>
      </c>
      <c r="B49" s="173" t="s">
        <v>2073</v>
      </c>
      <c r="C49" s="183">
        <f ca="1">ROUND((C33+C39+C41+C45)/(1-C40-D41-D45-C48),0)</f>
        <v>946285</v>
      </c>
      <c r="D49" s="183"/>
      <c r="E49" s="183"/>
      <c r="F49" s="210"/>
      <c r="G49" s="184" t="s">
        <v>2074</v>
      </c>
    </row>
    <row r="50" spans="1:7" s="206" customFormat="1" ht="24">
      <c r="A50" s="1300" t="s">
        <v>2075</v>
      </c>
      <c r="B50" s="173" t="s">
        <v>2076</v>
      </c>
      <c r="C50" s="183"/>
      <c r="D50" s="183"/>
      <c r="E50" s="183"/>
      <c r="F50" s="210">
        <f>IF('数据-取费表'!B25=0,'数据-取费表'!E20,1)</f>
        <v>0.72</v>
      </c>
      <c r="G50" s="197" t="s">
        <v>2077</v>
      </c>
    </row>
    <row r="51" spans="1:7" ht="16.5" customHeight="1">
      <c r="A51" s="1300" t="s">
        <v>2078</v>
      </c>
      <c r="B51" s="173" t="s">
        <v>2079</v>
      </c>
      <c r="C51" s="183">
        <f ca="1">ROUND(C49*F50,0)</f>
        <v>681325</v>
      </c>
      <c r="D51" s="183"/>
      <c r="E51" s="183"/>
      <c r="F51" s="210"/>
      <c r="G51" s="184" t="s">
        <v>2080</v>
      </c>
    </row>
    <row r="52" spans="1:7" s="172" customFormat="1" ht="16.5" thickBot="1">
      <c r="A52" s="211" t="s">
        <v>2081</v>
      </c>
      <c r="B52" s="212"/>
      <c r="C52" s="213">
        <f ca="1">C31+C51</f>
        <v>2154550</v>
      </c>
      <c r="D52" s="212"/>
      <c r="E52" s="212"/>
      <c r="F52" s="212"/>
      <c r="G52" s="214"/>
    </row>
    <row r="55" spans="1:7" ht="15">
      <c r="B55" s="216" t="s">
        <v>2082</v>
      </c>
      <c r="C55" s="217"/>
    </row>
    <row r="56" spans="1:7">
      <c r="B56" s="219" t="s">
        <v>2083</v>
      </c>
      <c r="C56" s="220">
        <f ca="1">ROUND(C51/C52,3)</f>
        <v>0.316</v>
      </c>
    </row>
    <row r="57" spans="1:7">
      <c r="B57" s="219" t="s">
        <v>2084</v>
      </c>
      <c r="C57" s="221">
        <f ca="1">1-C56</f>
        <v>0.68399999999999994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4718630</v>
      </c>
      <c r="C2" s="1963" t="str">
        <f>'数据-取费表'!B3</f>
        <v>元</v>
      </c>
      <c r="D2" s="1206"/>
      <c r="E2" s="1206"/>
      <c r="F2" s="1206"/>
      <c r="G2" s="1206"/>
      <c r="H2" s="1206"/>
      <c r="I2" s="1206"/>
      <c r="J2" s="1206"/>
      <c r="K2" s="1206"/>
    </row>
    <row r="3" spans="1:33" s="223" customFormat="1" ht="18" customHeight="1" thickBot="1">
      <c r="A3" s="167" t="s">
        <v>1297</v>
      </c>
      <c r="B3" s="168">
        <f ca="1">ROUND(C32/IF(C1="仅计算典型户型",'数据-取费表'!E5,'数据-取费表'!B5),0)</f>
        <v>24302</v>
      </c>
      <c r="C3" s="1963" t="s">
        <v>1298</v>
      </c>
      <c r="D3" s="1206"/>
      <c r="E3" s="1206"/>
      <c r="F3" s="1206"/>
      <c r="G3" s="1206"/>
      <c r="H3" s="1206"/>
      <c r="I3" s="1206"/>
      <c r="J3" s="1206"/>
      <c r="K3" s="1206"/>
    </row>
    <row r="4" spans="1:33" s="227" customFormat="1" ht="16.5" customHeight="1">
      <c r="A4" s="224" t="s">
        <v>1299</v>
      </c>
      <c r="B4" s="225"/>
      <c r="C4" s="1446">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6795950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640761</v>
      </c>
      <c r="D11" s="248"/>
      <c r="E11" s="70"/>
      <c r="F11" s="249">
        <f>1-'数据-取费表'!E20</f>
        <v>0.28000000000000003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25630</v>
      </c>
      <c r="D12" s="248"/>
      <c r="E12" s="70"/>
      <c r="F12" s="251">
        <f>'数据-取费表'!E21</f>
        <v>0.04</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10874</v>
      </c>
      <c r="D14" s="248">
        <f>IF(C1="仅计算典型户型",'数据-取费表'!E5,'数据-取费表'!B5)</f>
        <v>194.17</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9611</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686876</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194.17</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686876</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13738</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38057</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110801</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110801</v>
      </c>
      <c r="D30" s="277"/>
      <c r="E30" s="290"/>
      <c r="F30" s="287"/>
      <c r="G30" s="231"/>
      <c r="H30" s="254"/>
      <c r="I30" s="254"/>
      <c r="J30" s="254"/>
      <c r="K30" s="255"/>
    </row>
    <row r="31" spans="1:33" s="266" customFormat="1" ht="13.5" customHeight="1" thickBot="1">
      <c r="A31" s="1965" t="s">
        <v>1355</v>
      </c>
      <c r="B31" s="261" t="s">
        <v>1356</v>
      </c>
      <c r="C31" s="291">
        <f>ROUND(C4*F31/(1+'数据-取费表'!F30),0)</f>
        <v>362451</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4718630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103" zoomScaleNormal="100" zoomScaleSheetLayoutView="100" zoomScalePageLayoutView="80" workbookViewId="0">
      <selection activeCell="F25" sqref="F25"/>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1762</v>
      </c>
      <c r="B1" s="2187"/>
      <c r="C1" s="2187"/>
      <c r="D1" s="2187"/>
      <c r="E1" s="2187"/>
      <c r="F1" s="2187"/>
      <c r="G1" s="2187"/>
      <c r="H1" s="2187"/>
      <c r="I1" s="2187"/>
    </row>
    <row r="2" spans="1:12" ht="21.75" customHeight="1">
      <c r="A2" s="3000" t="str">
        <f>项目基本情况!B1</f>
        <v>北京市房地产抵押价值预评估</v>
      </c>
      <c r="B2" s="3000"/>
      <c r="C2" s="3000"/>
      <c r="D2" s="3000"/>
      <c r="E2" s="3000"/>
      <c r="F2" s="3000"/>
      <c r="G2" s="3000"/>
      <c r="H2" s="3000"/>
      <c r="I2" s="3000"/>
    </row>
    <row r="3" spans="1:12" ht="12.75">
      <c r="A3" s="2974" t="s">
        <v>1763</v>
      </c>
      <c r="B3" s="2975"/>
      <c r="C3" s="2975"/>
      <c r="D3" s="2975"/>
      <c r="E3" s="2975"/>
      <c r="F3" s="2975"/>
      <c r="G3" s="2975"/>
      <c r="H3" s="2975"/>
      <c r="I3" s="2975"/>
    </row>
    <row r="4" spans="1:12" ht="14.25">
      <c r="A4" s="2189" t="s">
        <v>1764</v>
      </c>
      <c r="B4" s="2190" t="s">
        <v>1765</v>
      </c>
      <c r="C4" s="2191" t="s">
        <v>2916</v>
      </c>
      <c r="D4" s="2191" t="s">
        <v>2917</v>
      </c>
      <c r="E4" s="2961" t="s">
        <v>1766</v>
      </c>
      <c r="F4" s="2970"/>
      <c r="G4" s="2970"/>
      <c r="H4" s="2970"/>
      <c r="I4" s="2962"/>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76" t="s">
        <v>1767</v>
      </c>
      <c r="B5" s="2875">
        <v>25</v>
      </c>
      <c r="C5" s="2977"/>
      <c r="D5" s="2980"/>
      <c r="E5" s="56" t="s">
        <v>1768</v>
      </c>
      <c r="F5" s="2192"/>
      <c r="G5" s="2192"/>
      <c r="H5" s="2192"/>
      <c r="I5" s="2193"/>
    </row>
    <row r="6" spans="1:12" ht="12.75">
      <c r="A6" s="2976"/>
      <c r="B6" s="2875"/>
      <c r="C6" s="2978"/>
      <c r="D6" s="2980"/>
      <c r="E6" s="56" t="s">
        <v>1769</v>
      </c>
      <c r="F6" s="2192"/>
      <c r="G6" s="2192"/>
      <c r="H6" s="2192"/>
      <c r="I6" s="2193"/>
    </row>
    <row r="7" spans="1:12" ht="12.75">
      <c r="A7" s="2976"/>
      <c r="B7" s="2875"/>
      <c r="C7" s="2979"/>
      <c r="D7" s="2980"/>
      <c r="E7" s="56" t="s">
        <v>1770</v>
      </c>
      <c r="F7" s="2192"/>
      <c r="G7" s="2192"/>
      <c r="H7" s="2192"/>
      <c r="I7" s="2193"/>
    </row>
    <row r="8" spans="1:12" ht="12.75">
      <c r="A8" s="2976" t="s">
        <v>1771</v>
      </c>
      <c r="B8" s="2875">
        <v>15</v>
      </c>
      <c r="C8" s="2977"/>
      <c r="D8" s="2980"/>
      <c r="E8" s="56" t="s">
        <v>1772</v>
      </c>
      <c r="F8" s="2192"/>
      <c r="G8" s="2192"/>
      <c r="H8" s="2192"/>
      <c r="I8" s="2193"/>
    </row>
    <row r="9" spans="1:12" ht="12.75">
      <c r="A9" s="2976"/>
      <c r="B9" s="2875"/>
      <c r="C9" s="2979"/>
      <c r="D9" s="2980"/>
      <c r="E9" s="56" t="s">
        <v>1773</v>
      </c>
      <c r="F9" s="2192"/>
      <c r="G9" s="2192"/>
      <c r="H9" s="2192"/>
      <c r="I9" s="2193"/>
    </row>
    <row r="10" spans="1:12" ht="12.75">
      <c r="A10" s="2976" t="s">
        <v>1774</v>
      </c>
      <c r="B10" s="2875">
        <v>15</v>
      </c>
      <c r="C10" s="2977"/>
      <c r="D10" s="2980"/>
      <c r="E10" s="56" t="s">
        <v>1775</v>
      </c>
      <c r="F10" s="2192"/>
      <c r="G10" s="2192"/>
      <c r="H10" s="2192"/>
      <c r="I10" s="2193"/>
    </row>
    <row r="11" spans="1:12" ht="12.75">
      <c r="A11" s="2976"/>
      <c r="B11" s="2875"/>
      <c r="C11" s="2979"/>
      <c r="D11" s="2980"/>
      <c r="E11" s="56" t="s">
        <v>1776</v>
      </c>
      <c r="F11" s="2192"/>
      <c r="G11" s="2192"/>
      <c r="H11" s="2192"/>
      <c r="I11" s="2193"/>
    </row>
    <row r="12" spans="1:12" ht="12.75">
      <c r="A12" s="2976" t="s">
        <v>1777</v>
      </c>
      <c r="B12" s="2875">
        <v>15</v>
      </c>
      <c r="C12" s="2977"/>
      <c r="D12" s="2980"/>
      <c r="E12" s="56" t="s">
        <v>1778</v>
      </c>
      <c r="F12" s="2192"/>
      <c r="G12" s="2192"/>
      <c r="H12" s="2192"/>
      <c r="I12" s="2193"/>
    </row>
    <row r="13" spans="1:12" ht="12.75">
      <c r="A13" s="2976"/>
      <c r="B13" s="2875"/>
      <c r="C13" s="2979"/>
      <c r="D13" s="2980"/>
      <c r="E13" s="56" t="s">
        <v>1779</v>
      </c>
      <c r="F13" s="2192"/>
      <c r="G13" s="2192"/>
      <c r="H13" s="2192"/>
      <c r="I13" s="2193"/>
    </row>
    <row r="14" spans="1:12" ht="12.75">
      <c r="A14" s="2976" t="s">
        <v>1780</v>
      </c>
      <c r="B14" s="2875">
        <v>30</v>
      </c>
      <c r="C14" s="2977">
        <v>3</v>
      </c>
      <c r="D14" s="2980">
        <v>7</v>
      </c>
      <c r="E14" s="56" t="s">
        <v>1781</v>
      </c>
      <c r="F14" s="2192"/>
      <c r="G14" s="2192"/>
      <c r="H14" s="2192"/>
      <c r="I14" s="2193"/>
    </row>
    <row r="15" spans="1:12" ht="12.75">
      <c r="A15" s="2976"/>
      <c r="B15" s="2875"/>
      <c r="C15" s="2978"/>
      <c r="D15" s="2980"/>
      <c r="E15" s="56" t="s">
        <v>1782</v>
      </c>
      <c r="F15" s="2192"/>
      <c r="G15" s="2192"/>
      <c r="H15" s="2192"/>
      <c r="I15" s="2193"/>
    </row>
    <row r="16" spans="1:12" ht="12.75">
      <c r="A16" s="2976"/>
      <c r="B16" s="2875"/>
      <c r="C16" s="2979"/>
      <c r="D16" s="2980"/>
      <c r="E16" s="56" t="s">
        <v>1783</v>
      </c>
      <c r="F16" s="2192"/>
      <c r="G16" s="2192"/>
      <c r="H16" s="2192"/>
      <c r="I16" s="2193"/>
    </row>
    <row r="17" spans="1:35" ht="15">
      <c r="A17" s="2194" t="s">
        <v>1784</v>
      </c>
      <c r="B17" s="2195"/>
      <c r="C17" s="57">
        <f>SUM(C5:C16)</f>
        <v>3</v>
      </c>
      <c r="D17" s="57">
        <f>SUM(D5:D16)</f>
        <v>7</v>
      </c>
      <c r="E17" s="2187"/>
      <c r="F17" s="2187"/>
      <c r="G17" s="2187"/>
      <c r="H17" s="2187"/>
      <c r="I17" s="2187"/>
    </row>
    <row r="18" spans="1:35" ht="15.75" thickBot="1">
      <c r="A18" s="2196" t="s">
        <v>1785</v>
      </c>
      <c r="B18" s="2197"/>
      <c r="C18" s="58">
        <f>ROUND(C17/SUM(C17:D17),2)</f>
        <v>0.3</v>
      </c>
      <c r="D18" s="58">
        <f>1-C18</f>
        <v>0.7</v>
      </c>
      <c r="E18" s="2187"/>
      <c r="F18" s="2187"/>
      <c r="G18" s="2187"/>
      <c r="H18" s="2187"/>
      <c r="I18" s="2187"/>
    </row>
    <row r="19" spans="1:35" ht="15">
      <c r="A19" s="2198" t="s">
        <v>1786</v>
      </c>
      <c r="B19" s="2199" t="s">
        <v>1787</v>
      </c>
      <c r="C19" s="59">
        <f ca="1">SUMIF(INDIRECT("'"&amp;C4&amp;"'"&amp;"!A:A"),结果表!B19,INDIRECT("'"&amp;C4&amp;"'"&amp;"!B:B"))</f>
        <v>6532553</v>
      </c>
      <c r="D19" s="60">
        <f ca="1">SUMIF(INDIRECT("'"&amp;D4&amp;"'"&amp;"!A:A"),结果表!B19,INDIRECT("'"&amp;D4&amp;"'"&amp;"!B:B"))</f>
        <v>8342708</v>
      </c>
      <c r="E19" s="2198" t="s">
        <v>1788</v>
      </c>
      <c r="F19" s="2199" t="s">
        <v>1787</v>
      </c>
      <c r="G19" s="61">
        <f ca="1">ROUND(C19*$C$18+D19*$D$18,0)</f>
        <v>7799662</v>
      </c>
      <c r="H19" s="2200" t="str">
        <f>'数据-取费表'!B3</f>
        <v>元</v>
      </c>
      <c r="I19" s="2187"/>
      <c r="J19" s="797">
        <v>40183</v>
      </c>
    </row>
    <row r="20" spans="1:35" ht="15">
      <c r="A20" s="2201"/>
      <c r="B20" s="2202" t="s">
        <v>1789</v>
      </c>
      <c r="C20" s="62">
        <f ca="1">SUMIF(INDIRECT("'"&amp;C4&amp;"'"&amp;"!A:A"),结果表!B20,INDIRECT("'"&amp;C4&amp;"'"&amp;"!B:B"))</f>
        <v>33643</v>
      </c>
      <c r="D20" s="63">
        <f ca="1">SUMIF(INDIRECT("'"&amp;D4&amp;"'"&amp;"!A:A"),结果表!B20,INDIRECT("'"&amp;D4&amp;"'"&amp;"!B:B"))</f>
        <v>42966</v>
      </c>
      <c r="E20" s="2201"/>
      <c r="F20" s="2202" t="s">
        <v>1789</v>
      </c>
      <c r="G20" s="64">
        <f ca="1">ROUND(C20*$C$18+D20*$D$18,0)</f>
        <v>40169</v>
      </c>
      <c r="H20" s="2203" t="s">
        <v>1790</v>
      </c>
      <c r="I20" s="2187"/>
    </row>
    <row r="21" spans="1:35" ht="15" customHeight="1" thickBot="1">
      <c r="A21" s="2204"/>
      <c r="B21" s="2205"/>
      <c r="C21" s="769"/>
      <c r="D21" s="770"/>
      <c r="E21" s="2204"/>
      <c r="F21" s="2205"/>
      <c r="G21" s="65"/>
      <c r="H21" s="2206"/>
      <c r="I21" s="2187"/>
    </row>
    <row r="22" spans="1:35" ht="15" thickBot="1">
      <c r="A22" s="2207" t="s">
        <v>1791</v>
      </c>
      <c r="B22" s="2208"/>
      <c r="C22" s="2209"/>
      <c r="D22" s="771">
        <f ca="1">IF(C19&lt;D19,D19/C19-1,C19/D19-1)</f>
        <v>0.27709763701878876</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1792</v>
      </c>
      <c r="B24" s="2199" t="s">
        <v>1787</v>
      </c>
      <c r="C24" s="61">
        <f>D30</f>
        <v>0</v>
      </c>
      <c r="D24" s="989"/>
      <c r="E24" s="2187"/>
      <c r="F24" s="2187"/>
      <c r="G24" s="2187"/>
      <c r="H24" s="2187"/>
      <c r="I24" s="2187"/>
    </row>
    <row r="25" spans="1:35" ht="21.75" customHeight="1">
      <c r="A25" s="2982"/>
      <c r="B25" s="2202" t="s">
        <v>1789</v>
      </c>
      <c r="C25" s="66">
        <f>IF(B30=0,0,C30)</f>
        <v>0</v>
      </c>
      <c r="D25" s="2210"/>
      <c r="E25" s="2187"/>
      <c r="F25" s="2187"/>
      <c r="G25" s="2187"/>
      <c r="H25" s="2187"/>
      <c r="I25" s="2187"/>
    </row>
    <row r="26" spans="1:35" ht="13.5" customHeight="1">
      <c r="A26" s="2211" t="s">
        <v>1793</v>
      </c>
      <c r="B26" s="67" t="s">
        <v>1794</v>
      </c>
      <c r="C26" s="67" t="s">
        <v>1795</v>
      </c>
      <c r="D26" s="68" t="s">
        <v>1796</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1797</v>
      </c>
      <c r="B30" s="67"/>
      <c r="C30" s="67"/>
      <c r="D30" s="67"/>
      <c r="E30" s="2695" t="s">
        <v>2792</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1798</v>
      </c>
      <c r="B32" s="2216" t="str">
        <f>'数据-取费表'!B4</f>
        <v>楼面单价</v>
      </c>
      <c r="C32" s="1140">
        <f ca="1">IF(B32="总价",G19-C24,G20-C25)</f>
        <v>40169</v>
      </c>
      <c r="D32" s="2187" t="str">
        <f>IF(B32="楼面单价","元/平方米",H19)</f>
        <v>元/平方米</v>
      </c>
      <c r="E32" s="2187"/>
      <c r="F32" s="2187"/>
      <c r="G32" s="2187"/>
      <c r="H32" s="2187"/>
      <c r="I32" s="2187"/>
    </row>
    <row r="33" spans="1:16" ht="15">
      <c r="A33" s="2217" t="s">
        <v>1799</v>
      </c>
      <c r="B33" s="2218"/>
      <c r="C33" s="2219"/>
      <c r="D33" s="2220"/>
      <c r="E33" s="2221" t="s">
        <v>1800</v>
      </c>
      <c r="F33" s="2222" t="str">
        <f>IF(B32="楼面单价","取值（单价）","取值（总价）")</f>
        <v>取值（单价）</v>
      </c>
      <c r="G33" s="2187"/>
      <c r="H33" s="2187"/>
      <c r="I33" s="2187"/>
    </row>
    <row r="34" spans="1:16" ht="15">
      <c r="A34" s="2223"/>
      <c r="B34" s="2224" t="s">
        <v>1801</v>
      </c>
      <c r="C34" s="72">
        <f ca="1">IF(D33="自定义",F34,C32-C35)</f>
        <v>35991</v>
      </c>
      <c r="D34" s="1086">
        <f ca="1">IF(D33="自定义",ROUND(C34/C32,3),1-D35)</f>
        <v>0.89600000000000002</v>
      </c>
      <c r="E34" s="2225" t="s">
        <v>1802</v>
      </c>
      <c r="F34" s="1823">
        <v>2000</v>
      </c>
      <c r="G34" s="2187"/>
      <c r="H34" s="2187"/>
      <c r="I34" s="2187"/>
    </row>
    <row r="35" spans="1:16" ht="15.75" thickBot="1">
      <c r="A35" s="2226"/>
      <c r="B35" s="2227" t="s">
        <v>1803</v>
      </c>
      <c r="C35" s="73">
        <f ca="1">IF(D33="自定义",F35,ROUND(C32*D35,0))</f>
        <v>4178</v>
      </c>
      <c r="D35" s="1085">
        <f ca="1">IF(D33="自定义",ROUND(C35/C32,3),IF(D33="成本法成本比率",成本法!C56,IF(D33="收益法收益比率",收益法!J38,收益法!J41)))</f>
        <v>0.104</v>
      </c>
      <c r="E35" s="2228" t="s">
        <v>1804</v>
      </c>
      <c r="F35" s="79">
        <v>4460</v>
      </c>
      <c r="G35" s="2187"/>
      <c r="H35" s="2187"/>
      <c r="I35" s="2187"/>
    </row>
    <row r="36" spans="1:16" ht="15.75" thickBot="1">
      <c r="A36" s="2983" t="s">
        <v>1805</v>
      </c>
      <c r="B36" s="2229" t="s">
        <v>1806</v>
      </c>
      <c r="C36" s="69">
        <v>0</v>
      </c>
      <c r="D36" s="2230"/>
      <c r="E36" s="2231"/>
      <c r="F36" s="2231"/>
      <c r="G36" s="2187"/>
      <c r="H36" s="2187"/>
      <c r="I36" s="2187"/>
    </row>
    <row r="37" spans="1:16" ht="15.75" thickBot="1">
      <c r="A37" s="2984"/>
      <c r="B37" s="2232" t="s">
        <v>1807</v>
      </c>
      <c r="C37" s="71">
        <v>0</v>
      </c>
      <c r="D37" s="2197"/>
      <c r="E37" s="2197"/>
      <c r="F37" s="2231"/>
      <c r="G37" s="2197"/>
      <c r="H37" s="2197"/>
      <c r="I37" s="2197"/>
    </row>
    <row r="38" spans="1:16" ht="15.75" thickBot="1">
      <c r="A38" s="2985"/>
      <c r="B38" s="2233" t="s">
        <v>1808</v>
      </c>
      <c r="C38" s="711">
        <v>0</v>
      </c>
      <c r="D38" s="2234" t="s">
        <v>1809</v>
      </c>
      <c r="E38" s="2197"/>
      <c r="F38" s="2231"/>
      <c r="G38" s="2197"/>
      <c r="H38" s="2197"/>
      <c r="I38" s="2197"/>
    </row>
    <row r="39" spans="1:16" ht="15">
      <c r="A39" s="2201" t="s">
        <v>1810</v>
      </c>
      <c r="B39" s="2235" t="s">
        <v>1794</v>
      </c>
      <c r="C39" s="2236" t="s">
        <v>1795</v>
      </c>
      <c r="D39" s="2236" t="s">
        <v>1811</v>
      </c>
      <c r="E39" s="2237" t="s">
        <v>1796</v>
      </c>
      <c r="F39" s="2231"/>
      <c r="G39" s="2197"/>
      <c r="H39" s="2197"/>
      <c r="I39" s="2197"/>
    </row>
    <row r="40" spans="1:16" ht="14.25">
      <c r="A40" s="2238" t="s">
        <v>1812</v>
      </c>
      <c r="B40" s="74"/>
      <c r="C40" s="75"/>
      <c r="D40" s="75"/>
      <c r="E40" s="76"/>
      <c r="F40" s="2231"/>
      <c r="G40" s="2197"/>
      <c r="H40" s="2197"/>
      <c r="I40" s="2197"/>
    </row>
    <row r="41" spans="1:16" ht="14.25">
      <c r="A41" s="2238" t="s">
        <v>1813</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1814</v>
      </c>
      <c r="B44" s="2244"/>
      <c r="C44" s="2244"/>
      <c r="D44" s="2245"/>
      <c r="E44" s="2245"/>
      <c r="F44" s="2246"/>
      <c r="G44" s="2246"/>
      <c r="H44" s="2246"/>
      <c r="I44" s="2246"/>
      <c r="J44" s="2247" t="s">
        <v>1815</v>
      </c>
      <c r="K44" s="2248"/>
      <c r="L44" s="2248"/>
      <c r="M44" s="2248"/>
      <c r="N44" s="2248"/>
      <c r="O44" s="2248"/>
      <c r="P44" s="1840"/>
    </row>
    <row r="45" spans="1:16" ht="14.25" customHeight="1" thickBot="1">
      <c r="A45" s="2987" t="s">
        <v>1816</v>
      </c>
      <c r="B45" s="2988"/>
      <c r="C45" s="2989"/>
      <c r="D45" s="80">
        <f ca="1">ROUND(I102*F45,0)</f>
        <v>7799615</v>
      </c>
      <c r="E45" s="81" t="s">
        <v>1817</v>
      </c>
      <c r="F45" s="82">
        <v>1</v>
      </c>
      <c r="G45" s="83" t="s">
        <v>1818</v>
      </c>
      <c r="H45" s="2187"/>
      <c r="I45" s="2187"/>
      <c r="J45" s="2965" t="s">
        <v>1819</v>
      </c>
      <c r="K45" s="2965"/>
      <c r="L45" s="2965"/>
      <c r="M45" s="2965"/>
      <c r="N45" s="2965"/>
      <c r="O45" s="2965"/>
      <c r="P45" s="1840"/>
    </row>
    <row r="46" spans="1:16" ht="14.25" customHeight="1">
      <c r="A46" s="2990" t="s">
        <v>1820</v>
      </c>
      <c r="B46" s="2991"/>
      <c r="C46" s="2991"/>
      <c r="D46" s="2991"/>
      <c r="E46" s="2991"/>
      <c r="F46" s="2991"/>
      <c r="G46" s="2992"/>
      <c r="H46" s="2249"/>
      <c r="I46" s="1139"/>
      <c r="J46" s="1877">
        <v>1</v>
      </c>
      <c r="K46" s="2965" t="s">
        <v>1821</v>
      </c>
      <c r="L46" s="2965"/>
      <c r="M46" s="2966" t="str">
        <f>项目基本情况!B1</f>
        <v>北京市房地产抵押价值预评估</v>
      </c>
      <c r="N46" s="2966"/>
      <c r="O46" s="2966"/>
      <c r="P46" s="1840"/>
    </row>
    <row r="47" spans="1:16" ht="12" customHeight="1">
      <c r="A47" s="85" t="s">
        <v>1822</v>
      </c>
      <c r="B47" s="86"/>
      <c r="C47" s="87"/>
      <c r="D47" s="88" t="s">
        <v>1823</v>
      </c>
      <c r="E47" s="14" t="s">
        <v>1824</v>
      </c>
      <c r="F47" s="89" t="s">
        <v>1825</v>
      </c>
      <c r="G47" s="90" t="s">
        <v>1826</v>
      </c>
      <c r="H47" s="2249"/>
      <c r="I47" s="1139"/>
      <c r="J47" s="1877">
        <v>2</v>
      </c>
      <c r="K47" s="2965" t="s">
        <v>1827</v>
      </c>
      <c r="L47" s="2965"/>
      <c r="M47" s="2994">
        <f>'数据-取费表'!B2</f>
        <v>43916</v>
      </c>
      <c r="N47" s="2994"/>
      <c r="O47" s="2994"/>
      <c r="P47" s="1840"/>
    </row>
    <row r="48" spans="1:16" ht="25.5">
      <c r="A48" s="2995" t="s">
        <v>1828</v>
      </c>
      <c r="B48" s="2960"/>
      <c r="C48" s="2960"/>
      <c r="D48" s="56">
        <f ca="1">IF(H48="情况1",0,IF(H48="情况2",D52,IF(H48="情况3",D53,IF(H48="情况4",D54))))</f>
        <v>312681</v>
      </c>
      <c r="E48" s="1887" t="str">
        <f>IF(H48="情况4","(销售额-原购置价)×税（费）率","销售额×税（费）率")</f>
        <v>(销售额-原购置价)×税（费）率</v>
      </c>
      <c r="F48" s="91">
        <f>IF(H48="情况1","免征",'数据-取费表'!E29)</f>
        <v>5.6000000000000001E-2</v>
      </c>
      <c r="G48" s="2250" t="s">
        <v>1829</v>
      </c>
      <c r="H48" s="2251" t="s">
        <v>2924</v>
      </c>
      <c r="I48" s="2249"/>
      <c r="J48" s="1877">
        <v>3</v>
      </c>
      <c r="K48" s="2965" t="s">
        <v>1830</v>
      </c>
      <c r="L48" s="2965"/>
      <c r="M48" s="2966">
        <f ca="1">I102</f>
        <v>7799615</v>
      </c>
      <c r="N48" s="2966"/>
      <c r="O48" s="2966"/>
      <c r="P48" s="1840"/>
    </row>
    <row r="49" spans="1:16" ht="25.5" customHeight="1">
      <c r="A49" s="92" t="s">
        <v>1831</v>
      </c>
      <c r="B49" s="2954" t="s">
        <v>1832</v>
      </c>
      <c r="C49" s="2954"/>
      <c r="D49" s="93">
        <v>0</v>
      </c>
      <c r="E49" s="13" t="s">
        <v>1833</v>
      </c>
      <c r="F49" s="18" t="s">
        <v>48</v>
      </c>
      <c r="G49" s="2967"/>
      <c r="H49" s="2187"/>
      <c r="I49" s="2252"/>
      <c r="J49" s="1877">
        <v>4</v>
      </c>
      <c r="K49" s="2965" t="str">
        <f>IF(项目基本情况!F5="房地产抵押价值","房地产抵押价值","抵押担保权已注销时的房地产抵押价值")</f>
        <v>房地产抵押价值</v>
      </c>
      <c r="L49" s="2965"/>
      <c r="M49" s="2966">
        <f ca="1">IF(项目基本情况!F5="房地产抵押价值",I110,I112)</f>
        <v>7799615</v>
      </c>
      <c r="N49" s="2966"/>
      <c r="O49" s="2966"/>
      <c r="P49" s="1840"/>
    </row>
    <row r="50" spans="1:16" ht="25.5" customHeight="1">
      <c r="A50" s="94"/>
      <c r="B50" s="2954" t="s">
        <v>1834</v>
      </c>
      <c r="C50" s="2954"/>
      <c r="D50" s="95"/>
      <c r="E50" s="21"/>
      <c r="F50" s="96"/>
      <c r="G50" s="2968"/>
      <c r="H50" s="2187"/>
      <c r="I50" s="2252"/>
      <c r="J50" s="2965" t="s">
        <v>1835</v>
      </c>
      <c r="K50" s="2965"/>
      <c r="L50" s="2965"/>
      <c r="M50" s="2965"/>
      <c r="N50" s="2965"/>
      <c r="O50" s="2965"/>
      <c r="P50" s="1840"/>
    </row>
    <row r="51" spans="1:16" ht="12" customHeight="1">
      <c r="A51" s="97"/>
      <c r="B51" s="2954" t="s">
        <v>1836</v>
      </c>
      <c r="C51" s="2954"/>
      <c r="D51" s="98"/>
      <c r="E51" s="20"/>
      <c r="F51" s="96"/>
      <c r="G51" s="2969"/>
      <c r="H51" s="2187"/>
      <c r="I51" s="2252"/>
      <c r="J51" s="2253" t="s">
        <v>1837</v>
      </c>
      <c r="K51" s="2965" t="s">
        <v>1838</v>
      </c>
      <c r="L51" s="2965"/>
      <c r="M51" s="2253" t="s">
        <v>1839</v>
      </c>
      <c r="N51" s="2253" t="s">
        <v>1840</v>
      </c>
      <c r="O51" s="2253" t="s">
        <v>1841</v>
      </c>
      <c r="P51" s="1840"/>
    </row>
    <row r="52" spans="1:16" ht="24" customHeight="1">
      <c r="A52" s="99" t="s">
        <v>1842</v>
      </c>
      <c r="B52" s="2954" t="s">
        <v>1843</v>
      </c>
      <c r="C52" s="2954"/>
      <c r="D52" s="98">
        <f ca="1">ROUND(D45*'数据-取费表'!E29/(1+'数据-取费表'!F30),0)</f>
        <v>415979</v>
      </c>
      <c r="E52" s="10" t="s">
        <v>1844</v>
      </c>
      <c r="F52" s="100">
        <f>'数据-取费表'!E29</f>
        <v>5.6000000000000001E-2</v>
      </c>
      <c r="G52" s="2254"/>
      <c r="H52" s="2187"/>
      <c r="I52" s="2252"/>
      <c r="J52" s="1877">
        <v>1</v>
      </c>
      <c r="K52" s="2958" t="s">
        <v>1845</v>
      </c>
      <c r="L52" s="2958"/>
      <c r="M52" s="777">
        <f ca="1">D48</f>
        <v>312681</v>
      </c>
      <c r="N52" s="1877" t="str">
        <f>E48</f>
        <v>(销售额-原购置价)×税（费）率</v>
      </c>
      <c r="O52" s="778">
        <f>F48</f>
        <v>5.6000000000000001E-2</v>
      </c>
      <c r="P52" s="1840"/>
    </row>
    <row r="53" spans="1:16" ht="12" customHeight="1">
      <c r="A53" s="99" t="s">
        <v>1846</v>
      </c>
      <c r="B53" s="2953" t="s">
        <v>1847</v>
      </c>
      <c r="C53" s="2841"/>
      <c r="D53" s="98">
        <f ca="1">ROUND(D45*'数据-取费表'!E29/(1+'数据-取费表'!F30),0)</f>
        <v>415979</v>
      </c>
      <c r="E53" s="10" t="s">
        <v>1844</v>
      </c>
      <c r="F53" s="100">
        <f>'数据-取费表'!E29</f>
        <v>5.6000000000000001E-2</v>
      </c>
      <c r="G53" s="2254"/>
      <c r="H53" s="2187"/>
      <c r="I53" s="2252"/>
      <c r="J53" s="1877">
        <v>2</v>
      </c>
      <c r="K53" s="2958" t="s">
        <v>1848</v>
      </c>
      <c r="L53" s="2958"/>
      <c r="M53" s="777">
        <f t="shared" ref="M53:O54" ca="1" si="1">D55</f>
        <v>3900</v>
      </c>
      <c r="N53" s="1877" t="str">
        <f t="shared" si="1"/>
        <v>销售额×税（费）率</v>
      </c>
      <c r="O53" s="778">
        <f t="shared" si="1"/>
        <v>5.0000000000000001E-4</v>
      </c>
      <c r="P53" s="1840"/>
    </row>
    <row r="54" spans="1:16" ht="12" customHeight="1">
      <c r="A54" s="99" t="s">
        <v>1849</v>
      </c>
      <c r="B54" s="2953" t="s">
        <v>1850</v>
      </c>
      <c r="C54" s="2841"/>
      <c r="D54" s="98">
        <f ca="1">C68</f>
        <v>312681</v>
      </c>
      <c r="E54" s="20" t="s">
        <v>1851</v>
      </c>
      <c r="F54" s="100">
        <f>'数据-取费表'!E29</f>
        <v>5.6000000000000001E-2</v>
      </c>
      <c r="G54" s="2254"/>
      <c r="H54" s="2255"/>
      <c r="I54" s="2252"/>
      <c r="J54" s="1877">
        <v>3</v>
      </c>
      <c r="K54" s="2958" t="s">
        <v>1852</v>
      </c>
      <c r="L54" s="2958"/>
      <c r="M54" s="777">
        <f t="shared" ca="1" si="1"/>
        <v>1489250</v>
      </c>
      <c r="N54" s="1877" t="str">
        <f t="shared" si="1"/>
        <v>增值额×税（费）率</v>
      </c>
      <c r="O54" s="779" t="str">
        <f t="shared" si="1"/>
        <v>——</v>
      </c>
      <c r="P54" s="1840"/>
    </row>
    <row r="55" spans="1:16" ht="24" customHeight="1">
      <c r="A55" s="2833" t="s">
        <v>1853</v>
      </c>
      <c r="B55" s="2960"/>
      <c r="C55" s="2960"/>
      <c r="D55" s="101">
        <f ca="1">IF(H55="个人住宅",0,ROUND(D45*I55,0))</f>
        <v>3900</v>
      </c>
      <c r="E55" s="10" t="s">
        <v>1854</v>
      </c>
      <c r="F55" s="100">
        <f>IF(H55="正常",I55,"免征")</f>
        <v>5.0000000000000001E-4</v>
      </c>
      <c r="G55" s="2254"/>
      <c r="H55" s="2251" t="s">
        <v>2923</v>
      </c>
      <c r="I55" s="102">
        <f>'数据-取费表'!E37</f>
        <v>5.0000000000000001E-4</v>
      </c>
      <c r="J55" s="1877">
        <f>IF(H59="非个人房产","",4)</f>
        <v>4</v>
      </c>
      <c r="K55" s="2958" t="str">
        <f>IF(H59="非个人房产","——","个人所得税")</f>
        <v>个人所得税</v>
      </c>
      <c r="L55" s="2958"/>
      <c r="M55" s="780">
        <f ca="1">D59</f>
        <v>77996</v>
      </c>
      <c r="N55" s="1880" t="str">
        <f>E59</f>
        <v>销售额×税（费）率</v>
      </c>
      <c r="O55" s="781">
        <f>F59</f>
        <v>0.01</v>
      </c>
      <c r="P55" s="1840"/>
    </row>
    <row r="56" spans="1:16" ht="24.75">
      <c r="A56" s="2833" t="s">
        <v>1856</v>
      </c>
      <c r="B56" s="2960"/>
      <c r="C56" s="2960"/>
      <c r="D56" s="101">
        <f ca="1">IF(H56="个人住宅",D57,D58)</f>
        <v>1489250</v>
      </c>
      <c r="E56" s="10" t="s">
        <v>1857</v>
      </c>
      <c r="F56" s="100" t="str">
        <f>IF(H56="正常",F58,"免征")</f>
        <v>——</v>
      </c>
      <c r="G56" s="2256" t="s">
        <v>1858</v>
      </c>
      <c r="H56" s="2257" t="s">
        <v>1855</v>
      </c>
      <c r="I56" s="1017"/>
      <c r="J56" s="1877" t="str">
        <f>IF(项目基本情况!I6="上海银行",IF(J55="",4,J55+1),"")</f>
        <v/>
      </c>
      <c r="K56" s="2963" t="str">
        <f>IF(项目基本情况!I6="上海银行","其他处置费用","")</f>
        <v/>
      </c>
      <c r="L56" s="2964"/>
      <c r="M56" s="777" t="str">
        <f>IF(项目基本情况!I6="上海银行",M69,"")</f>
        <v/>
      </c>
      <c r="N56" s="2971" t="str">
        <f>IF(项目基本情况!I6="上海银行","包含处置中涉及的律师、诉讼、拍卖、评估等费用","")</f>
        <v/>
      </c>
      <c r="O56" s="2972"/>
      <c r="P56" s="1840"/>
    </row>
    <row r="57" spans="1:16" ht="12.75">
      <c r="A57" s="99" t="s">
        <v>1831</v>
      </c>
      <c r="B57" s="2961" t="s">
        <v>1859</v>
      </c>
      <c r="C57" s="2962"/>
      <c r="D57" s="103">
        <v>0</v>
      </c>
      <c r="E57" s="13" t="s">
        <v>1833</v>
      </c>
      <c r="F57" s="70"/>
      <c r="G57" s="2254"/>
      <c r="H57" s="1017"/>
      <c r="I57" s="1017"/>
      <c r="J57" s="2958">
        <f>IF(AND(J55="",J56=""),4,IF(项目基本情况!I6="上海银行",J56+1,J55+1))</f>
        <v>5</v>
      </c>
      <c r="K57" s="2958" t="s">
        <v>1860</v>
      </c>
      <c r="L57" s="2258" t="s">
        <v>1861</v>
      </c>
      <c r="M57" s="782"/>
      <c r="N57" s="783">
        <f ca="1">SUMIF(M52:M56,"&lt;9e307")</f>
        <v>1883827</v>
      </c>
      <c r="O57" s="2259"/>
      <c r="P57" s="1836">
        <f ca="1">N57/M49</f>
        <v>0.24152820363569227</v>
      </c>
    </row>
    <row r="58" spans="1:16" ht="24.75">
      <c r="A58" s="99" t="s">
        <v>1842</v>
      </c>
      <c r="B58" s="2961" t="s">
        <v>1862</v>
      </c>
      <c r="C58" s="2970"/>
      <c r="D58" s="101">
        <f ca="1">IF(H58="转让取得",C81,C97)</f>
        <v>1489250</v>
      </c>
      <c r="E58" s="10" t="s">
        <v>1857</v>
      </c>
      <c r="F58" s="14" t="s">
        <v>48</v>
      </c>
      <c r="G58" s="2254"/>
      <c r="H58" s="2257" t="s">
        <v>2922</v>
      </c>
      <c r="I58" s="1017"/>
      <c r="J58" s="2958"/>
      <c r="K58" s="2958"/>
      <c r="L58" s="2258" t="s">
        <v>1863</v>
      </c>
      <c r="M58" s="784"/>
      <c r="N58" s="2260" t="str">
        <f ca="1">IF(H19="元",NUMBERSTRING(INT(N57),2)&amp;"元整",NUMBERSTRING(INT(N57*10000),2)&amp;"元整")</f>
        <v>壹佰捌拾捌万叁仟捌佰贰拾柒元整</v>
      </c>
      <c r="O58" s="2261"/>
      <c r="P58" s="1840"/>
    </row>
    <row r="59" spans="1:16" ht="26.25" thickBot="1">
      <c r="A59" s="2834" t="s">
        <v>1864</v>
      </c>
      <c r="B59" s="2837"/>
      <c r="C59" s="2837"/>
      <c r="D59" s="104">
        <f ca="1">IF(H59="非个人房产","——",IF(H59="个人住宅",0,ROUND(D45*I59,0)))</f>
        <v>77996</v>
      </c>
      <c r="E59" s="105" t="str">
        <f>IF(H59="非个人房产","——","销售额×税（费）率")</f>
        <v>销售额×税（费）率</v>
      </c>
      <c r="F59" s="106">
        <f>IF(H59="非个人房产","——",IF(H59="个人住宅","免征",I59))</f>
        <v>0.01</v>
      </c>
      <c r="G59" s="2262" t="s">
        <v>1858</v>
      </c>
      <c r="H59" s="2257" t="s">
        <v>2921</v>
      </c>
      <c r="I59" s="107">
        <v>0.01</v>
      </c>
      <c r="J59" s="2956">
        <f>J57+1</f>
        <v>6</v>
      </c>
      <c r="K59" s="2958" t="s">
        <v>1865</v>
      </c>
      <c r="L59" s="1877" t="s">
        <v>1861</v>
      </c>
      <c r="M59" s="785"/>
      <c r="N59" s="786">
        <f ca="1">M49-N57</f>
        <v>5915788</v>
      </c>
      <c r="O59" s="2263"/>
      <c r="P59" s="1840"/>
    </row>
    <row r="60" spans="1:16" ht="12" customHeight="1">
      <c r="A60" s="2059"/>
      <c r="B60" s="2187"/>
      <c r="C60" s="2187"/>
      <c r="D60" s="2187"/>
      <c r="E60" s="1017"/>
      <c r="F60" s="1017"/>
      <c r="G60" s="1017"/>
      <c r="H60" s="2240"/>
      <c r="I60" s="2187"/>
      <c r="J60" s="2957"/>
      <c r="K60" s="2958"/>
      <c r="L60" s="2258" t="s">
        <v>1863</v>
      </c>
      <c r="M60" s="784"/>
      <c r="N60" s="2260" t="str">
        <f ca="1">IF(H19="元",NUMBERSTRING(INT(N59),2)&amp;"元整",NUMBERSTRING(INT(N59*10000),2)&amp;"元整")</f>
        <v>伍佰玖拾壹万伍仟柒佰捌拾捌元整</v>
      </c>
      <c r="O60" s="2261"/>
      <c r="P60" s="1840"/>
    </row>
    <row r="61" spans="1:16" ht="13.5" thickBot="1">
      <c r="A61" s="2959" t="s">
        <v>1866</v>
      </c>
      <c r="B61" s="2959"/>
      <c r="C61" s="2959"/>
      <c r="D61" s="2959"/>
      <c r="E61" s="2959"/>
      <c r="F61" s="1017"/>
      <c r="G61" s="1017"/>
      <c r="H61" s="2240"/>
      <c r="I61" s="2187"/>
      <c r="J61" s="1877">
        <f>J59+1</f>
        <v>7</v>
      </c>
      <c r="K61" s="2958" t="s">
        <v>1867</v>
      </c>
      <c r="L61" s="2958"/>
      <c r="M61" s="787"/>
      <c r="N61" s="788">
        <f ca="1">IF(H19="元",ROUND(N59/项目基本情况!C12,0),ROUND(N59*10000/项目基本情况!C12,0))</f>
        <v>30467</v>
      </c>
      <c r="O61" s="2264"/>
      <c r="P61" s="1840"/>
    </row>
    <row r="62" spans="1:16" ht="12.75">
      <c r="A62" s="2940" t="s">
        <v>1868</v>
      </c>
      <c r="B62" s="2941"/>
      <c r="C62" s="1879"/>
      <c r="D62" s="1879" t="s">
        <v>1869</v>
      </c>
      <c r="E62" s="108" t="s">
        <v>1870</v>
      </c>
      <c r="F62" s="1017"/>
      <c r="G62" s="1017"/>
      <c r="H62" s="2240"/>
      <c r="I62" s="2187"/>
      <c r="J62" s="1840"/>
      <c r="K62" s="1840"/>
      <c r="L62" s="1840"/>
      <c r="M62" s="1840"/>
      <c r="N62" s="1840"/>
      <c r="O62" s="1840"/>
      <c r="P62" s="1840"/>
    </row>
    <row r="63" spans="1:16" ht="12.75">
      <c r="A63" s="109">
        <v>1</v>
      </c>
      <c r="B63" s="110" t="s">
        <v>1871</v>
      </c>
      <c r="C63" s="111">
        <f ca="1">ROUND((C64+C65)/(1+'数据-取费表'!F30),0)</f>
        <v>7428205</v>
      </c>
      <c r="D63" s="112"/>
      <c r="E63" s="113"/>
      <c r="F63" s="1017"/>
      <c r="G63" s="1017"/>
      <c r="H63" s="2240"/>
      <c r="I63" s="2187"/>
      <c r="J63" s="2986" t="s">
        <v>1872</v>
      </c>
      <c r="K63" s="2265" t="s">
        <v>1873</v>
      </c>
      <c r="L63" s="1839">
        <f ca="1">IF(M49&gt;10000,M49*0.5%,IF(AND(M49&gt;1000,M49&lt;=10000),M49*1%,IF(AND(M49&gt;100,M49&lt;=1000),M49*3%,IF(AND(M49&gt;10,M49&lt;=100),M49*5%,M49*8%))))</f>
        <v>38998.075000000004</v>
      </c>
      <c r="M63" s="14">
        <f ca="1">ROUND(L63,1)</f>
        <v>38998.1</v>
      </c>
      <c r="N63" s="1840"/>
      <c r="O63" s="1840"/>
      <c r="P63" s="1840"/>
    </row>
    <row r="64" spans="1:16" ht="12.75">
      <c r="A64" s="114" t="s">
        <v>71</v>
      </c>
      <c r="B64" s="115" t="s">
        <v>1874</v>
      </c>
      <c r="C64" s="116">
        <f ca="1">D45</f>
        <v>7799615</v>
      </c>
      <c r="D64" s="117" t="s">
        <v>41</v>
      </c>
      <c r="E64" s="118"/>
      <c r="F64" s="1017"/>
      <c r="G64" s="1017"/>
      <c r="H64" s="2240"/>
      <c r="I64" s="2187"/>
      <c r="J64" s="2986"/>
      <c r="K64" s="2265" t="s">
        <v>1875</v>
      </c>
      <c r="L64" s="1839">
        <f ca="1">IF(M49&gt;2000,M49*0.5%,IF(AND(M49&gt;1000,M49&lt;=2000),M49*0.6%,IF(AND(M49&gt;500,M49&lt;=1000),M49*0.7%,IF(AND(M49&gt;200,M49&lt;=500),M49*0.8%,IF(AND(M49&gt;100,M49&lt;=200),M49*0.9%,IF(AND(M49&gt;50,M49&lt;=100),M49*1%,IF(AND(M49&gt;20,M49&lt;=50),M49*1.5%,IF(AND(M49&gt;10,M49&lt;=20),M49*2%,IF(AND(M49&gt;1,M49&lt;=10),M49*2.5%)))))))))</f>
        <v>38998.075000000004</v>
      </c>
      <c r="M64" s="14">
        <f t="shared" ref="M64:M65" ca="1" si="2">ROUND(L64,1)</f>
        <v>38998.1</v>
      </c>
      <c r="N64" s="1840" t="s">
        <v>1876</v>
      </c>
      <c r="O64" s="1840"/>
      <c r="P64" s="1840"/>
    </row>
    <row r="65" spans="1:35" ht="12.75">
      <c r="A65" s="114" t="s">
        <v>72</v>
      </c>
      <c r="B65" s="115" t="s">
        <v>1877</v>
      </c>
      <c r="C65" s="119"/>
      <c r="D65" s="117"/>
      <c r="E65" s="118"/>
      <c r="F65" s="1017"/>
      <c r="G65" s="1017"/>
      <c r="H65" s="2240"/>
      <c r="I65" s="2187"/>
      <c r="J65" s="2986"/>
      <c r="K65" s="2265" t="s">
        <v>1878</v>
      </c>
      <c r="L65" s="1839">
        <f ca="1">IF(M49&gt;1000,M49*0.1%,IF(AND(M49&gt;500,M49&lt;=1000),M49*0.5%,IF(AND(M49&gt;50,M49&lt;=500),M49*1%,IF(AND(M49&gt;1,M49&lt;=50),M49*1.5%))))</f>
        <v>7799.6149999999998</v>
      </c>
      <c r="M65" s="14">
        <f t="shared" ca="1" si="2"/>
        <v>7799.6</v>
      </c>
      <c r="N65" s="1840" t="s">
        <v>1876</v>
      </c>
      <c r="O65" s="1840"/>
      <c r="P65" s="1840"/>
    </row>
    <row r="66" spans="1:35" ht="12.75">
      <c r="A66" s="120" t="s">
        <v>47</v>
      </c>
      <c r="B66" s="121" t="s">
        <v>1879</v>
      </c>
      <c r="C66" s="122">
        <v>1844615</v>
      </c>
      <c r="D66" s="123" t="s">
        <v>41</v>
      </c>
      <c r="E66" s="1856" t="s">
        <v>1880</v>
      </c>
      <c r="F66" s="1017"/>
      <c r="G66" s="1017"/>
      <c r="H66" s="2240"/>
      <c r="I66" s="2187"/>
      <c r="J66" s="2986"/>
      <c r="K66" s="2265" t="s">
        <v>1881</v>
      </c>
      <c r="L66" s="1839">
        <f ca="1">M49*0.5%</f>
        <v>38998.075000000004</v>
      </c>
      <c r="M66" s="14">
        <f ca="1">IF(L66&gt;0.5,0.5,ROUND(L66,0))</f>
        <v>0.5</v>
      </c>
      <c r="N66" s="1840" t="s">
        <v>1882</v>
      </c>
      <c r="O66" s="1840"/>
      <c r="P66" s="1840"/>
    </row>
    <row r="67" spans="1:35" ht="12.75">
      <c r="A67" s="120" t="s">
        <v>42</v>
      </c>
      <c r="B67" s="121" t="s">
        <v>1883</v>
      </c>
      <c r="C67" s="124">
        <f ca="1">C63-C66</f>
        <v>5583590</v>
      </c>
      <c r="D67" s="117" t="s">
        <v>41</v>
      </c>
      <c r="E67" s="118"/>
      <c r="F67" s="1017"/>
      <c r="G67" s="1017"/>
      <c r="H67" s="2240"/>
      <c r="I67" s="2187"/>
      <c r="J67" s="2986"/>
      <c r="K67" s="2265" t="s">
        <v>1884</v>
      </c>
      <c r="L67" s="1839">
        <f ca="1">IF(M49&gt;=10000,(8.25+(M49-10000)*0.01%),IF(AND(M49&gt;=8000,M49&lt;10000),(7.85+(M49-8000)*0.02%),IF(AND(M49&gt;=5000,M49&lt;8000),(6.65+(M49-5000)*0.04%),IF(AND(M49&gt;=2000,M49&lt;5000),(4.25+(PM49-2000)*0.08%),IF(AND(M49&gt;=1000,M49&lt;2000),(2.75+(M49-1000)*0.15%),IF(AND(M49&gt;=100,M49&lt;1000),(0.5+(M49-100)*0.25%),IF(AND(M49&gt;0,M49&lt;100),M49*0.5%)))))))</f>
        <v>787.2115</v>
      </c>
      <c r="M67" s="14">
        <f ca="1">ROUND(L67*0.9,1)</f>
        <v>708.5</v>
      </c>
      <c r="N67" s="1840"/>
      <c r="O67" s="1840"/>
      <c r="P67" s="1840"/>
    </row>
    <row r="68" spans="1:35" ht="13.5" thickBot="1">
      <c r="A68" s="125" t="s">
        <v>46</v>
      </c>
      <c r="B68" s="126" t="s">
        <v>1885</v>
      </c>
      <c r="C68" s="127">
        <f ca="1">IF(C67&lt;=0,0,ROUND(C67*D68,0))</f>
        <v>312681</v>
      </c>
      <c r="D68" s="128">
        <f>'数据-取费表'!E29</f>
        <v>5.6000000000000001E-2</v>
      </c>
      <c r="E68" s="129"/>
      <c r="F68" s="1017"/>
      <c r="G68" s="1017"/>
      <c r="H68" s="2240"/>
      <c r="I68" s="2187"/>
      <c r="J68" s="2986"/>
      <c r="K68" s="2265" t="s">
        <v>1886</v>
      </c>
      <c r="L68" s="1839">
        <f ca="1">IF(M49&gt;10000,M49*0.5%,IF(AND(M49&gt;5000,M49&lt;=10000),M49*1%,IF(AND(M49&gt;1000,M49&lt;=5000),M49*2%,IF(AND(M49&gt;200,M49&lt;=1000),M49*3%,M49*5%))))</f>
        <v>38998.075000000004</v>
      </c>
      <c r="M68" s="14">
        <f ca="1">ROUND(L68,1)</f>
        <v>38998.1</v>
      </c>
      <c r="N68" s="1840"/>
      <c r="O68" s="1840"/>
      <c r="P68" s="1840"/>
    </row>
    <row r="69" spans="1:35" s="2214" customFormat="1" ht="7.5" customHeight="1">
      <c r="A69" s="2266"/>
      <c r="B69" s="2267"/>
      <c r="C69" s="2268"/>
      <c r="D69" s="2269"/>
      <c r="E69" s="2270"/>
      <c r="F69" s="1017"/>
      <c r="G69" s="1017"/>
      <c r="H69" s="2240"/>
      <c r="I69" s="2187"/>
      <c r="J69" s="2986"/>
      <c r="K69" s="2265" t="s">
        <v>1887</v>
      </c>
      <c r="L69" s="2271"/>
      <c r="M69" s="14">
        <f ca="1">ROUND(SUM(M63:M68),0)</f>
        <v>125503</v>
      </c>
      <c r="N69" s="1836">
        <f ca="1">M69/M49</f>
        <v>1.6090922436556163E-2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51" t="s">
        <v>1888</v>
      </c>
      <c r="B70" s="2952"/>
      <c r="C70" s="2952"/>
      <c r="D70" s="2952"/>
      <c r="E70" s="2952"/>
      <c r="F70" s="2952"/>
      <c r="G70" s="2952"/>
      <c r="H70" s="2952"/>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40" t="s">
        <v>1868</v>
      </c>
      <c r="B71" s="2941"/>
      <c r="C71" s="1879"/>
      <c r="D71" s="1879" t="s">
        <v>1869</v>
      </c>
      <c r="E71" s="130" t="s">
        <v>1870</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3">
        <v>1</v>
      </c>
      <c r="B72" s="121" t="s">
        <v>1889</v>
      </c>
      <c r="C72" s="124">
        <f ca="1">ROUND(D45/(1+'数据-取费表'!F30),0)</f>
        <v>7428205</v>
      </c>
      <c r="D72" s="117" t="s">
        <v>41</v>
      </c>
      <c r="E72" s="12" t="s">
        <v>1890</v>
      </c>
      <c r="F72" s="1883"/>
      <c r="G72" s="1883"/>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5">
        <v>2</v>
      </c>
      <c r="B73" s="89" t="s">
        <v>1891</v>
      </c>
      <c r="C73" s="124">
        <f ca="1">C74+C78</f>
        <v>3422850</v>
      </c>
      <c r="D73" s="117" t="s">
        <v>41</v>
      </c>
      <c r="E73" s="1882"/>
      <c r="F73" s="1883"/>
      <c r="G73" s="1883"/>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1892</v>
      </c>
      <c r="C74" s="117">
        <f>ROUND(IF(G77="2016年5月1日后购买",C75/(1+'数据-取费表'!F30)+C76+C77,C75+C76+C77),0)</f>
        <v>3378281</v>
      </c>
      <c r="D74" s="117" t="s">
        <v>41</v>
      </c>
      <c r="E74" s="1882"/>
      <c r="F74" s="1883"/>
      <c r="G74" s="1883"/>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74</v>
      </c>
      <c r="B75" s="115" t="s">
        <v>1893</v>
      </c>
      <c r="C75" s="137">
        <v>1844615</v>
      </c>
      <c r="D75" s="117" t="s">
        <v>41</v>
      </c>
      <c r="E75" s="138" t="s">
        <v>1894</v>
      </c>
      <c r="F75" s="2276" t="s">
        <v>1895</v>
      </c>
      <c r="G75" s="138" t="s">
        <v>1896</v>
      </c>
      <c r="H75" s="139">
        <v>17</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1897</v>
      </c>
      <c r="C76" s="117">
        <f>IF(F75="购房发票",ROUND(C75*H75*D76,0),0)</f>
        <v>1567923</v>
      </c>
      <c r="D76" s="141">
        <v>0.05</v>
      </c>
      <c r="E76" s="2953" t="s">
        <v>1898</v>
      </c>
      <c r="F76" s="2954"/>
      <c r="G76" s="2954"/>
      <c r="H76" s="2955"/>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1899</v>
      </c>
      <c r="C77" s="117">
        <f>ROUND(IF(G77="个人住宅",0,IF(G77="2016年5月1日前购买",C75*D77,C75*D77/(1+'数据-取费表'!F30))),0)</f>
        <v>53582</v>
      </c>
      <c r="D77" s="142">
        <f>'数据-取费表'!E36+'数据-取费表'!E37</f>
        <v>3.0499999999999999E-2</v>
      </c>
      <c r="E77" s="12" t="s">
        <v>1900</v>
      </c>
      <c r="F77" s="143"/>
      <c r="G77" s="2277" t="s">
        <v>1901</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1902</v>
      </c>
      <c r="C78" s="144">
        <f ca="1">ROUND(D45*D78/(1+'数据-取费表'!F30),0)</f>
        <v>44569</v>
      </c>
      <c r="D78" s="145">
        <f>'数据-取费表'!E31</f>
        <v>6.000000000000001E-3</v>
      </c>
      <c r="E78" s="2942" t="s">
        <v>1903</v>
      </c>
      <c r="F78" s="2943"/>
      <c r="G78" s="2943"/>
      <c r="H78" s="2944"/>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6" t="s">
        <v>42</v>
      </c>
      <c r="B79" s="121" t="s">
        <v>1904</v>
      </c>
      <c r="C79" s="124">
        <f ca="1">C72-C73</f>
        <v>4005355</v>
      </c>
      <c r="D79" s="117" t="s">
        <v>41</v>
      </c>
      <c r="E79" s="1882"/>
      <c r="F79" s="1883"/>
      <c r="G79" s="1883"/>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1905</v>
      </c>
      <c r="C80" s="147">
        <f ca="1">IF(C79&lt;=0,0,C79/C73)</f>
        <v>1.1701812816804709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8" t="s">
        <v>44</v>
      </c>
      <c r="B81" s="126" t="s">
        <v>1906</v>
      </c>
      <c r="C81" s="149">
        <f ca="1">ROUND(IF(C79&lt;=0,0,IF(C80&gt;=200%,C79*60%-C73*35%,IF(C80&gt;=100%,C79*50%-C73*15%,IF(C80&gt;=50%,C79*40%-C73*5%,IF(C80&lt;50%,C79*30%,0))))),0)</f>
        <v>1489250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51" t="s">
        <v>1907</v>
      </c>
      <c r="B83" s="2952"/>
      <c r="C83" s="2952"/>
      <c r="D83" s="2952"/>
      <c r="E83" s="2952"/>
      <c r="F83" s="2952"/>
      <c r="G83" s="2952"/>
      <c r="H83" s="2952"/>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40" t="s">
        <v>1868</v>
      </c>
      <c r="B84" s="2941"/>
      <c r="C84" s="1879"/>
      <c r="D84" s="1879" t="s">
        <v>1869</v>
      </c>
      <c r="E84" s="130" t="s">
        <v>1870</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1889</v>
      </c>
      <c r="C85" s="124">
        <f ca="1">ROUND(D45/(1+'数据-取费表'!F30),0)</f>
        <v>7428205</v>
      </c>
      <c r="D85" s="117" t="s">
        <v>41</v>
      </c>
      <c r="E85" s="1882" t="s">
        <v>1890</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5">
        <v>2</v>
      </c>
      <c r="B86" s="89" t="s">
        <v>1891</v>
      </c>
      <c r="C86" s="124">
        <f ca="1">IF(H88="仅含出让金",C87+C90+C91+C92+C93+C94,C87+C91+C92+C93+C94)</f>
        <v>44569</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6" t="s">
        <v>73</v>
      </c>
      <c r="B87" s="115" t="s">
        <v>1908</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74</v>
      </c>
      <c r="B88" s="115" t="s">
        <v>1909</v>
      </c>
      <c r="C88" s="157"/>
      <c r="D88" s="145"/>
      <c r="E88" s="158" t="s">
        <v>1910</v>
      </c>
      <c r="F88" s="1876"/>
      <c r="G88" s="159" t="s">
        <v>1911</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75</v>
      </c>
      <c r="B89" s="115" t="s">
        <v>1899</v>
      </c>
      <c r="C89" s="144">
        <f>ROUND(C88*D89,0)</f>
        <v>0</v>
      </c>
      <c r="D89" s="145">
        <f>'数据-取费表'!E36+'数据-取费表'!E37</f>
        <v>3.0499999999999999E-2</v>
      </c>
      <c r="E89" s="158" t="s">
        <v>1912</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77</v>
      </c>
      <c r="B90" s="115" t="s">
        <v>1913</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1914</v>
      </c>
      <c r="C91" s="144">
        <f>IF(H91="——",成本法!C33,I91)</f>
        <v>0</v>
      </c>
      <c r="D91" s="145"/>
      <c r="E91" s="2942" t="s">
        <v>1915</v>
      </c>
      <c r="F91" s="2943"/>
      <c r="G91" s="2943"/>
      <c r="H91" s="2280" t="s">
        <v>1916</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1917</v>
      </c>
      <c r="C92" s="144">
        <f>ROUND((C87+C90+C91)*D92,0)</f>
        <v>0</v>
      </c>
      <c r="D92" s="145">
        <v>0.1</v>
      </c>
      <c r="E92" s="2942" t="s">
        <v>1918</v>
      </c>
      <c r="F92" s="2943"/>
      <c r="G92" s="2943"/>
      <c r="H92" s="2944"/>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1902</v>
      </c>
      <c r="C93" s="144">
        <f ca="1">ROUND(D45*D93/(1+'数据-取费表'!F30),0)</f>
        <v>44569</v>
      </c>
      <c r="D93" s="145">
        <f>'数据-取费表'!E31</f>
        <v>6.000000000000001E-3</v>
      </c>
      <c r="E93" s="2942" t="s">
        <v>1903</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1919</v>
      </c>
      <c r="C94" s="144">
        <f>ROUND((C87+C90+C91)*D94,0)</f>
        <v>0</v>
      </c>
      <c r="D94" s="145">
        <v>0.2</v>
      </c>
      <c r="E94" s="2942" t="s">
        <v>1920</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6" t="s">
        <v>42</v>
      </c>
      <c r="B95" s="121" t="s">
        <v>1904</v>
      </c>
      <c r="C95" s="124">
        <f ca="1">ROUND(C85-C86,0)</f>
        <v>7383636</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1905</v>
      </c>
      <c r="C96" s="147">
        <f ca="1">IF(C95&lt;=0,0,C95/C86)</f>
        <v>165.66752675626557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8" t="s">
        <v>44</v>
      </c>
      <c r="B97" s="126" t="s">
        <v>1906</v>
      </c>
      <c r="C97" s="149">
        <f ca="1">ROUND(IF(C95&lt;=0,0,IF(C96&gt;=200%,C95*60%-C86*35%,IF(C96&gt;=100%,C95*50%-C86*15%,IF(C96&gt;=50%,C95*40%-C86*5%,IF(C96&lt;50%,C95*30%,0))))),0)</f>
        <v>4414582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1921</v>
      </c>
      <c r="B98" s="2187"/>
      <c r="C98" s="2187"/>
      <c r="D98" s="2187"/>
      <c r="E98" s="1017"/>
      <c r="F98" s="1017"/>
      <c r="G98" s="1017"/>
      <c r="H98" s="2240"/>
      <c r="I98" s="2187"/>
    </row>
    <row r="99" spans="1:35" ht="15.75">
      <c r="A99" s="2945" t="s">
        <v>1922</v>
      </c>
      <c r="B99" s="2946"/>
      <c r="C99" s="2946"/>
      <c r="D99" s="2947"/>
      <c r="E99" s="2187"/>
      <c r="F99" s="2948" t="s">
        <v>1923</v>
      </c>
      <c r="G99" s="2949"/>
      <c r="H99" s="2949"/>
      <c r="I99" s="2950"/>
    </row>
    <row r="100" spans="1:35" ht="15.75">
      <c r="A100" s="2926" t="s">
        <v>1924</v>
      </c>
      <c r="B100" s="2927"/>
      <c r="C100" s="719" t="str">
        <f>C4</f>
        <v>收益法</v>
      </c>
      <c r="D100" s="720" t="str">
        <f>D4</f>
        <v>比较法-办公</v>
      </c>
      <c r="E100" s="2187"/>
      <c r="F100" s="2928" t="s">
        <v>1925</v>
      </c>
      <c r="G100" s="2929"/>
      <c r="H100" s="2928" t="s">
        <v>1926</v>
      </c>
      <c r="I100" s="2931"/>
    </row>
    <row r="101" spans="1:35" ht="15.75">
      <c r="A101" s="3001" t="s">
        <v>1927</v>
      </c>
      <c r="B101" s="2282" t="str">
        <f>IF(H19="元","总价（元）","总价（万元）")</f>
        <v>总价（元）</v>
      </c>
      <c r="C101" s="719">
        <f ca="1">C19</f>
        <v>6532553</v>
      </c>
      <c r="D101" s="720">
        <f ca="1">D19</f>
        <v>8342708</v>
      </c>
      <c r="E101" s="2187"/>
      <c r="F101" s="2928" t="str">
        <f>项目基本情况!I1</f>
        <v>北京市房地产</v>
      </c>
      <c r="G101" s="2929"/>
      <c r="H101" s="2935">
        <f>项目基本情况!C12</f>
        <v>194.17</v>
      </c>
      <c r="I101" s="2931"/>
    </row>
    <row r="102" spans="1:35" ht="15.75">
      <c r="A102" s="3001"/>
      <c r="B102" s="2282" t="s">
        <v>1928</v>
      </c>
      <c r="C102" s="721">
        <f ca="1">C20</f>
        <v>33643</v>
      </c>
      <c r="D102" s="722">
        <f ca="1">D20</f>
        <v>42966</v>
      </c>
      <c r="E102" s="2187"/>
      <c r="F102" s="2936" t="s">
        <v>1929</v>
      </c>
      <c r="G102" s="2937"/>
      <c r="H102" s="2283" t="str">
        <f>C106</f>
        <v>总价（元）</v>
      </c>
      <c r="I102" s="1857">
        <f ca="1">H121</f>
        <v>7799615</v>
      </c>
    </row>
    <row r="103" spans="1:35" ht="15">
      <c r="A103" s="3001" t="s">
        <v>1930</v>
      </c>
      <c r="B103" s="2284" t="str">
        <f>B101</f>
        <v>总价（元）</v>
      </c>
      <c r="C103" s="723">
        <f ca="1">H121</f>
        <v>7799615</v>
      </c>
      <c r="D103" s="724"/>
      <c r="E103" s="2187"/>
      <c r="F103" s="2936"/>
      <c r="G103" s="2937"/>
      <c r="H103" s="2283" t="s">
        <v>1928</v>
      </c>
      <c r="I103" s="1045">
        <f ca="1">I121</f>
        <v>40169</v>
      </c>
    </row>
    <row r="104" spans="1:35" ht="16.5" thickBot="1">
      <c r="A104" s="2867"/>
      <c r="B104" s="2285" t="s">
        <v>1928</v>
      </c>
      <c r="C104" s="725">
        <f ca="1">I121</f>
        <v>40169</v>
      </c>
      <c r="D104" s="726"/>
      <c r="E104" s="2187"/>
      <c r="F104" s="2897"/>
      <c r="G104" s="2898"/>
      <c r="H104" s="2938"/>
      <c r="I104" s="2939"/>
    </row>
    <row r="105" spans="1:35" ht="15.75">
      <c r="A105" s="2945" t="s">
        <v>1931</v>
      </c>
      <c r="B105" s="2946"/>
      <c r="C105" s="2946"/>
      <c r="D105" s="2947"/>
      <c r="E105" s="2187"/>
      <c r="F105" s="2922" t="s">
        <v>1932</v>
      </c>
      <c r="G105" s="2923"/>
      <c r="H105" s="2286" t="str">
        <f>C108</f>
        <v>总额（元）</v>
      </c>
      <c r="I105" s="1857">
        <f>SUMIF(I106:I108,"&lt;9E307")</f>
        <v>0</v>
      </c>
    </row>
    <row r="106" spans="1:35" ht="15">
      <c r="A106" s="2908" t="s">
        <v>1933</v>
      </c>
      <c r="B106" s="2909"/>
      <c r="C106" s="2283" t="str">
        <f>B101</f>
        <v>总价（元）</v>
      </c>
      <c r="D106" s="1046">
        <f ca="1">H121</f>
        <v>7799615</v>
      </c>
      <c r="E106" s="2187"/>
      <c r="F106" s="2895" t="s">
        <v>1934</v>
      </c>
      <c r="G106" s="2896"/>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08"/>
      <c r="B107" s="2909"/>
      <c r="C107" s="2283" t="s">
        <v>1928</v>
      </c>
      <c r="D107" s="1047">
        <f ca="1">I121</f>
        <v>40169</v>
      </c>
      <c r="E107" s="2187"/>
      <c r="F107" s="2895" t="s">
        <v>1935</v>
      </c>
      <c r="G107" s="2896"/>
      <c r="H107" s="2286" t="str">
        <f>C110</f>
        <v>总额（元）</v>
      </c>
      <c r="I107" s="1045">
        <f>C37</f>
        <v>0</v>
      </c>
      <c r="K107" s="2287"/>
    </row>
    <row r="108" spans="1:35" ht="15">
      <c r="A108" s="2924" t="s">
        <v>1936</v>
      </c>
      <c r="B108" s="2925"/>
      <c r="C108" s="2286" t="str">
        <f>IF(H19="元","总额（元）","总额（万元）")</f>
        <v>总额（元）</v>
      </c>
      <c r="D108" s="1046">
        <f>IF(D36="正常操作",I106+I107+I108,I107+I108)</f>
        <v>0</v>
      </c>
      <c r="E108" s="2187"/>
      <c r="F108" s="2895" t="s">
        <v>1937</v>
      </c>
      <c r="G108" s="2896"/>
      <c r="H108" s="2286" t="str">
        <f>C111</f>
        <v>总额（元）</v>
      </c>
      <c r="I108" s="1045">
        <f>C38</f>
        <v>0</v>
      </c>
    </row>
    <row r="109" spans="1:35" ht="15.75">
      <c r="A109" s="2895" t="s">
        <v>1934</v>
      </c>
      <c r="B109" s="2896"/>
      <c r="C109" s="2286" t="str">
        <f>C108</f>
        <v>总额（元）</v>
      </c>
      <c r="D109" s="637">
        <f>IF(D36="同一抵押权人同一抵押物续贷",C36&amp;"（未扣减，详见特别提示）",C36)</f>
        <v>0</v>
      </c>
      <c r="E109" s="2187"/>
      <c r="F109" s="2897"/>
      <c r="G109" s="2898"/>
      <c r="H109" s="2893"/>
      <c r="I109" s="2894"/>
    </row>
    <row r="110" spans="1:35" ht="28.5" customHeight="1">
      <c r="A110" s="2895" t="s">
        <v>1935</v>
      </c>
      <c r="B110" s="2896"/>
      <c r="C110" s="2286" t="str">
        <f>C108</f>
        <v>总额（元）</v>
      </c>
      <c r="D110" s="637">
        <f>C37</f>
        <v>0</v>
      </c>
      <c r="E110" s="2187"/>
      <c r="F110" s="2899" t="str">
        <f>IF(项目基本情况!F5="已注销","——","3.房地产抵押价值")</f>
        <v>3.房地产抵押价值</v>
      </c>
      <c r="G110" s="2900"/>
      <c r="H110" s="2288" t="str">
        <f>C112</f>
        <v>总价（元）</v>
      </c>
      <c r="I110" s="1858">
        <f ca="1">IF(F110="——","——",I102-I105)</f>
        <v>7799615</v>
      </c>
    </row>
    <row r="111" spans="1:35" ht="15">
      <c r="A111" s="2895" t="s">
        <v>1937</v>
      </c>
      <c r="B111" s="2896"/>
      <c r="C111" s="2286" t="str">
        <f>C108</f>
        <v>总额（元）</v>
      </c>
      <c r="D111" s="637">
        <f>C38</f>
        <v>0</v>
      </c>
      <c r="E111" s="2187"/>
      <c r="F111" s="2901"/>
      <c r="G111" s="2902"/>
      <c r="H111" s="2283" t="s">
        <v>1928</v>
      </c>
      <c r="I111" s="2289">
        <f ca="1">D113</f>
        <v>40169</v>
      </c>
    </row>
    <row r="112" spans="1:35" ht="26.25" customHeight="1">
      <c r="A112" s="2908" t="str">
        <f>IF(项目基本情况!F5="已注销","——","3.房地产抵押价值")</f>
        <v>3.房地产抵押价值</v>
      </c>
      <c r="B112" s="2909"/>
      <c r="C112" s="2283" t="str">
        <f>B101</f>
        <v>总价（元）</v>
      </c>
      <c r="D112" s="1046">
        <f ca="1">IF(A112="——","——",D106-D108)</f>
        <v>7799615</v>
      </c>
      <c r="E112" s="2187"/>
      <c r="F112" s="2899" t="str">
        <f>IF(项目基本情况!F5="已注销及未注销","4.抵押担保权已注销时的房地产抵押价值",IF(项目基本情况!F5="已注销","3.抵押担保权已注销时的房地产抵押价值","——"))</f>
        <v>——</v>
      </c>
      <c r="G112" s="2900"/>
      <c r="H112" s="2288" t="str">
        <f>C114</f>
        <v>总价（元）</v>
      </c>
      <c r="I112" s="1858" t="str">
        <f>IF(F112="——","——",I102-I107-I108)</f>
        <v>——</v>
      </c>
    </row>
    <row r="113" spans="1:15" ht="15">
      <c r="A113" s="2908"/>
      <c r="B113" s="2909"/>
      <c r="C113" s="2283" t="s">
        <v>1928</v>
      </c>
      <c r="D113" s="1047">
        <f ca="1">ROUND(IF(D112=D106,D107,IF(H19="元",D112/项目基本情况!C12,D112*10000/项目基本情况!C12)),0)</f>
        <v>40169</v>
      </c>
      <c r="E113" s="2187"/>
      <c r="F113" s="2901"/>
      <c r="G113" s="2902"/>
      <c r="H113" s="2283" t="s">
        <v>1928</v>
      </c>
      <c r="I113" s="2290" t="str">
        <f>D115</f>
        <v>——</v>
      </c>
    </row>
    <row r="114" spans="1:15" ht="15.75">
      <c r="A114" s="2908" t="str">
        <f>IF(项目基本情况!F5="已注销及未注销","4.抵押担保权已注销时的房地产抵押价值",IF(项目基本情况!F5="已注销","3.抵押担保权已注销时的房地产抵押价值","——"))</f>
        <v>——</v>
      </c>
      <c r="B114" s="2909"/>
      <c r="C114" s="2283" t="str">
        <f>B101</f>
        <v>总价（元）</v>
      </c>
      <c r="D114" s="1046" t="str">
        <f>IF(A114="——","——",D106-D110-D111)</f>
        <v>——</v>
      </c>
      <c r="E114" s="2187"/>
      <c r="F114" s="2899" t="str">
        <f>IF(项目基本情况!G5="抵押净值",IF(OR(项目基本情况!F5="已注销",项目基本情况!F5="房地产抵押价值"),"4.抵押净值","5.抵押净值"),"——")</f>
        <v>4.抵押净值</v>
      </c>
      <c r="G114" s="2900"/>
      <c r="H114" s="2283" t="str">
        <f>C116</f>
        <v>总价（元）</v>
      </c>
      <c r="I114" s="1857">
        <f ca="1">IF(F114="——","——",N59)</f>
        <v>5915788</v>
      </c>
    </row>
    <row r="115" spans="1:15" ht="15.75" thickBot="1">
      <c r="A115" s="2908"/>
      <c r="B115" s="2909"/>
      <c r="C115" s="2283" t="s">
        <v>1928</v>
      </c>
      <c r="D115" s="1047" t="str">
        <f>IF(A114="——","——",ROUND(IF(D114=D106,D107,IF(H19="元",D114/项目基本情况!C12,D114*10000/项目基本情况!C12)),0))</f>
        <v>——</v>
      </c>
      <c r="E115" s="2187"/>
      <c r="F115" s="2910"/>
      <c r="G115" s="2911"/>
      <c r="H115" s="2291" t="s">
        <v>1928</v>
      </c>
      <c r="I115" s="1859">
        <f ca="1">D117</f>
        <v>30467</v>
      </c>
    </row>
    <row r="116" spans="1:15" ht="15.75">
      <c r="A116" s="2908" t="str">
        <f>IF(项目基本情况!G5="抵押净值",IF(OR(项目基本情况!F5="已注销",项目基本情况!F5="房地产抵押价值"),"4.抵押净值","5.抵押净值"),"——")</f>
        <v>4.抵押净值</v>
      </c>
      <c r="B116" s="2909"/>
      <c r="C116" s="2283" t="str">
        <f>B101</f>
        <v>总价（元）</v>
      </c>
      <c r="D116" s="1046">
        <f ca="1">IF(A116="——","——",N59)</f>
        <v>5915788</v>
      </c>
      <c r="E116" s="2187"/>
      <c r="F116" s="2914"/>
      <c r="G116" s="2914"/>
      <c r="H116" s="2915"/>
      <c r="I116" s="2915"/>
      <c r="N116" s="55"/>
      <c r="O116" s="55"/>
    </row>
    <row r="117" spans="1:15" ht="15.75" thickBot="1">
      <c r="A117" s="2912"/>
      <c r="B117" s="2913"/>
      <c r="C117" s="2291" t="s">
        <v>1928</v>
      </c>
      <c r="D117" s="1048">
        <f ca="1">IF(D116=D112,D113,IF(A116="——","——",N61))</f>
        <v>30467</v>
      </c>
      <c r="E117" s="2187"/>
      <c r="F117" s="2999" t="str">
        <f>IF(B32="总价","（以上估价结果中单价为总价除以建筑面积得出）","（以上估价结果中总价为楼面单价乘以建筑面积得出）")</f>
        <v>（以上估价结果中总价为楼面单价乘以建筑面积得出）</v>
      </c>
      <c r="G117" s="2999"/>
      <c r="H117" s="2999"/>
      <c r="I117" s="2999"/>
      <c r="N117" s="55"/>
      <c r="O117" s="55"/>
    </row>
    <row r="118" spans="1:15" ht="15">
      <c r="A118" s="2917" t="s">
        <v>1938</v>
      </c>
      <c r="B118" s="2918"/>
      <c r="C118" s="2918"/>
      <c r="D118" s="2918"/>
      <c r="E118" s="2918"/>
      <c r="F118" s="2918"/>
      <c r="G118" s="2918"/>
      <c r="H118" s="2918"/>
      <c r="I118" s="2918"/>
    </row>
    <row r="119" spans="1:15" ht="14.25">
      <c r="A119" s="2874" t="s">
        <v>1939</v>
      </c>
      <c r="B119" s="2903" t="s">
        <v>1940</v>
      </c>
      <c r="C119" s="2903" t="s">
        <v>1941</v>
      </c>
      <c r="D119" s="2905" t="s">
        <v>1942</v>
      </c>
      <c r="E119" s="2906"/>
      <c r="F119" s="2875" t="s">
        <v>1803</v>
      </c>
      <c r="G119" s="2875"/>
      <c r="H119" s="2875" t="s">
        <v>1943</v>
      </c>
      <c r="I119" s="2907"/>
    </row>
    <row r="120" spans="1:15" ht="14.25">
      <c r="A120" s="2874"/>
      <c r="B120" s="2904"/>
      <c r="C120" s="2904"/>
      <c r="D120" s="1881" t="s">
        <v>1944</v>
      </c>
      <c r="E120" s="1881" t="s">
        <v>1945</v>
      </c>
      <c r="F120" s="1881" t="s">
        <v>1944</v>
      </c>
      <c r="G120" s="1881" t="s">
        <v>1946</v>
      </c>
      <c r="H120" s="1881" t="s">
        <v>1944</v>
      </c>
      <c r="I120" s="637" t="s">
        <v>1946</v>
      </c>
    </row>
    <row r="121" spans="1:15" ht="14.25">
      <c r="A121" s="2173" t="str">
        <f>项目基本情况!I1</f>
        <v>北京市房地产</v>
      </c>
      <c r="B121" s="1881">
        <f>项目基本情况!C12</f>
        <v>194.17</v>
      </c>
      <c r="C121" s="1881">
        <f>项目基本情况!C13</f>
        <v>0</v>
      </c>
      <c r="D121" s="1881">
        <f ca="1">ROUND(IF(B32="总价",C34,IF('数据-取费表'!B3="万元",E121*B121/10000,E121*B121)),0)</f>
        <v>6988372</v>
      </c>
      <c r="E121" s="1881">
        <f ca="1">ROUND(IF(B32="楼面单价",C34,IF(H19="元",D121/B121,D121*10000/B121)),0)</f>
        <v>35991</v>
      </c>
      <c r="F121" s="1881">
        <f ca="1">ROUND(IF(B32="总价",C35,IF('数据-取费表'!B3="万元",G121*B121/10000,G121*B121)),0)</f>
        <v>811242</v>
      </c>
      <c r="G121" s="1881">
        <f ca="1">ROUND(IF(B32="楼面单价",C35,IF(H19="元",F121/B121,F121*10000/B121)),0)</f>
        <v>4178</v>
      </c>
      <c r="H121" s="1881">
        <f ca="1">ROUND(IF(B32="总价",C32,IF('数据-取费表'!B3="万元",I121*B121/10000,I121*B121)),0)</f>
        <v>7799615</v>
      </c>
      <c r="I121" s="637">
        <f ca="1">ROUND(IF(B32="楼面单价",C32,IF(H19="元",H121/B121,H121*10000/B121)),0)</f>
        <v>40169</v>
      </c>
    </row>
    <row r="122" spans="1:15" ht="14.25">
      <c r="A122" s="2874" t="s">
        <v>1947</v>
      </c>
      <c r="B122" s="2875"/>
      <c r="C122" s="2875"/>
      <c r="D122" s="2888" t="str">
        <f ca="1">IF(H19="元",NUMBERSTRING(INT(D121),2)&amp;"元整",NUMBERSTRING(INT(D121*10000),2)&amp;"元整")</f>
        <v>陆佰玖拾捌万捌仟叁佰柒拾贰元整</v>
      </c>
      <c r="E122" s="2889"/>
      <c r="F122" s="2888" t="str">
        <f ca="1">IF(H19="元",NUMBERSTRING(INT(F121),2)&amp;"元整",NUMBERSTRING(INT(F121*10000),2)&amp;"元整")</f>
        <v>捌拾壹万壹仟贰佰肆拾贰元整</v>
      </c>
      <c r="G122" s="2889"/>
      <c r="H122" s="2888" t="str">
        <f ca="1">IF(H19="元",NUMBERSTRING(INT(H121),2)&amp;"元整",NUMBERSTRING(INT(H121*10000),2)&amp;"元整")</f>
        <v>柒佰柒拾玖万玖仟陆佰壹拾伍元整</v>
      </c>
      <c r="I122" s="2890"/>
    </row>
    <row r="123" spans="1:15" ht="15">
      <c r="A123" s="2891" t="str">
        <f>IF(项目基本情况!D5="房地产市场价值","——",MID(A108,3,LEN(A108)-2))</f>
        <v>估价师所知悉的法定优先受偿款</v>
      </c>
      <c r="B123" s="2886"/>
      <c r="C123" s="2892"/>
      <c r="D123" s="2878">
        <f>I105</f>
        <v>0</v>
      </c>
      <c r="E123" s="2886"/>
      <c r="F123" s="2886"/>
      <c r="G123" s="2886"/>
      <c r="H123" s="2886"/>
      <c r="I123" s="2887"/>
    </row>
    <row r="124" spans="1:15" ht="14.25">
      <c r="A124" s="2880" t="s">
        <v>1947</v>
      </c>
      <c r="B124" s="2881"/>
      <c r="C124" s="2882"/>
      <c r="D124" s="2883">
        <f>H109</f>
        <v>0</v>
      </c>
      <c r="E124" s="2884"/>
      <c r="F124" s="2884"/>
      <c r="G124" s="2884"/>
      <c r="H124" s="2884"/>
      <c r="I124" s="2885"/>
    </row>
    <row r="125" spans="1:15" ht="15">
      <c r="A125" s="2869" t="str">
        <f>IF(项目基本情况!D5="房地产市场价值","——",MID(A112,3,LEN(A112)-2))</f>
        <v>房地产抵押价值</v>
      </c>
      <c r="B125" s="2870"/>
      <c r="C125" s="2870"/>
      <c r="D125" s="2878">
        <f ca="1">I110</f>
        <v>7799615</v>
      </c>
      <c r="E125" s="2886"/>
      <c r="F125" s="2886"/>
      <c r="G125" s="2886"/>
      <c r="H125" s="2886"/>
      <c r="I125" s="2887"/>
    </row>
    <row r="126" spans="1:15" ht="14.25">
      <c r="A126" s="2874" t="s">
        <v>1947</v>
      </c>
      <c r="B126" s="2875"/>
      <c r="C126" s="2875"/>
      <c r="D126" s="2883">
        <f ca="1">I111</f>
        <v>40169</v>
      </c>
      <c r="E126" s="2884"/>
      <c r="F126" s="2884"/>
      <c r="G126" s="2884"/>
      <c r="H126" s="2884"/>
      <c r="I126" s="2885"/>
    </row>
    <row r="127" spans="1:15" ht="15.75" thickBot="1">
      <c r="A127" s="2869" t="str">
        <f>IF(项目基本情况!D5="房地产市场价值","——",MID(A114,3,LEN(A114)-2))</f>
        <v/>
      </c>
      <c r="B127" s="2870"/>
      <c r="C127" s="2870"/>
      <c r="D127" s="2871" t="str">
        <f>I112</f>
        <v>——</v>
      </c>
      <c r="E127" s="2872"/>
      <c r="F127" s="2872"/>
      <c r="G127" s="2872"/>
      <c r="H127" s="2872"/>
      <c r="I127" s="2873"/>
    </row>
    <row r="128" spans="1:15" ht="15.75" thickTop="1" thickBot="1">
      <c r="A128" s="2874" t="s">
        <v>1947</v>
      </c>
      <c r="B128" s="2875"/>
      <c r="C128" s="2876"/>
      <c r="D128" s="2877" t="str">
        <f>I113</f>
        <v>——</v>
      </c>
      <c r="E128" s="2877"/>
      <c r="F128" s="2877"/>
      <c r="G128" s="2877"/>
      <c r="H128" s="2877"/>
      <c r="I128" s="2877"/>
    </row>
    <row r="129" spans="1:9" ht="16.5" thickTop="1" thickBot="1">
      <c r="A129" s="2869" t="str">
        <f>IF(项目基本情况!D5="房地产市场价值","——",MID(F114,3,LEN(F114)-2))</f>
        <v>抵押净值</v>
      </c>
      <c r="B129" s="2870"/>
      <c r="C129" s="2878"/>
      <c r="D129" s="2879">
        <f ca="1">I114</f>
        <v>5915788</v>
      </c>
      <c r="E129" s="2879"/>
      <c r="F129" s="2879"/>
      <c r="G129" s="2879"/>
      <c r="H129" s="2879"/>
      <c r="I129" s="2879"/>
    </row>
    <row r="130" spans="1:9" ht="15.75" thickTop="1" thickBot="1">
      <c r="A130" s="2860" t="s">
        <v>1947</v>
      </c>
      <c r="B130" s="2861"/>
      <c r="C130" s="2861"/>
      <c r="D130" s="2862">
        <f>H116</f>
        <v>0</v>
      </c>
      <c r="E130" s="2863"/>
      <c r="F130" s="2863"/>
      <c r="G130" s="2863"/>
      <c r="H130" s="2863"/>
      <c r="I130" s="2864"/>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865" t="str">
        <f>IF(B32="总价","（以上估价结果中楼面单价为总价除以建筑面积得出）","（以上估价结果中总价为楼面单价乘以建筑面积得出）")</f>
        <v>（以上估价结果中总价为楼面单价乘以建筑面积得出）</v>
      </c>
      <c r="B132" s="2865"/>
      <c r="C132" s="2865"/>
      <c r="D132" s="2865"/>
      <c r="E132" s="2865"/>
      <c r="F132" s="2865"/>
      <c r="G132" s="2865"/>
      <c r="H132" s="2865"/>
      <c r="I132" s="2865"/>
    </row>
    <row r="133" spans="1:9" ht="21.75" customHeight="1">
      <c r="A133" s="2292" t="s">
        <v>1948</v>
      </c>
      <c r="B133" s="2293"/>
      <c r="C133" s="2294" t="s">
        <v>1949</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1950</v>
      </c>
      <c r="G139" s="2306"/>
      <c r="H139" s="2306"/>
      <c r="I139" s="2307" t="s">
        <v>1951</v>
      </c>
    </row>
    <row r="140" spans="1:9" ht="21.75" customHeight="1">
      <c r="A140" s="797"/>
      <c r="B140" s="2308" t="s">
        <v>1952</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1953</v>
      </c>
    </row>
    <row r="143" spans="1:9" ht="21.75" customHeight="1">
      <c r="A143" s="797"/>
      <c r="B143" s="2308" t="s">
        <v>1954</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1953</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topLeftCell="I1" zoomScale="95" zoomScaleNormal="90" zoomScaleSheetLayoutView="95" workbookViewId="0">
      <pane ySplit="27" topLeftCell="A28" activePane="bottomLeft" state="frozen"/>
      <selection activeCell="A11" sqref="A11:D11"/>
      <selection pane="bottomLeft" activeCell="U22" sqref="U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2289</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2290</v>
      </c>
      <c r="B2" s="334">
        <f ca="1">B23</f>
        <v>13746234</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2291</v>
      </c>
      <c r="B3" s="334">
        <f ca="1">B24</f>
        <v>40169</v>
      </c>
      <c r="C3" s="1178" t="s">
        <v>2292</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2293</v>
      </c>
      <c r="C4" s="3005" t="s">
        <v>2294</v>
      </c>
      <c r="D4" s="3006"/>
      <c r="E4" s="3006"/>
      <c r="F4" s="3006"/>
      <c r="G4" s="3006"/>
      <c r="H4" s="3006"/>
      <c r="I4" s="3006"/>
      <c r="J4" s="3006"/>
      <c r="K4" s="3006"/>
      <c r="L4" s="3006"/>
      <c r="M4" s="3006"/>
      <c r="N4" s="3006"/>
      <c r="O4" s="3006"/>
      <c r="P4" s="3006"/>
      <c r="Q4" s="3006"/>
      <c r="R4" s="3006"/>
      <c r="S4" s="3007"/>
      <c r="T4" s="678" t="s">
        <v>2295</v>
      </c>
      <c r="U4" s="1307"/>
      <c r="V4" s="1307"/>
      <c r="X4" s="1307"/>
      <c r="Y4" s="1307"/>
    </row>
    <row r="5" spans="1:44" s="692" customFormat="1" ht="38.25">
      <c r="A5" s="1317"/>
      <c r="B5" s="687" t="s">
        <v>2296</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2297</v>
      </c>
      <c r="C8" s="2768" t="s">
        <v>2888</v>
      </c>
      <c r="D8" s="2768" t="s">
        <v>2889</v>
      </c>
      <c r="E8" s="2768" t="s">
        <v>2890</v>
      </c>
      <c r="F8" s="2770" t="s">
        <v>2891</v>
      </c>
      <c r="G8" s="1164"/>
      <c r="H8" s="1164"/>
      <c r="I8" s="1164"/>
      <c r="J8" s="1164"/>
      <c r="K8" s="1164"/>
      <c r="L8" s="1165"/>
      <c r="M8" s="1166"/>
      <c r="N8" s="1166"/>
      <c r="O8" s="1164"/>
      <c r="P8" s="1164"/>
      <c r="Q8" s="1164"/>
      <c r="R8" s="1164"/>
      <c r="S8" s="1196"/>
      <c r="T8" s="1167">
        <v>3</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97</v>
      </c>
      <c r="E9" s="1155">
        <f t="shared" si="7"/>
        <v>94</v>
      </c>
      <c r="F9" s="1155">
        <f t="shared" si="7"/>
        <v>91</v>
      </c>
      <c r="G9" s="1155">
        <f t="shared" si="7"/>
        <v>88</v>
      </c>
      <c r="H9" s="1155">
        <f t="shared" si="7"/>
        <v>85</v>
      </c>
      <c r="I9" s="1155">
        <f t="shared" si="7"/>
        <v>82</v>
      </c>
      <c r="J9" s="1155">
        <f t="shared" si="7"/>
        <v>79</v>
      </c>
      <c r="K9" s="1155">
        <f t="shared" si="7"/>
        <v>76</v>
      </c>
      <c r="L9" s="1155">
        <f t="shared" si="7"/>
        <v>73</v>
      </c>
      <c r="M9" s="1156">
        <f t="shared" si="7"/>
        <v>70</v>
      </c>
      <c r="N9" s="1156">
        <f t="shared" si="7"/>
        <v>67</v>
      </c>
      <c r="O9" s="1155">
        <f t="shared" si="7"/>
        <v>64</v>
      </c>
      <c r="P9" s="1155">
        <f t="shared" si="7"/>
        <v>61</v>
      </c>
      <c r="Q9" s="1155">
        <f t="shared" si="7"/>
        <v>58</v>
      </c>
      <c r="R9" s="1155">
        <f t="shared" si="7"/>
        <v>55</v>
      </c>
      <c r="S9" s="1197">
        <f t="shared" si="7"/>
        <v>52</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2298</v>
      </c>
      <c r="C10" s="2768" t="s">
        <v>2872</v>
      </c>
      <c r="D10" s="2768" t="s">
        <v>2873</v>
      </c>
      <c r="E10" s="2768" t="s">
        <v>2874</v>
      </c>
      <c r="F10" s="1149"/>
      <c r="G10" s="1149"/>
      <c r="H10" s="1149"/>
      <c r="I10" s="1149"/>
      <c r="J10" s="1149"/>
      <c r="K10" s="1149"/>
      <c r="L10" s="1149"/>
      <c r="M10" s="1151"/>
      <c r="N10" s="1142"/>
      <c r="O10" s="1144"/>
      <c r="P10" s="1145"/>
      <c r="Q10" s="1146"/>
      <c r="R10" s="1147"/>
      <c r="S10" s="1198"/>
      <c r="T10" s="699">
        <v>1</v>
      </c>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99</v>
      </c>
      <c r="E11" s="1155">
        <f t="shared" si="8"/>
        <v>98</v>
      </c>
      <c r="F11" s="1155">
        <f t="shared" si="8"/>
        <v>97</v>
      </c>
      <c r="G11" s="1155">
        <f t="shared" si="8"/>
        <v>96</v>
      </c>
      <c r="H11" s="1155">
        <f t="shared" si="8"/>
        <v>95</v>
      </c>
      <c r="I11" s="1155">
        <f t="shared" si="8"/>
        <v>94</v>
      </c>
      <c r="J11" s="1155">
        <f t="shared" si="8"/>
        <v>93</v>
      </c>
      <c r="K11" s="1155">
        <f t="shared" si="8"/>
        <v>92</v>
      </c>
      <c r="L11" s="1155">
        <f t="shared" si="8"/>
        <v>91</v>
      </c>
      <c r="M11" s="1156">
        <f t="shared" si="8"/>
        <v>90</v>
      </c>
      <c r="N11" s="1156">
        <f t="shared" ref="N11:S11" si="9">M11-$T$10</f>
        <v>89</v>
      </c>
      <c r="O11" s="1155">
        <f t="shared" si="9"/>
        <v>88</v>
      </c>
      <c r="P11" s="1155">
        <f t="shared" si="9"/>
        <v>87</v>
      </c>
      <c r="Q11" s="1155">
        <f t="shared" si="9"/>
        <v>86</v>
      </c>
      <c r="R11" s="1155">
        <f t="shared" si="9"/>
        <v>85</v>
      </c>
      <c r="S11" s="1197">
        <f t="shared" si="9"/>
        <v>84</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2299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2303</v>
      </c>
      <c r="B20" s="2362" t="s">
        <v>2304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2305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2306</v>
      </c>
      <c r="B23" s="308">
        <f ca="1">IF(F23="——",IF(C23="万元",T25,S25),IF(C23="万元",T25-H23,S25-H23))</f>
        <v>13746234</v>
      </c>
      <c r="C23" s="2364" t="str">
        <f>'数据-取费表'!B3</f>
        <v>元</v>
      </c>
      <c r="D23" s="84"/>
      <c r="E23" s="84"/>
      <c r="F23" s="2365" t="s">
        <v>1247</v>
      </c>
      <c r="G23" s="1874"/>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75">
      <c r="A24" s="2364" t="s">
        <v>2307</v>
      </c>
      <c r="B24" s="308">
        <f ca="1">R25</f>
        <v>40169</v>
      </c>
      <c r="C24" s="1139"/>
      <c r="D24" s="84"/>
      <c r="E24" s="84"/>
      <c r="F24" s="84"/>
      <c r="G24" s="84"/>
      <c r="H24" s="84"/>
      <c r="I24" s="84"/>
      <c r="J24" s="84"/>
      <c r="K24" s="84"/>
      <c r="L24" s="84"/>
      <c r="M24" s="84"/>
      <c r="N24" s="84"/>
      <c r="O24" s="84"/>
      <c r="P24" s="84"/>
      <c r="Q24" s="84"/>
      <c r="R24" s="768"/>
      <c r="S24" s="14" t="s">
        <v>2308</v>
      </c>
      <c r="T24" s="1891" t="s">
        <v>2309</v>
      </c>
      <c r="U24" s="2367" t="s">
        <v>2310</v>
      </c>
      <c r="V24" s="1337"/>
      <c r="W24" s="2368" t="s">
        <v>2311</v>
      </c>
      <c r="X24" s="2367" t="s">
        <v>2312</v>
      </c>
      <c r="Y24" s="1337"/>
      <c r="Z24" s="2369" t="s">
        <v>2311</v>
      </c>
    </row>
    <row r="25" spans="1:45">
      <c r="A25" s="334" t="s">
        <v>2313</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40169</v>
      </c>
      <c r="S25" s="14">
        <f ca="1">SUM(S27:S10000)</f>
        <v>13746234</v>
      </c>
      <c r="T25" s="14">
        <f ca="1">SUM(T27:T10000)</f>
        <v>1375</v>
      </c>
      <c r="U25" s="19">
        <f>SUM(U27:U10000)</f>
        <v>0</v>
      </c>
      <c r="V25" s="19">
        <f>SUM(V27:V10000)</f>
        <v>0</v>
      </c>
      <c r="W25" s="14"/>
      <c r="X25" s="19">
        <f>SUM(X27:X10000)</f>
        <v>0</v>
      </c>
      <c r="Y25" s="19">
        <f>SUM(Y27:Y10000)</f>
        <v>0</v>
      </c>
      <c r="Z25" s="2370"/>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3" t="s">
        <v>2317</v>
      </c>
      <c r="S26" s="10" t="s">
        <v>2318</v>
      </c>
      <c r="T26" s="10" t="s">
        <v>2318</v>
      </c>
      <c r="U26" s="1877" t="s">
        <v>2319</v>
      </c>
      <c r="V26" s="2371" t="s">
        <v>2320</v>
      </c>
      <c r="W26" s="2372" t="s">
        <v>2321</v>
      </c>
      <c r="X26" s="1877" t="s">
        <v>2319</v>
      </c>
      <c r="Y26" s="2371" t="s">
        <v>2320</v>
      </c>
      <c r="Z26" s="2372" t="s">
        <v>2321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2322</v>
      </c>
      <c r="B27" s="705">
        <f>'数据-取费表'!E5</f>
        <v>194.17</v>
      </c>
      <c r="C27" s="705">
        <v>1</v>
      </c>
      <c r="D27" s="706" t="s">
        <v>2913</v>
      </c>
      <c r="E27" s="705">
        <v>1</v>
      </c>
      <c r="F27" s="706" t="s">
        <v>2860</v>
      </c>
      <c r="G27" s="705">
        <v>1</v>
      </c>
      <c r="H27" s="706"/>
      <c r="I27" s="705">
        <v>1</v>
      </c>
      <c r="J27" s="706"/>
      <c r="K27" s="705">
        <v>1</v>
      </c>
      <c r="L27" s="706"/>
      <c r="M27" s="705">
        <v>1</v>
      </c>
      <c r="N27" s="706"/>
      <c r="O27" s="705">
        <v>1</v>
      </c>
      <c r="P27" s="706"/>
      <c r="Q27" s="705">
        <v>1</v>
      </c>
      <c r="R27" s="1187">
        <f ca="1">结果表!G20</f>
        <v>40169</v>
      </c>
      <c r="S27" s="705">
        <f ca="1">ROUND(R27*B27,0)</f>
        <v>7799615</v>
      </c>
      <c r="T27" s="705">
        <f ca="1">ROUND(R27*B27/10000,0)</f>
        <v>780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2913</v>
      </c>
      <c r="E28" s="14">
        <f t="shared" ref="E28:E91" si="15">(SUMIF($8:$8,D28,$9:$9)-SUMIF($8:$8,$D$27,$9:$9)+100)/100</f>
        <v>1</v>
      </c>
      <c r="F28" s="706" t="s">
        <v>2860</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40169</v>
      </c>
      <c r="S28" s="334">
        <f ca="1">ROUND(R28*B28,0)</f>
        <v>5946619</v>
      </c>
      <c r="T28" s="1177">
        <f ca="1">ROUND(R28*B28/10000,0)</f>
        <v>595</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70" zoomScaleNormal="70" zoomScaleSheetLayoutView="100" workbookViewId="0">
      <selection activeCell="D47" sqref="D4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2085</v>
      </c>
      <c r="B1" s="306"/>
      <c r="C1" s="729"/>
      <c r="D1" s="2688" t="s">
        <v>2851</v>
      </c>
      <c r="E1" s="2689"/>
      <c r="F1" s="2690"/>
      <c r="G1" s="2691"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1995</v>
      </c>
      <c r="B2" s="764">
        <f ca="1">IF(C2="元",IF('数据-取费表'!B28="租赁期内按合同租金",C40+L47+J29,C40+L47),ROUND(IF('数据-取费表'!B28="租赁期内按合同租金",(C40+L47+J29)/10000,(C40+L47)/10000),0))</f>
        <v>6532553</v>
      </c>
      <c r="C2" s="2328" t="str">
        <f>'数据-取费表'!B3</f>
        <v>元</v>
      </c>
      <c r="D2" s="1209"/>
      <c r="E2" s="1210"/>
      <c r="F2" s="1210"/>
      <c r="G2" s="1235"/>
      <c r="H2" s="728"/>
      <c r="I2" s="1211"/>
      <c r="J2" s="1211"/>
      <c r="K2" s="1212"/>
      <c r="L2" s="1211"/>
      <c r="M2" s="1211"/>
    </row>
    <row r="3" spans="1:37" ht="18" customHeight="1" thickBot="1">
      <c r="A3" s="310" t="s">
        <v>1996</v>
      </c>
      <c r="B3" s="765">
        <f ca="1">ROUND(IF('数据-取费表'!B28="租赁期内按合同租金",(C40+L47+J29)/F43,(C40+L47)/F43),0)</f>
        <v>33643</v>
      </c>
      <c r="C3" s="2328" t="s">
        <v>2086</v>
      </c>
      <c r="D3" s="1209"/>
      <c r="E3" s="1210"/>
      <c r="F3" s="1210"/>
      <c r="G3" s="1235"/>
      <c r="H3" s="311" t="s">
        <v>2087</v>
      </c>
      <c r="I3" s="1211"/>
      <c r="J3" s="1211"/>
      <c r="K3" s="1212"/>
      <c r="L3" s="1211"/>
      <c r="M3" s="1211"/>
    </row>
    <row r="4" spans="1:37" ht="18" customHeight="1">
      <c r="A4" s="312" t="s">
        <v>2088</v>
      </c>
      <c r="B4" s="313" t="s">
        <v>2089</v>
      </c>
      <c r="C4" s="313" t="s">
        <v>2090</v>
      </c>
      <c r="D4" s="313" t="s">
        <v>2091</v>
      </c>
      <c r="E4" s="314" t="s">
        <v>2092</v>
      </c>
      <c r="F4" s="315"/>
      <c r="G4" s="1233"/>
      <c r="H4" s="312" t="s">
        <v>2088</v>
      </c>
      <c r="I4" s="313" t="s">
        <v>2089</v>
      </c>
      <c r="J4" s="313" t="s">
        <v>2090</v>
      </c>
      <c r="K4" s="313" t="s">
        <v>2091</v>
      </c>
      <c r="L4" s="314" t="s">
        <v>2092</v>
      </c>
      <c r="M4" s="315"/>
    </row>
    <row r="5" spans="1:37" ht="18" customHeight="1">
      <c r="A5" s="316">
        <v>1</v>
      </c>
      <c r="B5" s="317" t="s">
        <v>2093</v>
      </c>
      <c r="C5" s="318">
        <f ca="1">C6+C10+C12</f>
        <v>383187</v>
      </c>
      <c r="D5" s="2742" t="s">
        <v>2815</v>
      </c>
      <c r="E5" s="1209"/>
      <c r="F5" s="1378"/>
      <c r="G5" s="1233"/>
      <c r="H5" s="316">
        <v>1</v>
      </c>
      <c r="I5" s="317" t="s">
        <v>2093</v>
      </c>
      <c r="J5" s="318">
        <f ca="1">J6+J10+J12</f>
        <v>0</v>
      </c>
      <c r="K5" s="2329" t="s">
        <v>2094</v>
      </c>
      <c r="L5" s="1209"/>
      <c r="M5" s="1378"/>
    </row>
    <row r="6" spans="1:37" ht="18" customHeight="1">
      <c r="A6" s="1379" t="s">
        <v>2095</v>
      </c>
      <c r="B6" s="2016" t="s">
        <v>2096</v>
      </c>
      <c r="C6" s="318">
        <f>ROUND(F6*F8*F7*(1-F9),0)</f>
        <v>382709</v>
      </c>
      <c r="D6" s="80" t="s">
        <v>2789</v>
      </c>
      <c r="E6" s="319" t="s">
        <v>2097</v>
      </c>
      <c r="F6" s="320">
        <f>'数据-取费表'!B29</f>
        <v>6</v>
      </c>
      <c r="G6" s="1233"/>
      <c r="H6" s="1379" t="s">
        <v>2095</v>
      </c>
      <c r="I6" s="2016" t="s">
        <v>2096</v>
      </c>
      <c r="J6" s="318">
        <f>ROUND(M6*M8*M7*(1-M9),0)</f>
        <v>0</v>
      </c>
      <c r="K6" s="80" t="s">
        <v>2789</v>
      </c>
      <c r="L6" s="319" t="s">
        <v>2097</v>
      </c>
      <c r="M6" s="320">
        <f>'数据-取费表'!B36</f>
        <v>0</v>
      </c>
    </row>
    <row r="7" spans="1:37" ht="18" customHeight="1">
      <c r="A7" s="1442"/>
      <c r="B7" s="322"/>
      <c r="C7" s="323"/>
      <c r="D7" s="324"/>
      <c r="E7" s="319" t="s">
        <v>2098</v>
      </c>
      <c r="F7" s="320">
        <f>IF('数据-取费表'!B41="",IF(D1="仅计算典型户型",'数据-取费表'!E5,'数据-取费表'!B5),'数据-取费表'!B41)</f>
        <v>194.17</v>
      </c>
      <c r="G7" s="1233"/>
      <c r="H7" s="321"/>
      <c r="I7" s="322"/>
      <c r="J7" s="323"/>
      <c r="K7" s="324"/>
      <c r="L7" s="319" t="s">
        <v>2098</v>
      </c>
      <c r="M7" s="320">
        <f>IF('数据-取费表'!B41="",IF(D1="仅计算典型户型",'数据-取费表'!E5,'数据-取费表'!B5),'数据-取费表'!B41)</f>
        <v>194.17</v>
      </c>
    </row>
    <row r="8" spans="1:37" ht="18" customHeight="1">
      <c r="A8" s="1442"/>
      <c r="B8" s="322"/>
      <c r="C8" s="323"/>
      <c r="D8" s="324"/>
      <c r="E8" s="319" t="s">
        <v>2099</v>
      </c>
      <c r="F8" s="320">
        <f>'数据-取费表'!B42</f>
        <v>365</v>
      </c>
      <c r="G8" s="1233"/>
      <c r="H8" s="321"/>
      <c r="I8" s="322"/>
      <c r="J8" s="323"/>
      <c r="K8" s="324"/>
      <c r="L8" s="319" t="s">
        <v>2100</v>
      </c>
      <c r="M8" s="320">
        <f>'数据-取费表'!B42</f>
        <v>365</v>
      </c>
    </row>
    <row r="9" spans="1:37" ht="18" customHeight="1">
      <c r="A9" s="1442"/>
      <c r="B9" s="322"/>
      <c r="C9" s="323"/>
      <c r="D9" s="328"/>
      <c r="E9" s="319" t="s">
        <v>2101</v>
      </c>
      <c r="F9" s="329">
        <f>'数据-取费表'!B32</f>
        <v>0.1</v>
      </c>
      <c r="G9" s="1233"/>
      <c r="H9" s="321"/>
      <c r="I9" s="322"/>
      <c r="J9" s="1381"/>
      <c r="K9" s="95"/>
      <c r="L9" s="330" t="s">
        <v>2101</v>
      </c>
      <c r="M9" s="329">
        <f>'数据-取费表'!B38</f>
        <v>0</v>
      </c>
    </row>
    <row r="10" spans="1:37" ht="18" customHeight="1">
      <c r="A10" s="1379" t="s">
        <v>2102</v>
      </c>
      <c r="B10" s="2330" t="s">
        <v>2103</v>
      </c>
      <c r="C10" s="1380">
        <f ca="1">ROUND(IF(F10="押一",C6/12*F11,IF(F10="押二",C6/12*2*F11,IF(F10="押三",C6/12*3*F11,C11*F11))),0)</f>
        <v>478</v>
      </c>
      <c r="D10" s="2331" t="s">
        <v>2797</v>
      </c>
      <c r="E10" s="330" t="s">
        <v>2104</v>
      </c>
      <c r="F10" s="2332" t="s">
        <v>2105</v>
      </c>
      <c r="G10" s="1233"/>
      <c r="H10" s="1379" t="s">
        <v>2102</v>
      </c>
      <c r="I10" s="2330" t="s">
        <v>2103</v>
      </c>
      <c r="J10" s="1380">
        <f ca="1">ROUND(IF(M10="押一",J6/12*M11,IF(M10="押二",J6/12*2*M11,IF(M10="押三",J6/12*3*M11,J11*M11))),0)</f>
        <v>0</v>
      </c>
      <c r="K10" s="80" t="s">
        <v>2797</v>
      </c>
      <c r="L10" s="330" t="s">
        <v>2104</v>
      </c>
      <c r="M10" s="2332"/>
    </row>
    <row r="11" spans="1:37" s="341" customFormat="1" ht="18" customHeight="1">
      <c r="A11" s="348"/>
      <c r="B11" s="2333" t="s">
        <v>2106</v>
      </c>
      <c r="C11" s="1413"/>
      <c r="D11" s="324"/>
      <c r="E11" s="330" t="s">
        <v>2107</v>
      </c>
      <c r="F11" s="331">
        <f ca="1">'数据-取费表'!B30</f>
        <v>1.4999999999999999E-2</v>
      </c>
      <c r="G11" s="1234"/>
      <c r="H11" s="325"/>
      <c r="I11" s="2333" t="s">
        <v>2108</v>
      </c>
      <c r="J11" s="1413"/>
      <c r="K11" s="324"/>
      <c r="L11" s="330" t="s">
        <v>2107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2109</v>
      </c>
      <c r="B12" s="2334" t="s">
        <v>2110</v>
      </c>
      <c r="C12" s="1420"/>
      <c r="D12" s="2335"/>
      <c r="E12" s="1426"/>
      <c r="F12" s="1421"/>
      <c r="G12" s="1233"/>
      <c r="H12" s="1419" t="s">
        <v>2109</v>
      </c>
      <c r="I12" s="2334" t="s">
        <v>2110</v>
      </c>
      <c r="J12" s="1420"/>
      <c r="K12" s="1436"/>
      <c r="L12" s="1426"/>
      <c r="M12" s="1437"/>
    </row>
    <row r="13" spans="1:37" s="341" customFormat="1" ht="18" customHeight="1" thickTop="1">
      <c r="A13" s="1415">
        <v>2</v>
      </c>
      <c r="B13" s="1416" t="s">
        <v>2111</v>
      </c>
      <c r="C13" s="327">
        <f ca="1">ROUND(C29*F13,0)</f>
        <v>681325</v>
      </c>
      <c r="D13" s="1417" t="s">
        <v>2112</v>
      </c>
      <c r="E13" s="1417" t="s">
        <v>2113</v>
      </c>
      <c r="F13" s="1418">
        <f>'数据-取费表'!E20</f>
        <v>0.72</v>
      </c>
      <c r="G13" s="1234"/>
      <c r="H13" s="1415">
        <v>2</v>
      </c>
      <c r="I13" s="1416" t="s">
        <v>2111</v>
      </c>
      <c r="J13" s="1381">
        <f ca="1">ROUND(J14*J15,0)</f>
        <v>0</v>
      </c>
      <c r="K13" s="1422" t="s">
        <v>2112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2114</v>
      </c>
      <c r="B14" s="319" t="s">
        <v>2115</v>
      </c>
      <c r="C14" s="338">
        <f>IF(D1="仅计算典型户型",'数据-取费表'!F18,'数据-取费表'!E18)</f>
        <v>640761</v>
      </c>
      <c r="D14" s="1882" t="s">
        <v>2116</v>
      </c>
      <c r="E14" s="1883"/>
      <c r="F14" s="974"/>
      <c r="G14" s="1234"/>
      <c r="H14" s="337" t="s">
        <v>2095</v>
      </c>
      <c r="I14" s="319" t="s">
        <v>2117</v>
      </c>
      <c r="J14" s="14">
        <f ca="1">C29</f>
        <v>946285</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2118</v>
      </c>
      <c r="B15" s="319" t="s">
        <v>2119</v>
      </c>
      <c r="C15" s="14">
        <f>ROUND(C14*F15,0)</f>
        <v>25630</v>
      </c>
      <c r="D15" s="339" t="s">
        <v>2120</v>
      </c>
      <c r="E15" s="339" t="s">
        <v>2121</v>
      </c>
      <c r="F15" s="340">
        <f>'数据-取费表'!E21</f>
        <v>0.04</v>
      </c>
      <c r="G15" s="1233"/>
      <c r="H15" s="1425" t="s">
        <v>2122</v>
      </c>
      <c r="I15" s="1426" t="s">
        <v>2123</v>
      </c>
      <c r="J15" s="1438">
        <f>'数据-取费表'!B39</f>
        <v>0</v>
      </c>
      <c r="K15" s="1439"/>
      <c r="L15" s="1440"/>
      <c r="M15" s="1441"/>
    </row>
    <row r="16" spans="1:37" s="341" customFormat="1" ht="18" customHeight="1" thickTop="1">
      <c r="A16" s="337" t="s">
        <v>2124</v>
      </c>
      <c r="B16" s="319" t="s">
        <v>2125</v>
      </c>
      <c r="C16" s="14">
        <f>ROUND(C14*F16,0)</f>
        <v>0</v>
      </c>
      <c r="D16" s="319" t="s">
        <v>2120</v>
      </c>
      <c r="E16" s="319" t="s">
        <v>2121</v>
      </c>
      <c r="F16" s="342">
        <f>IF('数据-取费表'!B10="住宅",'数据-取费表'!E22,0)</f>
        <v>0</v>
      </c>
      <c r="G16" s="1234"/>
      <c r="H16" s="1415" t="s">
        <v>14</v>
      </c>
      <c r="I16" s="1416" t="s">
        <v>2126</v>
      </c>
      <c r="J16" s="327">
        <f ca="1">ROUND(J17+J22+J23+J24,0)</f>
        <v>18926</v>
      </c>
      <c r="K16" s="1422" t="s">
        <v>2127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2128</v>
      </c>
      <c r="B17" s="319" t="s">
        <v>2129</v>
      </c>
      <c r="C17" s="14">
        <f>ROUND(F17*IF(D1="仅计算典型户型",'数据-取费表'!E5,'数据-取费表'!B5),0)</f>
        <v>38834</v>
      </c>
      <c r="D17" s="319" t="s">
        <v>2130</v>
      </c>
      <c r="E17" s="319" t="s">
        <v>2131</v>
      </c>
      <c r="F17" s="16">
        <f>'数据-取费表'!E23</f>
        <v>200</v>
      </c>
      <c r="G17" s="1234"/>
      <c r="H17" s="337" t="s">
        <v>2132</v>
      </c>
      <c r="I17" s="319" t="s">
        <v>2133</v>
      </c>
      <c r="J17" s="14">
        <f>ROUND(IF(项目基本情况!B7="自然人",J6*M17/(1+'数据-取费表'!F30),J18+J19+J20),0)</f>
        <v>0</v>
      </c>
      <c r="K17" s="1882" t="s">
        <v>2134</v>
      </c>
      <c r="L17" s="1887" t="s">
        <v>2135</v>
      </c>
      <c r="M17" s="343">
        <f>IF(项目基本情况!B7="企业","",IF('数据-取费表'!B10="住宅",5%,IF(M6*M7*M8/12/(1+'数据-取费表'!F30)&gt;20000,12%,7%)))</f>
        <v>7.0000000000000007E-2</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2136</v>
      </c>
      <c r="B18" s="319" t="s">
        <v>2137</v>
      </c>
      <c r="C18" s="14">
        <f>ROUND(C14*F18,0)</f>
        <v>9611</v>
      </c>
      <c r="D18" s="319" t="s">
        <v>2120</v>
      </c>
      <c r="E18" s="319" t="s">
        <v>2121</v>
      </c>
      <c r="F18" s="342">
        <f>'数据-取费表'!E24</f>
        <v>1.4999999999999999E-2</v>
      </c>
      <c r="G18" s="1233"/>
      <c r="H18" s="337" t="s">
        <v>2138</v>
      </c>
      <c r="I18" s="319" t="s">
        <v>2139</v>
      </c>
      <c r="J18" s="14" t="str">
        <f>IF(项目基本情况!B7="自然人","——",ROUND(J6*M18/(1+'数据-取费表'!F30),0))</f>
        <v>——</v>
      </c>
      <c r="K18" s="1887" t="s">
        <v>2817</v>
      </c>
      <c r="L18" s="319" t="s">
        <v>2121</v>
      </c>
      <c r="M18" s="342">
        <f>'数据-取费表'!E29</f>
        <v>5.6000000000000001E-2</v>
      </c>
    </row>
    <row r="19" spans="1:37" s="341" customFormat="1" ht="18" customHeight="1">
      <c r="A19" s="337" t="s">
        <v>2132</v>
      </c>
      <c r="B19" s="319" t="s">
        <v>2140</v>
      </c>
      <c r="C19" s="14">
        <f>SUM(C14:C18)</f>
        <v>714836</v>
      </c>
      <c r="D19" s="56" t="s">
        <v>2141</v>
      </c>
      <c r="E19" s="1892"/>
      <c r="F19" s="16"/>
      <c r="G19" s="1234"/>
      <c r="H19" s="337" t="s">
        <v>2118</v>
      </c>
      <c r="I19" s="319" t="s">
        <v>2142</v>
      </c>
      <c r="J19" s="14" t="str">
        <f>IF(项目基本情况!B7="自然人","——",IF(K19="按租金收入计税",ROUND(J6*M19/(1+'数据-取费表'!F30),0),ROUND(C29*M19*0.7,0)))</f>
        <v>——</v>
      </c>
      <c r="K19" s="2006" t="s">
        <v>2143</v>
      </c>
      <c r="L19" s="319" t="s">
        <v>2121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2102</v>
      </c>
      <c r="B20" s="319" t="s">
        <v>2144</v>
      </c>
      <c r="C20" s="14">
        <f>ROUND(C19*F20,0)</f>
        <v>14297</v>
      </c>
      <c r="D20" s="344" t="s">
        <v>2145</v>
      </c>
      <c r="E20" s="319" t="s">
        <v>2146</v>
      </c>
      <c r="F20" s="342">
        <f>'数据-取费表'!E25</f>
        <v>0.02</v>
      </c>
      <c r="G20" s="1234"/>
      <c r="H20" s="337" t="s">
        <v>2124</v>
      </c>
      <c r="I20" s="80" t="s">
        <v>2147</v>
      </c>
      <c r="J20" s="15" t="str">
        <f>IF(项目基本情况!B7="自然人","——",ROUND(M20*M21,0))</f>
        <v>——</v>
      </c>
      <c r="K20" s="346" t="s">
        <v>2148</v>
      </c>
      <c r="L20" s="319" t="s">
        <v>2149</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2150</v>
      </c>
      <c r="B21" s="319" t="s">
        <v>2151</v>
      </c>
      <c r="C21" s="702">
        <f>F21</f>
        <v>0.02</v>
      </c>
      <c r="D21" s="344" t="s">
        <v>2152</v>
      </c>
      <c r="E21" s="319" t="s">
        <v>2153</v>
      </c>
      <c r="F21" s="342">
        <f>'数据-取费表'!E26</f>
        <v>0.02</v>
      </c>
      <c r="G21" s="1233"/>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2"/>
      <c r="F22" s="16"/>
      <c r="G22" s="1233"/>
      <c r="H22" s="337" t="s">
        <v>2122</v>
      </c>
      <c r="I22" s="319" t="s">
        <v>2157</v>
      </c>
      <c r="J22" s="14">
        <f ca="1">ROUND(J14*M22,0)</f>
        <v>18926</v>
      </c>
      <c r="K22" s="1887" t="s">
        <v>2158</v>
      </c>
      <c r="L22" s="319" t="s">
        <v>2121</v>
      </c>
      <c r="M22" s="350">
        <f>'数据-取费表'!B44</f>
        <v>0.02</v>
      </c>
    </row>
    <row r="23" spans="1:37" ht="18" customHeight="1">
      <c r="A23" s="337" t="s">
        <v>2138</v>
      </c>
      <c r="B23" s="319" t="s">
        <v>2159</v>
      </c>
      <c r="C23" s="14">
        <f ca="1">IF('数据-取费表'!B23&lt;=1,ROUND(C19*F24*F23/2,0)+ROUND(C20*F24*F23/2,0),ROUND(C19*(POWER((1+F24),F23/2)-1),0)+ROUND(C20*(POWER((1+F24),F23/2)-1),0))</f>
        <v>34634</v>
      </c>
      <c r="D23" s="2000" t="str">
        <f>IF(F23&lt;=1,"(建造成本+管理费用)×利率×(建设周期÷2)","(建造成本+管理费用)×((1+利率)^(建设周期÷2)-1)")</f>
        <v>(建造成本+管理费用)×((1+利率)^(建设周期÷2)-1)</v>
      </c>
      <c r="E23" s="319" t="s">
        <v>2160</v>
      </c>
      <c r="F23" s="347">
        <f>'数据-取费表'!B21</f>
        <v>2</v>
      </c>
      <c r="G23" s="1233"/>
      <c r="H23" s="337" t="s">
        <v>2150</v>
      </c>
      <c r="I23" s="319" t="s">
        <v>2161</v>
      </c>
      <c r="J23" s="14">
        <f ca="1">ROUND(J13*M23,0)</f>
        <v>0</v>
      </c>
      <c r="K23" s="1887"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0" t="str">
        <f>IF(F23&lt;=1,"销售费用×利率×(建设周期÷2)","销售费用×((1+利率)^(建设周期÷2)-1)")</f>
        <v>销售费用×((1+利率)^(建设周期÷2)-1)</v>
      </c>
      <c r="E24" s="319" t="s">
        <v>2166</v>
      </c>
      <c r="F24" s="352">
        <f ca="1">'数据-取费表'!E27</f>
        <v>4.7500000000000001E-2</v>
      </c>
      <c r="G24" s="1234"/>
      <c r="H24" s="1425" t="s">
        <v>2155</v>
      </c>
      <c r="I24" s="1426" t="s">
        <v>2144</v>
      </c>
      <c r="J24" s="1427">
        <f ca="1">ROUND(J5*M24,0)</f>
        <v>0</v>
      </c>
      <c r="K24" s="1428" t="s">
        <v>2167</v>
      </c>
      <c r="L24" s="1426" t="s">
        <v>2163</v>
      </c>
      <c r="M24" s="1421">
        <f>'数据-取费表'!B46</f>
        <v>1.4999999999999999E-2</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2168</v>
      </c>
      <c r="B25" s="319" t="s">
        <v>2169</v>
      </c>
      <c r="C25" s="14"/>
      <c r="D25" s="56" t="s">
        <v>2170</v>
      </c>
      <c r="E25" s="1892"/>
      <c r="F25" s="16"/>
      <c r="G25" s="1234"/>
      <c r="H25" s="1415" t="s">
        <v>22</v>
      </c>
      <c r="I25" s="1430" t="s">
        <v>2171</v>
      </c>
      <c r="J25" s="327">
        <f ca="1">J5-J16</f>
        <v>-18926</v>
      </c>
      <c r="K25" s="1431" t="s">
        <v>2172</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2114</v>
      </c>
      <c r="B26" s="319" t="s">
        <v>2173</v>
      </c>
      <c r="C26" s="14">
        <f>ROUND((C19+C20)*F26,0)</f>
        <v>109370</v>
      </c>
      <c r="D26" s="344" t="s">
        <v>2174</v>
      </c>
      <c r="E26" s="330" t="s">
        <v>2175</v>
      </c>
      <c r="F26" s="329">
        <f>'数据-取费表'!E28</f>
        <v>0.15</v>
      </c>
      <c r="G26" s="790"/>
      <c r="H26" s="316" t="s">
        <v>23</v>
      </c>
      <c r="I26" s="317" t="s">
        <v>2176</v>
      </c>
      <c r="J26" s="318">
        <f ca="1">IF(J5&lt;&gt;0,ROUND(J25*(1-((1+M28)/(1+M26))^M27)/(M26-M28),0),0)</f>
        <v>0</v>
      </c>
      <c r="K26" s="346" t="s">
        <v>2177</v>
      </c>
      <c r="L26" s="319" t="s">
        <v>2178</v>
      </c>
      <c r="M26" s="329">
        <f>'数据-取费表'!B16</f>
        <v>5.5E-2</v>
      </c>
    </row>
    <row r="27" spans="1:37" ht="18" customHeight="1">
      <c r="A27" s="337" t="s">
        <v>2179</v>
      </c>
      <c r="B27" s="319" t="s">
        <v>2180</v>
      </c>
      <c r="C27" s="14">
        <f>ROUND(F21*F26,4)</f>
        <v>3.0000000000000001E-3</v>
      </c>
      <c r="D27" s="344" t="s">
        <v>2181</v>
      </c>
      <c r="E27" s="339"/>
      <c r="F27" s="340"/>
      <c r="G27" s="790"/>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0"/>
      <c r="H28" s="325"/>
      <c r="I28" s="326"/>
      <c r="J28" s="327"/>
      <c r="K28" s="349"/>
      <c r="L28" s="319" t="s">
        <v>2187</v>
      </c>
      <c r="M28" s="329">
        <f>'数据-取费表'!B37</f>
        <v>0</v>
      </c>
    </row>
    <row r="29" spans="1:37" ht="18" customHeight="1" thickBot="1">
      <c r="A29" s="1425" t="s">
        <v>2188</v>
      </c>
      <c r="B29" s="1426" t="s">
        <v>2189</v>
      </c>
      <c r="C29" s="1427">
        <f ca="1">ROUND((C19+C20+C23+C26)/(1-F21-C24-C27-C28),0)</f>
        <v>946285</v>
      </c>
      <c r="D29" s="1428"/>
      <c r="E29" s="1426"/>
      <c r="F29" s="1429"/>
      <c r="G29" s="790"/>
      <c r="H29" s="356" t="s">
        <v>24</v>
      </c>
      <c r="I29" s="357" t="s">
        <v>2190</v>
      </c>
      <c r="J29" s="358">
        <f ca="1">ROUND(J26/(1+F40)^F41,0)</f>
        <v>0</v>
      </c>
      <c r="K29" s="359" t="s">
        <v>2191</v>
      </c>
      <c r="L29" s="360"/>
      <c r="M29" s="361">
        <f>IF(D1="仅计算典型户型",'数据-取费表'!E5,'数据-取费表'!B5)</f>
        <v>194.17</v>
      </c>
    </row>
    <row r="30" spans="1:37" ht="18" customHeight="1" thickTop="1">
      <c r="A30" s="1415" t="s">
        <v>14</v>
      </c>
      <c r="B30" s="1416" t="s">
        <v>2192</v>
      </c>
      <c r="C30" s="327">
        <f ca="1">ROUND(C31+C36+C37+C38,0)</f>
        <v>69434</v>
      </c>
      <c r="D30" s="1422" t="s">
        <v>2193</v>
      </c>
      <c r="E30" s="1423"/>
      <c r="F30" s="1424"/>
      <c r="G30" s="790"/>
      <c r="H30" s="1213"/>
      <c r="I30" s="1214"/>
      <c r="J30" s="1215"/>
      <c r="K30" s="1216"/>
      <c r="L30" s="1217"/>
      <c r="M30" s="1218"/>
    </row>
    <row r="31" spans="1:37" ht="18" customHeight="1">
      <c r="A31" s="337" t="s">
        <v>2095</v>
      </c>
      <c r="B31" s="319" t="s">
        <v>2133</v>
      </c>
      <c r="C31" s="14">
        <f>ROUND(IF(项目基本情况!B7="自然人",C6*F31/(1+'数据-取费表'!F30),C32+C33+C34),0)</f>
        <v>43738</v>
      </c>
      <c r="D31" s="1882" t="s">
        <v>2194</v>
      </c>
      <c r="E31" s="1887" t="s">
        <v>2195</v>
      </c>
      <c r="F31" s="343">
        <f>IF(项目基本情况!B7="企业","",IF('数据-取费表'!B10="住宅",5%,IF(F6*F7*F8/12/(1+'数据-取费表'!F30)&gt;20000,12%,7%)))</f>
        <v>0.12</v>
      </c>
      <c r="G31" s="790"/>
      <c r="H31" s="1213"/>
      <c r="I31" s="1214"/>
      <c r="J31" s="1215"/>
      <c r="K31" s="1216"/>
      <c r="L31" s="1217"/>
      <c r="M31" s="1218"/>
    </row>
    <row r="32" spans="1:37" ht="18" customHeight="1">
      <c r="A32" s="337" t="s">
        <v>2114</v>
      </c>
      <c r="B32" s="319" t="s">
        <v>2196</v>
      </c>
      <c r="C32" s="14" t="str">
        <f>IF(项目基本情况!B7="自然人","——",ROUND(C6*F32/(1+'数据-取费表'!F30),0))</f>
        <v>——</v>
      </c>
      <c r="D32" s="1887" t="s">
        <v>2816</v>
      </c>
      <c r="E32" s="319" t="s">
        <v>2146</v>
      </c>
      <c r="F32" s="352">
        <f>'数据-取费表'!E29</f>
        <v>5.6000000000000001E-2</v>
      </c>
      <c r="G32" s="790"/>
      <c r="H32" s="1219"/>
      <c r="I32" s="1220"/>
      <c r="J32" s="1221"/>
      <c r="K32" s="1222"/>
      <c r="L32" s="1223"/>
      <c r="M32" s="1224"/>
    </row>
    <row r="33" spans="1:18" ht="18" customHeight="1">
      <c r="A33" s="337" t="s">
        <v>2118</v>
      </c>
      <c r="B33" s="319" t="s">
        <v>2142</v>
      </c>
      <c r="C33" s="14" t="str">
        <f>IF(项目基本情况!B7="自然人","——",IF(D33="按租金收入计税",ROUND(C6*F33/(1+'数据-取费表'!F30),0),IF(D33="按房产原值计税",ROUND(C29*F33*0.7,0),'数据-取费表'!B43)))</f>
        <v>——</v>
      </c>
      <c r="D33" s="2006" t="s">
        <v>2918</v>
      </c>
      <c r="E33" s="319" t="s">
        <v>2121</v>
      </c>
      <c r="F33" s="342">
        <f>IF(D33="按票据","——",IF(D33="按租金收入计税",'数据-取费表'!E39,'数据-取费表'!E38))</f>
        <v>0.12</v>
      </c>
      <c r="G33" s="790"/>
      <c r="H33" s="1225"/>
      <c r="I33" s="363" t="s">
        <v>2198</v>
      </c>
      <c r="J33" s="364"/>
      <c r="K33" s="1226"/>
      <c r="L33" s="1225"/>
      <c r="M33" s="1225"/>
    </row>
    <row r="34" spans="1:18" ht="18" customHeight="1">
      <c r="A34" s="1379" t="s">
        <v>2124</v>
      </c>
      <c r="B34" s="80" t="s">
        <v>2147</v>
      </c>
      <c r="C34" s="15" t="str">
        <f>IF(项目基本情况!B7="自然人","——",ROUND(F34*F35,0))</f>
        <v>——</v>
      </c>
      <c r="D34" s="346" t="s">
        <v>2148</v>
      </c>
      <c r="E34" s="319" t="s">
        <v>2149</v>
      </c>
      <c r="F34" s="347">
        <f>'数据-取费表'!E40</f>
        <v>0</v>
      </c>
      <c r="G34" s="790"/>
      <c r="H34" s="1213"/>
      <c r="I34" s="365" t="s">
        <v>2199</v>
      </c>
      <c r="J34" s="366">
        <f ca="1">ROUND(C13*J35,0)</f>
        <v>57913</v>
      </c>
      <c r="K34" s="1227"/>
      <c r="L34" s="1228"/>
      <c r="M34" s="1228"/>
    </row>
    <row r="35" spans="1:18" ht="24.6" customHeight="1">
      <c r="A35" s="1383"/>
      <c r="B35" s="328"/>
      <c r="C35" s="19"/>
      <c r="D35" s="349"/>
      <c r="E35" s="319" t="s">
        <v>2154</v>
      </c>
      <c r="F35" s="320">
        <f>IF(D1="仅计算典型户型",'数据-取费表'!E6,'数据-取费表'!B6)</f>
        <v>0</v>
      </c>
      <c r="G35" s="790"/>
      <c r="H35" s="1213"/>
      <c r="I35" s="367" t="s">
        <v>2200</v>
      </c>
      <c r="J35" s="368">
        <f>'数据-取费表'!B17</f>
        <v>8.5000000000000006E-2</v>
      </c>
      <c r="K35" s="1226"/>
      <c r="L35" s="1225"/>
      <c r="M35" s="1225"/>
    </row>
    <row r="36" spans="1:18" ht="18" customHeight="1">
      <c r="A36" s="1382" t="s">
        <v>2102</v>
      </c>
      <c r="B36" s="319" t="s">
        <v>2201</v>
      </c>
      <c r="C36" s="14">
        <f ca="1">ROUND(C29*F36,0)</f>
        <v>18926</v>
      </c>
      <c r="D36" s="1887" t="s">
        <v>2202</v>
      </c>
      <c r="E36" s="319" t="s">
        <v>2146</v>
      </c>
      <c r="F36" s="350">
        <f>'数据-取费表'!B44</f>
        <v>0.02</v>
      </c>
      <c r="G36" s="790"/>
      <c r="H36" s="1225"/>
      <c r="I36" s="369" t="s">
        <v>2203</v>
      </c>
      <c r="J36" s="370"/>
      <c r="K36" s="1229"/>
      <c r="L36" s="1225"/>
      <c r="M36" s="1225"/>
    </row>
    <row r="37" spans="1:18" ht="18" customHeight="1">
      <c r="A37" s="337" t="s">
        <v>2150</v>
      </c>
      <c r="B37" s="319" t="s">
        <v>2161</v>
      </c>
      <c r="C37" s="14">
        <f ca="1">ROUND(C13*F37,0)</f>
        <v>1022</v>
      </c>
      <c r="D37" s="1887" t="s">
        <v>2162</v>
      </c>
      <c r="E37" s="319" t="s">
        <v>2163</v>
      </c>
      <c r="F37" s="351">
        <f>'数据-取费表'!B45</f>
        <v>1.5E-3</v>
      </c>
      <c r="G37" s="790"/>
      <c r="H37" s="1225"/>
      <c r="I37" s="216" t="s">
        <v>2204</v>
      </c>
      <c r="J37" s="371"/>
      <c r="K37" s="1229"/>
      <c r="L37" s="1225"/>
      <c r="M37" s="1225"/>
    </row>
    <row r="38" spans="1:18" ht="18" customHeight="1" thickBot="1">
      <c r="A38" s="1425" t="s">
        <v>2155</v>
      </c>
      <c r="B38" s="1426" t="s">
        <v>2144</v>
      </c>
      <c r="C38" s="1427">
        <f ca="1">ROUND(C5*F38,0)</f>
        <v>5748</v>
      </c>
      <c r="D38" s="1428" t="s">
        <v>2167</v>
      </c>
      <c r="E38" s="1426" t="s">
        <v>2163</v>
      </c>
      <c r="F38" s="1421">
        <f>'数据-取费表'!B46</f>
        <v>1.4999999999999999E-2</v>
      </c>
      <c r="G38" s="790"/>
      <c r="H38" s="1225"/>
      <c r="I38" s="365" t="s">
        <v>2205</v>
      </c>
      <c r="J38" s="220">
        <f ca="1">ROUND(J34/C39,3)</f>
        <v>0.185</v>
      </c>
      <c r="K38" s="1230"/>
      <c r="L38" s="1225"/>
      <c r="M38" s="1225"/>
    </row>
    <row r="39" spans="1:18" ht="18" customHeight="1" thickTop="1">
      <c r="A39" s="1415" t="s">
        <v>22</v>
      </c>
      <c r="B39" s="1430" t="s">
        <v>2206</v>
      </c>
      <c r="C39" s="327">
        <f ca="1">C5-C30</f>
        <v>313753</v>
      </c>
      <c r="D39" s="1431" t="s">
        <v>2207</v>
      </c>
      <c r="E39" s="1432"/>
      <c r="F39" s="1433"/>
      <c r="G39" s="790"/>
      <c r="H39" s="1225"/>
      <c r="I39" s="365" t="s">
        <v>2208</v>
      </c>
      <c r="J39" s="220">
        <f ca="1">1-J38</f>
        <v>0.81499999999999995</v>
      </c>
      <c r="K39" s="1230"/>
      <c r="L39" s="1225"/>
      <c r="M39" s="1225"/>
    </row>
    <row r="40" spans="1:18" s="790" customFormat="1" ht="18" customHeight="1">
      <c r="A40" s="316" t="s">
        <v>23</v>
      </c>
      <c r="B40" s="317" t="s">
        <v>2209</v>
      </c>
      <c r="C40" s="318">
        <f ca="1">ROUND(C39*(1-((1+F42)/(1+F40))^F41)/(F40-F42),0)</f>
        <v>6532553</v>
      </c>
      <c r="D40" s="346" t="s">
        <v>2177</v>
      </c>
      <c r="E40" s="319" t="s">
        <v>2178</v>
      </c>
      <c r="F40" s="329">
        <f>'数据-取费表'!B16</f>
        <v>5.5E-2</v>
      </c>
      <c r="H40" s="1231"/>
      <c r="I40" s="216" t="s">
        <v>2210</v>
      </c>
      <c r="J40" s="217"/>
      <c r="K40" s="1230"/>
      <c r="L40" s="1231"/>
      <c r="M40" s="1231"/>
      <c r="Q40" s="794"/>
    </row>
    <row r="41" spans="1:18" s="790" customFormat="1" ht="18" customHeight="1">
      <c r="A41" s="321"/>
      <c r="B41" s="322"/>
      <c r="C41" s="323"/>
      <c r="D41" s="354" t="s">
        <v>2211</v>
      </c>
      <c r="E41" s="1820" t="s">
        <v>2800</v>
      </c>
      <c r="F41" s="355">
        <f>IF('数据-取费表'!B28="租赁期内按合同租金",'数据-取费表'!B34,IF(E41="收益年期(n)",'数据-取费表'!B33,'数据-取费表'!B13))</f>
        <v>30.65</v>
      </c>
      <c r="H41" s="1232"/>
      <c r="I41" s="219" t="s">
        <v>2083</v>
      </c>
      <c r="J41" s="220">
        <f ca="1">ROUND(C13/C40,3)</f>
        <v>0.104</v>
      </c>
      <c r="K41" s="1229"/>
      <c r="L41" s="1232"/>
      <c r="M41" s="1232"/>
      <c r="Q41" s="794"/>
    </row>
    <row r="42" spans="1:18" s="790" customFormat="1" ht="18" customHeight="1">
      <c r="A42" s="325"/>
      <c r="B42" s="326"/>
      <c r="C42" s="327"/>
      <c r="D42" s="349"/>
      <c r="E42" s="319" t="s">
        <v>2187</v>
      </c>
      <c r="F42" s="329">
        <f>'数据-取费表'!B31</f>
        <v>0.03</v>
      </c>
      <c r="H42" s="1232"/>
      <c r="I42" s="219" t="s">
        <v>2084</v>
      </c>
      <c r="J42" s="221">
        <f ca="1">1-J41</f>
        <v>0.89600000000000002</v>
      </c>
      <c r="K42" s="1229"/>
      <c r="L42" s="1232"/>
      <c r="M42" s="1232"/>
      <c r="Q42" s="794"/>
    </row>
    <row r="43" spans="1:18" s="790" customFormat="1" ht="18" customHeight="1" thickBot="1">
      <c r="A43" s="356" t="s">
        <v>24</v>
      </c>
      <c r="B43" s="357" t="s">
        <v>2212</v>
      </c>
      <c r="C43" s="358">
        <f ca="1">ROUND(C40/F43,0)</f>
        <v>33643</v>
      </c>
      <c r="D43" s="359" t="s">
        <v>2213</v>
      </c>
      <c r="E43" s="360" t="s">
        <v>2214</v>
      </c>
      <c r="F43" s="361">
        <f>IF(D1="仅计算典型户型",'数据-取费表'!E5,'数据-取费表'!B5)</f>
        <v>194.17</v>
      </c>
      <c r="G43" s="792"/>
      <c r="H43" s="1232"/>
      <c r="I43" s="1232"/>
      <c r="J43" s="1232"/>
      <c r="K43" s="1229"/>
      <c r="L43" s="1232"/>
      <c r="M43" s="1232"/>
      <c r="O43" s="1356" t="s">
        <v>2215</v>
      </c>
      <c r="P43" s="1357"/>
      <c r="Q43" s="1353"/>
      <c r="R43" s="1357"/>
    </row>
    <row r="44" spans="1:18" s="790" customFormat="1" ht="18" customHeight="1" thickBot="1">
      <c r="A44" s="775"/>
      <c r="B44" s="775"/>
      <c r="C44" s="789"/>
      <c r="D44" s="775"/>
      <c r="E44" s="775"/>
      <c r="F44" s="775"/>
      <c r="G44" s="792"/>
      <c r="K44" s="791"/>
      <c r="O44" s="1358" t="s">
        <v>2216</v>
      </c>
      <c r="P44" s="1359" t="s">
        <v>2217</v>
      </c>
      <c r="Q44" s="1360" t="s">
        <v>2218</v>
      </c>
      <c r="R44" s="1361" t="s">
        <v>2219</v>
      </c>
    </row>
    <row r="45" spans="1:18" s="790" customFormat="1" ht="18" customHeight="1" thickBot="1">
      <c r="A45" s="775"/>
      <c r="B45" s="775"/>
      <c r="C45" s="789"/>
      <c r="D45" s="775"/>
      <c r="E45" s="775"/>
      <c r="F45" s="775"/>
      <c r="G45" s="793"/>
      <c r="K45" s="791"/>
      <c r="O45" s="1362" t="s">
        <v>953</v>
      </c>
      <c r="P45" s="1363" t="s">
        <v>2220</v>
      </c>
      <c r="Q45" s="1364">
        <f ca="1">C40+J29</f>
        <v>6532553</v>
      </c>
      <c r="R45" s="1365" t="s">
        <v>2221</v>
      </c>
    </row>
    <row r="46" spans="1:18" s="790" customFormat="1" ht="18" customHeight="1" thickBot="1">
      <c r="A46" s="775"/>
      <c r="D46" s="775"/>
      <c r="E46" s="775"/>
      <c r="F46" s="775"/>
      <c r="K46" s="791"/>
      <c r="O46" s="1362" t="s">
        <v>954</v>
      </c>
      <c r="P46" s="1363" t="s">
        <v>2222</v>
      </c>
      <c r="Q46" s="1364" t="str">
        <f>J61</f>
        <v>0</v>
      </c>
      <c r="R46" s="1365" t="s">
        <v>2223</v>
      </c>
    </row>
    <row r="47" spans="1:18" s="790" customFormat="1" ht="21.75" thickBot="1">
      <c r="A47" s="2336" t="s">
        <v>2224</v>
      </c>
      <c r="C47" s="1298">
        <f ca="1">IF(C2="元",C69-C40,ROUND((C69-C40)/10000,0))</f>
        <v>-6824961</v>
      </c>
      <c r="D47" s="2337" t="str">
        <f>C2</f>
        <v>元</v>
      </c>
      <c r="E47" s="775"/>
      <c r="F47" s="775"/>
      <c r="I47" s="2338" t="s">
        <v>2225</v>
      </c>
      <c r="J47" s="1338"/>
      <c r="K47" s="1339"/>
      <c r="L47" s="1352" t="str">
        <f>IF(M48="住宅",0,IF(L49&gt;J52,L61,J61))</f>
        <v>0</v>
      </c>
      <c r="O47" s="1366" t="s">
        <v>955</v>
      </c>
      <c r="P47" s="1363" t="s">
        <v>2226</v>
      </c>
      <c r="Q47" s="1364">
        <f ca="1">C29</f>
        <v>946285</v>
      </c>
      <c r="R47" s="1365" t="s">
        <v>2221</v>
      </c>
    </row>
    <row r="48" spans="1:18" s="790" customFormat="1" ht="15.75" thickBot="1">
      <c r="A48" s="312" t="s">
        <v>2227</v>
      </c>
      <c r="B48" s="313" t="s">
        <v>2228</v>
      </c>
      <c r="C48" s="313" t="s">
        <v>2229</v>
      </c>
      <c r="D48" s="313" t="s">
        <v>2230</v>
      </c>
      <c r="E48" s="1292" t="s">
        <v>2231</v>
      </c>
      <c r="F48" s="1293"/>
      <c r="I48" s="2339" t="s">
        <v>2232</v>
      </c>
      <c r="J48" s="2340" t="s">
        <v>2907</v>
      </c>
      <c r="K48" s="2341" t="s">
        <v>2233</v>
      </c>
      <c r="L48" s="1340">
        <f>'数据-取费表'!B11</f>
        <v>50</v>
      </c>
      <c r="M48" s="1353" t="str">
        <f>IF('数据-取费表'!B10="住宅","住宅","非住宅")</f>
        <v>非住宅</v>
      </c>
      <c r="O48" s="1366" t="s">
        <v>956</v>
      </c>
      <c r="P48" s="1363" t="s">
        <v>2234</v>
      </c>
      <c r="Q48" s="1367" t="e">
        <f>J59</f>
        <v>#VALUE!</v>
      </c>
      <c r="R48" s="1365"/>
    </row>
    <row r="49" spans="1:18" s="790" customFormat="1" ht="15.75" thickBot="1">
      <c r="A49" s="1452" t="s">
        <v>1026</v>
      </c>
      <c r="B49" s="317" t="s">
        <v>2235</v>
      </c>
      <c r="C49" s="1453">
        <f ca="1">C50+C54+C56</f>
        <v>0</v>
      </c>
      <c r="D49" s="1454"/>
      <c r="E49" s="101"/>
      <c r="F49" s="16"/>
      <c r="I49" s="2342" t="s">
        <v>2236</v>
      </c>
      <c r="J49" s="2343" t="s">
        <v>2915</v>
      </c>
      <c r="K49" s="2344" t="s">
        <v>2237</v>
      </c>
      <c r="L49" s="1123">
        <f>'数据-取费表'!B13</f>
        <v>30.65</v>
      </c>
      <c r="O49" s="1366" t="s">
        <v>957</v>
      </c>
      <c r="P49" s="1363" t="s">
        <v>2238</v>
      </c>
      <c r="Q49" s="1367">
        <f>J53</f>
        <v>0</v>
      </c>
      <c r="R49" s="1365"/>
    </row>
    <row r="50" spans="1:18" s="790" customFormat="1" ht="15.75" thickBot="1">
      <c r="A50" s="345" t="s">
        <v>2095</v>
      </c>
      <c r="B50" s="2016" t="s">
        <v>2239</v>
      </c>
      <c r="C50" s="318">
        <f>ROUND(F50*F52*F51*(1-F53),0)</f>
        <v>0</v>
      </c>
      <c r="D50" s="93" t="s">
        <v>2790</v>
      </c>
      <c r="E50" s="2345" t="s">
        <v>2240</v>
      </c>
      <c r="F50" s="1294"/>
      <c r="I50" s="2342" t="s">
        <v>2241</v>
      </c>
      <c r="J50" s="1123">
        <f>'数据-取费表'!B26</f>
        <v>2003</v>
      </c>
      <c r="K50" s="2346" t="s">
        <v>2242</v>
      </c>
      <c r="L50" s="1341"/>
      <c r="O50" s="1366" t="s">
        <v>958</v>
      </c>
      <c r="P50" s="1363" t="s">
        <v>2243</v>
      </c>
      <c r="Q50" s="1364">
        <f>J54</f>
        <v>30.65</v>
      </c>
      <c r="R50" s="1365" t="s">
        <v>2244</v>
      </c>
    </row>
    <row r="51" spans="1:18" s="790" customFormat="1" ht="15.75" thickBot="1">
      <c r="A51" s="321"/>
      <c r="B51" s="322"/>
      <c r="C51" s="323"/>
      <c r="D51" s="324"/>
      <c r="E51" s="339" t="s">
        <v>2098</v>
      </c>
      <c r="F51" s="1291">
        <f>F7</f>
        <v>194.17</v>
      </c>
      <c r="I51" s="2342" t="s">
        <v>2245</v>
      </c>
      <c r="J51" s="1342">
        <f>SUMPRODUCT((I64:I66=J48)*(J63:L63=J49)*(J64:L66))</f>
        <v>60</v>
      </c>
      <c r="K51" s="2346" t="s">
        <v>2246</v>
      </c>
      <c r="L51" s="1341"/>
      <c r="O51" s="1362" t="s">
        <v>959</v>
      </c>
      <c r="P51" s="1363" t="str">
        <f>IF(C2="元","收益价值(元)","收益价值(万元)")</f>
        <v>收益价值(元)</v>
      </c>
      <c r="Q51" s="1364">
        <f ca="1">ROUND(IF(C2="元",Q45+Q46,(Q45+Q46)/10000),0)</f>
        <v>6532553</v>
      </c>
      <c r="R51" s="1365" t="s">
        <v>960</v>
      </c>
    </row>
    <row r="52" spans="1:18" s="790" customFormat="1" ht="16.5" thickBot="1">
      <c r="A52" s="321"/>
      <c r="B52" s="322"/>
      <c r="C52" s="323"/>
      <c r="D52" s="324"/>
      <c r="E52" s="319" t="s">
        <v>2100</v>
      </c>
      <c r="F52" s="320">
        <f>F8</f>
        <v>365</v>
      </c>
      <c r="I52" s="2347" t="s">
        <v>2247</v>
      </c>
      <c r="J52" s="1343">
        <f>IF(J50="",J51,J50+J51-YEAR('数据-取费表'!B2))</f>
        <v>43</v>
      </c>
      <c r="K52" s="2348" t="s">
        <v>2248</v>
      </c>
      <c r="L52" s="1344">
        <f ca="1">ROUND(-PV('数据-取费表'!B15,L49,(C40-C13*J35)),0)</f>
        <v>100466377</v>
      </c>
      <c r="O52" s="1356" t="s">
        <v>2249</v>
      </c>
      <c r="P52" s="1357"/>
      <c r="Q52" s="1353"/>
      <c r="R52" s="1357"/>
    </row>
    <row r="53" spans="1:18" s="790" customFormat="1" ht="15.75" thickBot="1">
      <c r="A53" s="325"/>
      <c r="B53" s="326"/>
      <c r="C53" s="327"/>
      <c r="D53" s="328"/>
      <c r="E53" s="319" t="s">
        <v>2101</v>
      </c>
      <c r="F53" s="1351"/>
      <c r="I53" s="2349" t="s">
        <v>2250</v>
      </c>
      <c r="J53" s="1345"/>
      <c r="K53" s="2349" t="s">
        <v>2251</v>
      </c>
      <c r="L53" s="1345"/>
      <c r="O53" s="1358" t="s">
        <v>2216</v>
      </c>
      <c r="P53" s="1359" t="s">
        <v>2217</v>
      </c>
      <c r="Q53" s="1360" t="s">
        <v>2218</v>
      </c>
      <c r="R53" s="1361" t="s">
        <v>2219</v>
      </c>
    </row>
    <row r="54" spans="1:18" s="790" customFormat="1" ht="29.25" customHeight="1" thickBot="1">
      <c r="A54" s="1379" t="s">
        <v>2102</v>
      </c>
      <c r="B54" s="2330" t="s">
        <v>2103</v>
      </c>
      <c r="C54" s="1380">
        <f ca="1">ROUND(IF(F54="押一",C50/12*F11,IF(F54="押二",C50/12*2*F11,IF(F54="押三",C50/12*3*F11,C55*F11))),0)</f>
        <v>0</v>
      </c>
      <c r="D54" s="2331" t="s">
        <v>2798</v>
      </c>
      <c r="E54" s="330" t="s">
        <v>2104</v>
      </c>
      <c r="F54" s="2332"/>
      <c r="I54" s="2711" t="s">
        <v>2801</v>
      </c>
      <c r="J54" s="1346">
        <f>IF(M48="住宅",IF(E1="——",MAX(J52,L49),MAX(J52,L49-'数据-取费表'!B25)),IF(E1="——",MIN(J52,L49),MIN(J52,L49-'数据-取费表'!B25)))</f>
        <v>30.65</v>
      </c>
      <c r="K54" s="3008" t="s">
        <v>2788</v>
      </c>
      <c r="L54" s="3009"/>
      <c r="O54" s="1362" t="s">
        <v>953</v>
      </c>
      <c r="P54" s="1363" t="s">
        <v>2220</v>
      </c>
      <c r="Q54" s="1364">
        <f ca="1">C40+J29</f>
        <v>6532553</v>
      </c>
      <c r="R54" s="1365" t="s">
        <v>2221</v>
      </c>
    </row>
    <row r="55" spans="1:18" s="790" customFormat="1" ht="20.25" thickBot="1">
      <c r="A55" s="1379"/>
      <c r="B55" s="2350" t="s">
        <v>2108</v>
      </c>
      <c r="C55" s="1413"/>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2252</v>
      </c>
      <c r="Q55" s="1364">
        <f>L61</f>
        <v>0</v>
      </c>
      <c r="R55" s="1365" t="s">
        <v>2253</v>
      </c>
    </row>
    <row r="56" spans="1:18" s="790" customFormat="1" ht="20.25" thickBot="1">
      <c r="A56" s="1419" t="s">
        <v>2109</v>
      </c>
      <c r="B56" s="2334" t="s">
        <v>2110</v>
      </c>
      <c r="C56" s="1420"/>
      <c r="D56" s="1436"/>
      <c r="E56" s="2353"/>
      <c r="F56" s="1496"/>
      <c r="I56" s="2354" t="s">
        <v>2254</v>
      </c>
      <c r="J56" s="1866" t="e">
        <f>ROUND(IF(J48="钢混",J58/J51,1-(1-2%)*(J51-J58)/J51),3)</f>
        <v>#VALUE!</v>
      </c>
      <c r="K56" s="2355" t="s">
        <v>2255</v>
      </c>
      <c r="L56" s="1347"/>
      <c r="O56" s="1366" t="s">
        <v>955</v>
      </c>
      <c r="P56" s="1363" t="s">
        <v>2256</v>
      </c>
      <c r="Q56" s="1364">
        <f>IF(L56="比较法",L50,IF(L56="基准地价",L51,0))</f>
        <v>0</v>
      </c>
      <c r="R56" s="1365" t="s">
        <v>2221</v>
      </c>
    </row>
    <row r="57" spans="1:18" s="790" customFormat="1" ht="44.25" thickTop="1" thickBot="1">
      <c r="A57" s="1415">
        <v>2</v>
      </c>
      <c r="B57" s="1416" t="s">
        <v>2111</v>
      </c>
      <c r="C57" s="1495">
        <f ca="1">C13</f>
        <v>681325</v>
      </c>
      <c r="D57" s="1289"/>
      <c r="E57" s="1290"/>
      <c r="F57" s="1297"/>
      <c r="I57" s="2356" t="s">
        <v>2257</v>
      </c>
      <c r="J57" s="1350" t="s">
        <v>2810</v>
      </c>
      <c r="K57" s="2342" t="s">
        <v>2258</v>
      </c>
      <c r="L57" s="1123" t="str">
        <f>IF(L49&lt;J52,"——",L49-J52)</f>
        <v>——</v>
      </c>
      <c r="O57" s="1366" t="s">
        <v>956</v>
      </c>
      <c r="P57" s="1363" t="s">
        <v>2259</v>
      </c>
      <c r="Q57" s="1367">
        <f>L53</f>
        <v>0</v>
      </c>
      <c r="R57" s="1365"/>
    </row>
    <row r="58" spans="1:18" s="790" customFormat="1" ht="29.25" thickBot="1">
      <c r="A58" s="1296"/>
      <c r="B58" s="319" t="s">
        <v>2189</v>
      </c>
      <c r="C58" s="188">
        <f ca="1">C29</f>
        <v>946285</v>
      </c>
      <c r="D58" s="1289"/>
      <c r="E58" s="1290"/>
      <c r="F58" s="1297"/>
      <c r="I58" s="2357" t="s">
        <v>2260</v>
      </c>
      <c r="J58" s="1349" t="str">
        <f>IF(OR(M48="住宅",J52&lt;L49,J57="是"),"——",J52-L49)</f>
        <v>——</v>
      </c>
      <c r="K58" s="2342" t="s">
        <v>2261</v>
      </c>
      <c r="L58" s="1123" t="str">
        <f>IF(L49&lt;J52,"——",IF(L56="比较法",L50,IF(L56="基准地价",L51,L52)))</f>
        <v>——</v>
      </c>
      <c r="O58" s="1366" t="s">
        <v>957</v>
      </c>
      <c r="P58" s="1363" t="s">
        <v>2262</v>
      </c>
      <c r="Q58" s="1364" t="e">
        <f>L59</f>
        <v>#DIV/0!</v>
      </c>
      <c r="R58" s="1365" t="s">
        <v>2263</v>
      </c>
    </row>
    <row r="59" spans="1:18" s="790" customFormat="1" ht="29.25" thickBot="1">
      <c r="A59" s="332" t="s">
        <v>14</v>
      </c>
      <c r="B59" s="333" t="s">
        <v>2192</v>
      </c>
      <c r="C59" s="334">
        <f ca="1">ROUND(C60+C65+C66+C67,0)</f>
        <v>19948</v>
      </c>
      <c r="D59" s="12" t="s">
        <v>2193</v>
      </c>
      <c r="E59" s="1892"/>
      <c r="F59" s="16"/>
      <c r="I59" s="2357" t="s">
        <v>2264</v>
      </c>
      <c r="J59" s="1865" t="e">
        <f>IF(J56&lt;0.4,0.4,J56)</f>
        <v>#VALUE!</v>
      </c>
      <c r="K59" s="2348" t="s">
        <v>2265</v>
      </c>
      <c r="L59" s="1123" t="e">
        <f>ROUND(POWER(1+L53,L48-L49)*(POWER(1+L53,L49)-1)/(POWER(1+L53,L48)-1),4)</f>
        <v>#DIV/0!</v>
      </c>
      <c r="O59" s="1366" t="s">
        <v>958</v>
      </c>
      <c r="P59" s="1363" t="str">
        <f>K60</f>
        <v>建设期及建筑物耐用年限下的土地年期修正系数Kn</v>
      </c>
      <c r="Q59" s="1364" t="e">
        <f>L60</f>
        <v>#DIV/0!</v>
      </c>
      <c r="R59" s="1365" t="s">
        <v>2266</v>
      </c>
    </row>
    <row r="60" spans="1:18" s="790" customFormat="1" ht="29.25" thickBot="1">
      <c r="A60" s="337" t="s">
        <v>15</v>
      </c>
      <c r="B60" s="319" t="s">
        <v>2133</v>
      </c>
      <c r="C60" s="14">
        <f ca="1">ROUND(IF(项目基本情况!B7="自然人",C49*F60,C61+C62+C63),0)</f>
        <v>0</v>
      </c>
      <c r="D60" s="1882" t="s">
        <v>2194</v>
      </c>
      <c r="E60" s="1887" t="s">
        <v>2195</v>
      </c>
      <c r="F60" s="343">
        <f>IF(项目基本情况!B7="企业","",IF('数据-取费表'!B10="住宅",5%,IF(F50*F51*F52/12/(1+'数据-取费表'!F30)&gt;20000,12%,7%)))</f>
        <v>7.0000000000000007E-2</v>
      </c>
      <c r="I60" s="2357" t="s">
        <v>2267</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6532553</v>
      </c>
      <c r="R60" s="1365" t="s">
        <v>960</v>
      </c>
    </row>
    <row r="61" spans="1:18" s="790" customFormat="1" ht="16.5" thickBot="1">
      <c r="A61" s="337" t="s">
        <v>16</v>
      </c>
      <c r="B61" s="319" t="s">
        <v>2196</v>
      </c>
      <c r="C61" s="14" t="str">
        <f>IF(项目基本情况!B7="自然人","——",ROUND(C49*F61/(1+'数据-取费表'!F30),0))</f>
        <v>——</v>
      </c>
      <c r="D61" s="1887" t="s">
        <v>2197</v>
      </c>
      <c r="E61" s="319" t="s">
        <v>2146</v>
      </c>
      <c r="F61" s="352">
        <f t="shared" ref="F61:F67" si="0">F32</f>
        <v>5.6000000000000001E-2</v>
      </c>
      <c r="I61" s="2358" t="s">
        <v>2268</v>
      </c>
      <c r="J61" s="1348" t="str">
        <f>IF(OR(M48="住宅",J52&lt;L49,J57="是"),"0",ROUND(J60/(1+J53)^J54,0))</f>
        <v>0</v>
      </c>
      <c r="K61" s="2359" t="s">
        <v>2269</v>
      </c>
      <c r="L61" s="1348">
        <f>IF(OR(M48="住宅",L49&lt;J52),0,ROUND(L58*(L59/L60-1),0))</f>
        <v>0</v>
      </c>
      <c r="O61" s="1356" t="s">
        <v>2270</v>
      </c>
      <c r="P61" s="1357"/>
      <c r="Q61" s="1353"/>
      <c r="R61" s="1357"/>
    </row>
    <row r="62" spans="1:18" s="790" customFormat="1" ht="15.75" thickBot="1">
      <c r="A62" s="337" t="s">
        <v>17</v>
      </c>
      <c r="B62" s="319" t="s">
        <v>2271</v>
      </c>
      <c r="C62" s="14" t="str">
        <f>IF(项目基本情况!B7="自然人","——",IF(D62="按租金收入计税",ROUND(C49*F62,0),IF(D62="按房产原值计税",ROUND(C58*F62*0.7,0),'数据-取费表'!B43)))</f>
        <v>——</v>
      </c>
      <c r="D62" s="2006" t="s">
        <v>2143</v>
      </c>
      <c r="E62" s="319" t="s">
        <v>2146</v>
      </c>
      <c r="F62" s="342">
        <f t="shared" si="0"/>
        <v>0.12</v>
      </c>
      <c r="O62" s="1358" t="s">
        <v>2216</v>
      </c>
      <c r="P62" s="1359" t="s">
        <v>2217</v>
      </c>
      <c r="Q62" s="1360" t="s">
        <v>2218</v>
      </c>
      <c r="R62" s="1361" t="s">
        <v>2219</v>
      </c>
    </row>
    <row r="63" spans="1:18" s="790" customFormat="1" ht="15.75" thickBot="1">
      <c r="A63" s="345" t="s">
        <v>18</v>
      </c>
      <c r="B63" s="80" t="s">
        <v>2272</v>
      </c>
      <c r="C63" s="15" t="str">
        <f>IF(项目基本情况!B7="自然人","——",ROUND(F63*F64,0))</f>
        <v>——</v>
      </c>
      <c r="D63" s="346" t="s">
        <v>2273</v>
      </c>
      <c r="E63" s="319" t="s">
        <v>2274</v>
      </c>
      <c r="F63" s="347">
        <f t="shared" si="0"/>
        <v>0</v>
      </c>
      <c r="I63" s="2360" t="s">
        <v>2275</v>
      </c>
      <c r="J63" s="1869" t="s">
        <v>2276</v>
      </c>
      <c r="K63" s="1869" t="s">
        <v>2277</v>
      </c>
      <c r="L63" s="1869" t="s">
        <v>2278</v>
      </c>
      <c r="M63" s="1868" t="s">
        <v>2279</v>
      </c>
      <c r="O63" s="1362" t="s">
        <v>953</v>
      </c>
      <c r="P63" s="1363" t="s">
        <v>2220</v>
      </c>
      <c r="Q63" s="1364">
        <f ca="1">C40+J29</f>
        <v>6532553</v>
      </c>
      <c r="R63" s="1365" t="s">
        <v>2221</v>
      </c>
    </row>
    <row r="64" spans="1:18" s="790" customFormat="1" ht="20.25" thickBot="1">
      <c r="A64" s="348"/>
      <c r="B64" s="328"/>
      <c r="C64" s="19"/>
      <c r="D64" s="349"/>
      <c r="E64" s="319" t="s">
        <v>2280</v>
      </c>
      <c r="F64" s="320">
        <f t="shared" si="0"/>
        <v>0</v>
      </c>
      <c r="I64" s="2360" t="s">
        <v>2281</v>
      </c>
      <c r="J64" s="1869">
        <v>70</v>
      </c>
      <c r="K64" s="1869">
        <v>50</v>
      </c>
      <c r="L64" s="1869">
        <v>80</v>
      </c>
      <c r="M64" s="1867">
        <v>0.02</v>
      </c>
      <c r="O64" s="1362" t="s">
        <v>954</v>
      </c>
      <c r="P64" s="1363" t="s">
        <v>2252</v>
      </c>
      <c r="Q64" s="1364">
        <f>L61</f>
        <v>0</v>
      </c>
      <c r="R64" s="1365" t="s">
        <v>2253</v>
      </c>
    </row>
    <row r="65" spans="1:18" s="790" customFormat="1" ht="23.25" thickBot="1">
      <c r="A65" s="337" t="s">
        <v>19</v>
      </c>
      <c r="B65" s="319" t="s">
        <v>2201</v>
      </c>
      <c r="C65" s="14">
        <f ca="1">ROUND(C58*F65,0)</f>
        <v>18926</v>
      </c>
      <c r="D65" s="1887" t="s">
        <v>2202</v>
      </c>
      <c r="E65" s="319" t="s">
        <v>2146</v>
      </c>
      <c r="F65" s="350">
        <f t="shared" si="0"/>
        <v>0.02</v>
      </c>
      <c r="I65" s="2360" t="s">
        <v>2282</v>
      </c>
      <c r="J65" s="1869">
        <v>50</v>
      </c>
      <c r="K65" s="1869">
        <v>35</v>
      </c>
      <c r="L65" s="1869">
        <v>60</v>
      </c>
      <c r="M65" s="1868">
        <v>0</v>
      </c>
      <c r="O65" s="1366" t="s">
        <v>955</v>
      </c>
      <c r="P65" s="1363" t="s">
        <v>2256</v>
      </c>
      <c r="Q65" s="1368">
        <f ca="1">L52</f>
        <v>100466377</v>
      </c>
      <c r="R65" s="1369" t="s">
        <v>2283</v>
      </c>
    </row>
    <row r="66" spans="1:18" s="790" customFormat="1" ht="20.25" thickBot="1">
      <c r="A66" s="337" t="s">
        <v>20</v>
      </c>
      <c r="B66" s="319" t="s">
        <v>2161</v>
      </c>
      <c r="C66" s="14">
        <f ca="1">ROUND(C57*F66,0)</f>
        <v>1022</v>
      </c>
      <c r="D66" s="1887" t="s">
        <v>2162</v>
      </c>
      <c r="E66" s="319" t="s">
        <v>2163</v>
      </c>
      <c r="F66" s="351">
        <f t="shared" si="0"/>
        <v>1.5E-3</v>
      </c>
      <c r="I66" s="2360" t="s">
        <v>2284</v>
      </c>
      <c r="J66" s="1869">
        <v>40</v>
      </c>
      <c r="K66" s="1869">
        <v>30</v>
      </c>
      <c r="L66" s="1869">
        <v>50</v>
      </c>
      <c r="M66" s="1867">
        <v>0.02</v>
      </c>
      <c r="O66" s="1366" t="s">
        <v>956</v>
      </c>
      <c r="P66" s="1370" t="s">
        <v>2285</v>
      </c>
      <c r="Q66" s="1364">
        <f ca="1">ROUND(Q67-Q68*Q69,0)</f>
        <v>255840</v>
      </c>
      <c r="R66" s="1365"/>
    </row>
    <row r="67" spans="1:18" s="790" customFormat="1" ht="15.75" thickBot="1">
      <c r="A67" s="337" t="s">
        <v>21</v>
      </c>
      <c r="B67" s="319" t="s">
        <v>2144</v>
      </c>
      <c r="C67" s="14">
        <f ca="1">ROUND(C49*F67,0)</f>
        <v>0</v>
      </c>
      <c r="D67" s="1887" t="s">
        <v>2167</v>
      </c>
      <c r="E67" s="319" t="s">
        <v>2163</v>
      </c>
      <c r="F67" s="329">
        <f t="shared" si="0"/>
        <v>1.4999999999999999E-2</v>
      </c>
      <c r="O67" s="1366" t="s">
        <v>961</v>
      </c>
      <c r="P67" s="1370" t="s">
        <v>2286</v>
      </c>
      <c r="Q67" s="1364">
        <f ca="1">C39</f>
        <v>313753</v>
      </c>
      <c r="R67" s="1365" t="s">
        <v>2221</v>
      </c>
    </row>
    <row r="68" spans="1:18" ht="15.75" thickBot="1">
      <c r="A68" s="332" t="s">
        <v>22</v>
      </c>
      <c r="B68" s="89" t="s">
        <v>2171</v>
      </c>
      <c r="C68" s="334">
        <f ca="1">C49-C59</f>
        <v>-19948</v>
      </c>
      <c r="D68" s="1882" t="s">
        <v>2172</v>
      </c>
      <c r="E68" s="1886"/>
      <c r="F68" s="353"/>
      <c r="H68" s="790"/>
      <c r="I68" s="790"/>
      <c r="J68" s="790"/>
      <c r="K68" s="790"/>
      <c r="L68" s="790"/>
      <c r="M68" s="790"/>
      <c r="O68" s="1366" t="s">
        <v>962</v>
      </c>
      <c r="P68" s="1370" t="s">
        <v>2287</v>
      </c>
      <c r="Q68" s="1364">
        <f ca="1">C13</f>
        <v>681325</v>
      </c>
      <c r="R68" s="1365" t="s">
        <v>2221</v>
      </c>
    </row>
    <row r="69" spans="1:18" ht="15.75" thickBot="1">
      <c r="A69" s="316" t="s">
        <v>23</v>
      </c>
      <c r="B69" s="317" t="s">
        <v>2209</v>
      </c>
      <c r="C69" s="318">
        <f ca="1">ROUND(C68*(1-((1+F71)/(1+F69))^F70)/(F69-F71),0)</f>
        <v>-292408</v>
      </c>
      <c r="D69" s="346" t="s">
        <v>2177</v>
      </c>
      <c r="E69" s="319" t="s">
        <v>2178</v>
      </c>
      <c r="F69" s="329">
        <f>F40</f>
        <v>5.5E-2</v>
      </c>
      <c r="H69" s="790"/>
      <c r="I69" s="790"/>
      <c r="J69" s="790"/>
      <c r="K69" s="790"/>
      <c r="L69" s="790"/>
      <c r="M69" s="790"/>
      <c r="O69" s="1366" t="s">
        <v>963</v>
      </c>
      <c r="P69" s="1370" t="s">
        <v>2288</v>
      </c>
      <c r="Q69" s="1367">
        <f>J35</f>
        <v>8.5000000000000006E-2</v>
      </c>
      <c r="R69" s="1365"/>
    </row>
    <row r="70" spans="1:18" ht="15.75" thickBot="1">
      <c r="A70" s="321"/>
      <c r="B70" s="322"/>
      <c r="C70" s="323"/>
      <c r="D70" s="354" t="s">
        <v>2211</v>
      </c>
      <c r="E70" s="319" t="s">
        <v>2183</v>
      </c>
      <c r="F70" s="355">
        <f>F41</f>
        <v>30.65</v>
      </c>
      <c r="H70" s="790"/>
      <c r="I70" s="790"/>
      <c r="J70" s="790"/>
      <c r="K70" s="790"/>
      <c r="L70" s="790"/>
      <c r="M70" s="790"/>
      <c r="O70" s="1366" t="s">
        <v>957</v>
      </c>
      <c r="P70" s="1363" t="s">
        <v>2259</v>
      </c>
      <c r="Q70" s="1367">
        <f>L53</f>
        <v>0</v>
      </c>
      <c r="R70" s="1365"/>
    </row>
    <row r="71" spans="1:18" ht="20.25" thickBot="1">
      <c r="A71" s="325"/>
      <c r="B71" s="326"/>
      <c r="C71" s="327"/>
      <c r="D71" s="349"/>
      <c r="E71" s="319" t="s">
        <v>2187</v>
      </c>
      <c r="F71" s="1351"/>
      <c r="H71" s="790"/>
      <c r="M71" s="790"/>
      <c r="O71" s="1366" t="s">
        <v>958</v>
      </c>
      <c r="P71" s="1363" t="s">
        <v>2262</v>
      </c>
      <c r="Q71" s="1364" t="e">
        <f>L59</f>
        <v>#DIV/0!</v>
      </c>
      <c r="R71" s="1365" t="s">
        <v>2263</v>
      </c>
    </row>
    <row r="72" spans="1:18" ht="15.75" thickBot="1">
      <c r="A72" s="356" t="s">
        <v>24</v>
      </c>
      <c r="B72" s="357" t="s">
        <v>2212</v>
      </c>
      <c r="C72" s="358">
        <f ca="1">ROUND(C69/F72,0)</f>
        <v>-1506</v>
      </c>
      <c r="D72" s="359" t="s">
        <v>2213</v>
      </c>
      <c r="E72" s="360" t="s">
        <v>2214</v>
      </c>
      <c r="F72" s="361">
        <f>F43</f>
        <v>194.17</v>
      </c>
      <c r="O72" s="1366" t="s">
        <v>964</v>
      </c>
      <c r="P72" s="1363" t="str">
        <f>K60</f>
        <v>建设期及建筑物耐用年限下的土地年期修正系数Kn</v>
      </c>
      <c r="Q72" s="1364" t="e">
        <f>L60</f>
        <v>#DIV/0!</v>
      </c>
      <c r="R72" s="1365" t="s">
        <v>2266</v>
      </c>
    </row>
    <row r="73" spans="1:18" ht="15.75" thickBot="1">
      <c r="A73" s="790"/>
      <c r="B73" s="794"/>
      <c r="C73" s="794"/>
      <c r="D73" s="790"/>
      <c r="E73" s="790"/>
      <c r="F73" s="790"/>
      <c r="O73" s="1362" t="s">
        <v>959</v>
      </c>
      <c r="P73" s="1363" t="str">
        <f>IF(C2="元","收益价值(元)","收益价值(万元)")</f>
        <v>收益价值(元)</v>
      </c>
      <c r="Q73" s="1364">
        <f ca="1">ROUND(IF(C2="元",Q63+Q64,(Q63+Q64)/10000),0)</f>
        <v>6532553</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1020</v>
      </c>
      <c r="B1" s="3027"/>
      <c r="C1" s="3028"/>
      <c r="D1" s="3029">
        <f>SUM(I10,I15,I20,I21,I23)</f>
        <v>0</v>
      </c>
      <c r="E1" s="3029"/>
      <c r="F1" s="3029"/>
      <c r="G1" s="3029"/>
      <c r="H1" s="3029"/>
      <c r="I1" s="3030"/>
    </row>
    <row r="2" spans="1:9">
      <c r="A2" s="3016" t="s">
        <v>1021</v>
      </c>
      <c r="B2" s="3017" t="s">
        <v>970</v>
      </c>
      <c r="C2" s="3017"/>
      <c r="D2" s="1384" t="s">
        <v>971</v>
      </c>
      <c r="E2" s="1384" t="s">
        <v>972</v>
      </c>
      <c r="F2" s="1384" t="s">
        <v>973</v>
      </c>
      <c r="G2" s="1384" t="s">
        <v>974</v>
      </c>
      <c r="H2" s="1384" t="s">
        <v>975</v>
      </c>
      <c r="I2" s="1385" t="s">
        <v>976</v>
      </c>
    </row>
    <row r="3" spans="1:9">
      <c r="A3" s="3016"/>
      <c r="B3" s="3017" t="s">
        <v>977</v>
      </c>
      <c r="C3" s="3017"/>
      <c r="D3" s="1386"/>
      <c r="E3" s="1384"/>
      <c r="F3" s="1387"/>
      <c r="G3" s="1387"/>
      <c r="H3" s="1388"/>
      <c r="I3" s="1389">
        <f>ROUND(D3*E3*F3*G3*H3/10000,0)</f>
        <v>0</v>
      </c>
    </row>
    <row r="4" spans="1:9">
      <c r="A4" s="3016"/>
      <c r="B4" s="3017" t="s">
        <v>978</v>
      </c>
      <c r="C4" s="3017"/>
      <c r="D4" s="1386"/>
      <c r="E4" s="1384"/>
      <c r="F4" s="1387"/>
      <c r="G4" s="1387"/>
      <c r="H4" s="1388"/>
      <c r="I4" s="1389">
        <f t="shared" ref="I4:I9" si="0">ROUND(D4*E4*F4*G4*H4/10000,0)</f>
        <v>0</v>
      </c>
    </row>
    <row r="5" spans="1:9">
      <c r="A5" s="3016"/>
      <c r="B5" s="3017" t="s">
        <v>979</v>
      </c>
      <c r="C5" s="3017"/>
      <c r="D5" s="1386"/>
      <c r="E5" s="1384"/>
      <c r="F5" s="1387"/>
      <c r="G5" s="1387"/>
      <c r="H5" s="1388"/>
      <c r="I5" s="1389">
        <f t="shared" si="0"/>
        <v>0</v>
      </c>
    </row>
    <row r="6" spans="1:9">
      <c r="A6" s="3016"/>
      <c r="B6" s="3017" t="s">
        <v>980</v>
      </c>
      <c r="C6" s="3017"/>
      <c r="D6" s="1386"/>
      <c r="E6" s="1384"/>
      <c r="F6" s="1387"/>
      <c r="G6" s="1387"/>
      <c r="H6" s="1388"/>
      <c r="I6" s="1389">
        <f t="shared" si="0"/>
        <v>0</v>
      </c>
    </row>
    <row r="7" spans="1:9">
      <c r="A7" s="3016"/>
      <c r="B7" s="3017" t="s">
        <v>981</v>
      </c>
      <c r="C7" s="3017"/>
      <c r="D7" s="1386"/>
      <c r="E7" s="1384"/>
      <c r="F7" s="1387"/>
      <c r="G7" s="1387"/>
      <c r="H7" s="1388"/>
      <c r="I7" s="1389">
        <f t="shared" si="0"/>
        <v>0</v>
      </c>
    </row>
    <row r="8" spans="1:9">
      <c r="A8" s="3016"/>
      <c r="B8" s="3017" t="s">
        <v>982</v>
      </c>
      <c r="C8" s="3017"/>
      <c r="D8" s="1386"/>
      <c r="E8" s="1384"/>
      <c r="F8" s="1387"/>
      <c r="G8" s="1387"/>
      <c r="H8" s="1388"/>
      <c r="I8" s="1389">
        <f t="shared" si="0"/>
        <v>0</v>
      </c>
    </row>
    <row r="9" spans="1:9">
      <c r="A9" s="3016"/>
      <c r="B9" s="3017" t="s">
        <v>983</v>
      </c>
      <c r="C9" s="3017"/>
      <c r="D9" s="1386"/>
      <c r="E9" s="1384"/>
      <c r="F9" s="1387"/>
      <c r="G9" s="1387"/>
      <c r="H9" s="1388"/>
      <c r="I9" s="1389">
        <f t="shared" si="0"/>
        <v>0</v>
      </c>
    </row>
    <row r="10" spans="1:9">
      <c r="A10" s="3016"/>
      <c r="B10" s="3018" t="s">
        <v>984</v>
      </c>
      <c r="C10" s="3018"/>
      <c r="D10" s="1390">
        <v>527</v>
      </c>
      <c r="E10" s="1390" t="e">
        <f>ROUND(D1*10000/D10/H9,0)</f>
        <v>#DIV/0!</v>
      </c>
      <c r="F10" s="1391"/>
      <c r="G10" s="1391"/>
      <c r="H10" s="1392"/>
      <c r="I10" s="1393">
        <f>SUM(I3:I9)</f>
        <v>0</v>
      </c>
    </row>
    <row r="11" spans="1:9" ht="14.25">
      <c r="A11" s="3016" t="s">
        <v>1022</v>
      </c>
      <c r="B11" s="3017" t="s">
        <v>985</v>
      </c>
      <c r="C11" s="3017"/>
      <c r="D11" s="1386" t="s">
        <v>986</v>
      </c>
      <c r="E11" s="1386" t="s">
        <v>987</v>
      </c>
      <c r="F11" s="1387" t="s">
        <v>988</v>
      </c>
      <c r="G11" s="1387" t="s">
        <v>975</v>
      </c>
      <c r="H11" s="1394" t="s">
        <v>989</v>
      </c>
      <c r="I11" s="1385" t="s">
        <v>976</v>
      </c>
    </row>
    <row r="12" spans="1:9">
      <c r="A12" s="3016"/>
      <c r="B12" s="3017" t="s">
        <v>990</v>
      </c>
      <c r="C12" s="3017"/>
      <c r="D12" s="1386"/>
      <c r="E12" s="1386"/>
      <c r="F12" s="1387"/>
      <c r="G12" s="1388"/>
      <c r="H12" s="1395"/>
      <c r="I12" s="1385">
        <f>ROUND(D12*E12*F12*G12/10000,0)</f>
        <v>0</v>
      </c>
    </row>
    <row r="13" spans="1:9">
      <c r="A13" s="3016"/>
      <c r="B13" s="3017" t="s">
        <v>991</v>
      </c>
      <c r="C13" s="3017"/>
      <c r="D13" s="1386"/>
      <c r="E13" s="1386"/>
      <c r="F13" s="1387"/>
      <c r="G13" s="1388"/>
      <c r="H13" s="1395"/>
      <c r="I13" s="1385">
        <f>ROUND(D13*E13*F13*G13/10000,0)</f>
        <v>0</v>
      </c>
    </row>
    <row r="14" spans="1:9">
      <c r="A14" s="3016"/>
      <c r="B14" s="3017" t="s">
        <v>992</v>
      </c>
      <c r="C14" s="3017"/>
      <c r="D14" s="1386"/>
      <c r="E14" s="1386"/>
      <c r="F14" s="1387"/>
      <c r="G14" s="1388"/>
      <c r="H14" s="1395"/>
      <c r="I14" s="1385">
        <f>ROUND(D14*E14*F14*G14/10000,0)</f>
        <v>0</v>
      </c>
    </row>
    <row r="15" spans="1:9">
      <c r="A15" s="3016"/>
      <c r="B15" s="3018" t="s">
        <v>984</v>
      </c>
      <c r="C15" s="3018"/>
      <c r="D15" s="1390"/>
      <c r="E15" s="1390">
        <f>SUM(E12:E14)</f>
        <v>0</v>
      </c>
      <c r="F15" s="1391"/>
      <c r="G15" s="1388"/>
      <c r="H15" s="1395"/>
      <c r="I15" s="1396">
        <f>SUM(I12:I14)</f>
        <v>0</v>
      </c>
    </row>
    <row r="16" spans="1:9" ht="24">
      <c r="A16" s="3016" t="s">
        <v>1023</v>
      </c>
      <c r="B16" s="3017" t="s">
        <v>993</v>
      </c>
      <c r="C16" s="3017"/>
      <c r="D16" s="1386" t="s">
        <v>971</v>
      </c>
      <c r="E16" s="1397" t="s">
        <v>994</v>
      </c>
      <c r="F16" s="1387" t="s">
        <v>995</v>
      </c>
      <c r="G16" s="1388" t="s">
        <v>975</v>
      </c>
      <c r="H16" s="1394" t="s">
        <v>989</v>
      </c>
      <c r="I16" s="1385" t="s">
        <v>976</v>
      </c>
    </row>
    <row r="17" spans="1:9" ht="14.25">
      <c r="A17" s="3016"/>
      <c r="B17" s="3017" t="s">
        <v>996</v>
      </c>
      <c r="C17" s="3017"/>
      <c r="D17" s="1386"/>
      <c r="E17" s="1386"/>
      <c r="F17" s="1387"/>
      <c r="G17" s="1388"/>
      <c r="H17" s="1398"/>
      <c r="I17" s="1399">
        <f>ROUND(D17*E17*F17*G17/10000,0)</f>
        <v>0</v>
      </c>
    </row>
    <row r="18" spans="1:9" ht="14.25">
      <c r="A18" s="3016"/>
      <c r="B18" s="3017" t="s">
        <v>997</v>
      </c>
      <c r="C18" s="3017"/>
      <c r="D18" s="1386"/>
      <c r="E18" s="1386"/>
      <c r="F18" s="1387"/>
      <c r="G18" s="1388"/>
      <c r="H18" s="1398"/>
      <c r="I18" s="1399">
        <f>ROUND(D18*E18*F18*G18/10000,0)</f>
        <v>0</v>
      </c>
    </row>
    <row r="19" spans="1:9" ht="14.25">
      <c r="A19" s="3016"/>
      <c r="B19" s="3017" t="s">
        <v>998</v>
      </c>
      <c r="C19" s="3017"/>
      <c r="D19" s="1386"/>
      <c r="E19" s="1386"/>
      <c r="F19" s="1387"/>
      <c r="G19" s="1388"/>
      <c r="H19" s="1398"/>
      <c r="I19" s="1399">
        <f>ROUND(D19*E19*F19*G19/10000,0)</f>
        <v>0</v>
      </c>
    </row>
    <row r="20" spans="1:9">
      <c r="A20" s="3016"/>
      <c r="B20" s="3018" t="s">
        <v>984</v>
      </c>
      <c r="C20" s="3018"/>
      <c r="D20" s="1390">
        <f>SUM(D17:D19)</f>
        <v>0</v>
      </c>
      <c r="E20" s="1390"/>
      <c r="F20" s="1391"/>
      <c r="G20" s="1388"/>
      <c r="H20" s="1395"/>
      <c r="I20" s="1396">
        <f>SUM(I17:I19)</f>
        <v>0</v>
      </c>
    </row>
    <row r="21" spans="1:9">
      <c r="A21" s="3016" t="s">
        <v>1024</v>
      </c>
      <c r="B21" s="3019"/>
      <c r="C21" s="3019"/>
      <c r="D21" s="3019"/>
      <c r="E21" s="3019"/>
      <c r="F21" s="3019"/>
      <c r="G21" s="3019"/>
      <c r="H21" s="1400">
        <v>0.1</v>
      </c>
      <c r="I21" s="1393">
        <f>ROUND(I10*H21,0)</f>
        <v>0</v>
      </c>
    </row>
    <row r="22" spans="1:9" ht="14.25">
      <c r="A22" s="3020" t="s">
        <v>1025</v>
      </c>
      <c r="B22" s="3021"/>
      <c r="C22" s="3022"/>
      <c r="D22" s="1401" t="s">
        <v>999</v>
      </c>
      <c r="E22" s="1401" t="s">
        <v>1000</v>
      </c>
      <c r="F22" s="1402" t="s">
        <v>975</v>
      </c>
      <c r="G22" s="1402" t="s">
        <v>1001</v>
      </c>
      <c r="H22" s="1394" t="s">
        <v>989</v>
      </c>
      <c r="I22" s="1385" t="s">
        <v>976</v>
      </c>
    </row>
    <row r="23" spans="1:9" ht="14.25" thickBot="1">
      <c r="A23" s="3023"/>
      <c r="B23" s="3024"/>
      <c r="C23" s="3025"/>
      <c r="D23" s="1403"/>
      <c r="E23" s="1403"/>
      <c r="F23" s="1403"/>
      <c r="G23" s="1404"/>
      <c r="H23" s="1405"/>
      <c r="I23" s="1406">
        <f>ROUND(E23*D23*F23*(1-G23)/10000,0)</f>
        <v>0</v>
      </c>
    </row>
    <row r="26" spans="1:9">
      <c r="A26" s="1407" t="s">
        <v>1002</v>
      </c>
      <c r="B26" s="1407"/>
      <c r="C26" s="1407"/>
      <c r="D26" s="1407"/>
      <c r="E26" s="3013">
        <f>C27-C30-C31-C32</f>
        <v>0</v>
      </c>
      <c r="F26" s="3013"/>
      <c r="G26" s="3013"/>
      <c r="H26" s="1824" t="s">
        <v>1213</v>
      </c>
    </row>
    <row r="27" spans="1:9">
      <c r="A27" s="1408">
        <v>1</v>
      </c>
      <c r="B27" s="1409" t="s">
        <v>1003</v>
      </c>
      <c r="C27" s="1409">
        <f>C28+C29</f>
        <v>0</v>
      </c>
      <c r="D27" s="1409"/>
      <c r="E27" s="3014"/>
      <c r="F27" s="3014"/>
      <c r="G27" s="3014"/>
    </row>
    <row r="28" spans="1:9">
      <c r="A28" s="1410" t="s">
        <v>1004</v>
      </c>
      <c r="B28" s="1409" t="s">
        <v>1005</v>
      </c>
      <c r="C28" s="1409"/>
      <c r="D28" s="1409"/>
      <c r="E28" s="3014"/>
      <c r="F28" s="3014"/>
      <c r="G28" s="3014"/>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15"/>
      <c r="F32" s="3015"/>
      <c r="G32" s="3015"/>
    </row>
    <row r="33" spans="1:7" hidden="1">
      <c r="A33" s="3010" t="s">
        <v>1014</v>
      </c>
      <c r="B33" s="3011"/>
      <c r="C33" s="3011"/>
      <c r="D33" s="3012"/>
      <c r="E33" s="3013"/>
      <c r="F33" s="3013"/>
      <c r="G33" s="3013"/>
    </row>
    <row r="34" spans="1:7" hidden="1">
      <c r="A34" s="1412">
        <v>1</v>
      </c>
      <c r="B34" s="1409" t="s">
        <v>1015</v>
      </c>
      <c r="C34" s="1409"/>
      <c r="D34" s="1409"/>
      <c r="E34" s="3014"/>
      <c r="F34" s="3014"/>
      <c r="G34" s="3014"/>
    </row>
    <row r="35" spans="1:7" hidden="1">
      <c r="A35" s="1412">
        <v>2</v>
      </c>
      <c r="B35" s="1409" t="s">
        <v>1016</v>
      </c>
      <c r="C35" s="1409"/>
      <c r="D35" s="1409"/>
      <c r="E35" s="3014"/>
      <c r="F35" s="3014"/>
      <c r="G35" s="3014"/>
    </row>
    <row r="36" spans="1:7" hidden="1">
      <c r="A36" s="1412">
        <v>3</v>
      </c>
      <c r="B36" s="1409" t="s">
        <v>1017</v>
      </c>
      <c r="C36" s="1409"/>
      <c r="D36" s="1409"/>
      <c r="E36" s="3014"/>
      <c r="F36" s="3014"/>
      <c r="G36" s="3014"/>
    </row>
    <row r="37" spans="1:7" hidden="1">
      <c r="A37" s="1412">
        <v>4</v>
      </c>
      <c r="B37" s="1409" t="s">
        <v>1018</v>
      </c>
      <c r="C37" s="1409"/>
      <c r="D37" s="1409"/>
      <c r="E37" s="3014"/>
      <c r="F37" s="3014"/>
      <c r="G37" s="3014"/>
    </row>
    <row r="38" spans="1:7" hidden="1">
      <c r="A38" s="3010" t="s">
        <v>1019</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2324</v>
      </c>
      <c r="C1" s="1721"/>
      <c r="D1" s="2373"/>
      <c r="E1" s="2374"/>
      <c r="F1" s="1735" t="s">
        <v>2325</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1995</v>
      </c>
      <c r="B2" s="1720" t="e">
        <f ca="1">IF(D2="——",IF(C2="元",ROUND(C49*D3,0),ROUND(C49*D3/10000,0)),IF(C2="元",ROUND(C49*D3,0),ROUND(C49*D3/10000,0))-E2)</f>
        <v>#DIV/0!</v>
      </c>
      <c r="C2" s="163" t="str">
        <f>'数据-取费表'!B3</f>
        <v>元</v>
      </c>
      <c r="D2" s="2376"/>
      <c r="E2" s="1838"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1996</v>
      </c>
      <c r="B3" s="378" t="e">
        <f ca="1">ROUND(IF(D2="——",C49,IF(C2="万元",B2*10000/D3,B2/D3)),0)</f>
        <v>#DIV/0!</v>
      </c>
      <c r="C3" s="379" t="s">
        <v>2326</v>
      </c>
      <c r="D3" s="378">
        <f>IF(C1="仅计算典型户型",'数据-取费表'!E5,'数据-取费表'!B5)</f>
        <v>194.17</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80" t="s">
        <v>2327</v>
      </c>
      <c r="B4" s="381"/>
      <c r="C4" s="3064" t="s">
        <v>2328</v>
      </c>
      <c r="D4" s="3065"/>
      <c r="E4" s="3066" t="s">
        <v>2329</v>
      </c>
      <c r="F4" s="3067"/>
      <c r="G4" s="3064" t="s">
        <v>2330</v>
      </c>
      <c r="H4" s="3065"/>
      <c r="I4" s="3064" t="s">
        <v>2331</v>
      </c>
      <c r="J4" s="3065"/>
      <c r="K4" s="2387"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1" t="s">
        <v>2330</v>
      </c>
      <c r="AC4" s="3061" t="s">
        <v>2331</v>
      </c>
    </row>
    <row r="5" spans="1:29" ht="15">
      <c r="A5" s="383"/>
      <c r="B5" s="384"/>
      <c r="C5" s="3049" t="s">
        <v>2334</v>
      </c>
      <c r="D5" s="3050"/>
      <c r="E5" s="3075" t="s">
        <v>2335</v>
      </c>
      <c r="F5" s="3076"/>
      <c r="G5" s="3049" t="s">
        <v>2336</v>
      </c>
      <c r="H5" s="3050"/>
      <c r="I5" s="3049" t="s">
        <v>2337</v>
      </c>
      <c r="J5" s="3050"/>
      <c r="K5" s="2388"/>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2388"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51" t="s">
        <v>2341</v>
      </c>
      <c r="Q7" s="3059"/>
      <c r="R7" s="748" t="s">
        <v>34</v>
      </c>
      <c r="S7" s="749">
        <f t="shared" ref="S7:S15" si="0">F7</f>
        <v>0</v>
      </c>
      <c r="T7" s="748" t="s">
        <v>34</v>
      </c>
      <c r="U7" s="749">
        <f t="shared" ref="U7:U15" si="1">H7</f>
        <v>0</v>
      </c>
      <c r="V7" s="748" t="s">
        <v>34</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51" t="s">
        <v>2344</v>
      </c>
      <c r="Q8" s="3052"/>
      <c r="R8" s="748" t="s">
        <v>34</v>
      </c>
      <c r="S8" s="749">
        <f t="shared" si="0"/>
        <v>0</v>
      </c>
      <c r="T8" s="748" t="s">
        <v>34</v>
      </c>
      <c r="U8" s="749">
        <f t="shared" si="1"/>
        <v>0</v>
      </c>
      <c r="V8" s="748" t="s">
        <v>34</v>
      </c>
      <c r="W8" s="749">
        <f t="shared" si="2"/>
        <v>0</v>
      </c>
      <c r="X8" s="750"/>
      <c r="Y8" s="3051" t="s">
        <v>2344</v>
      </c>
      <c r="Z8" s="3052"/>
      <c r="AA8" s="751" t="e">
        <f t="shared" ref="AA8:AA46" si="3">D8/F8</f>
        <v>#DIV/0!</v>
      </c>
      <c r="AB8" s="751" t="e">
        <f t="shared" ref="AB8:AB46" si="4">D8/H8</f>
        <v>#DIV/0!</v>
      </c>
      <c r="AC8" s="751" t="e">
        <f t="shared" ref="AC8:AC46" si="5">D8/J8</f>
        <v>#DIV/0!</v>
      </c>
    </row>
    <row r="9" spans="1:29" s="35" customFormat="1">
      <c r="A9" s="395" t="s">
        <v>2345</v>
      </c>
      <c r="B9" s="28" t="s">
        <v>2346</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0"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0"/>
      <c r="Q11" s="1881" t="str">
        <f t="shared" si="6"/>
        <v>容积率</v>
      </c>
      <c r="R11" s="748" t="s">
        <v>28</v>
      </c>
      <c r="S11" s="749" t="e">
        <f t="shared" si="0"/>
        <v>#N/A</v>
      </c>
      <c r="T11" s="748" t="s">
        <v>28</v>
      </c>
      <c r="U11" s="749" t="e">
        <f t="shared" si="1"/>
        <v>#N/A</v>
      </c>
      <c r="V11" s="748" t="s">
        <v>28</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0"/>
      <c r="Q12" s="1881">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0"/>
      <c r="Q13" s="1881">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0"/>
      <c r="Q14" s="1881">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99.75">
      <c r="A15" s="419" t="s">
        <v>2351</v>
      </c>
      <c r="B15" s="26" t="s">
        <v>1731</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38" t="s">
        <v>2352</v>
      </c>
      <c r="Q15" s="1893" t="str">
        <f t="shared" si="6"/>
        <v>居住社区成熟度</v>
      </c>
      <c r="R15" s="752" t="s">
        <v>28</v>
      </c>
      <c r="S15" s="753">
        <f t="shared" si="0"/>
        <v>100</v>
      </c>
      <c r="T15" s="752" t="s">
        <v>28</v>
      </c>
      <c r="U15" s="753">
        <f t="shared" si="1"/>
        <v>100</v>
      </c>
      <c r="V15" s="752" t="s">
        <v>28</v>
      </c>
      <c r="W15" s="753">
        <f t="shared" si="2"/>
        <v>100</v>
      </c>
      <c r="X15" s="1894"/>
      <c r="Y15" s="3040" t="s">
        <v>2352</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8"/>
      <c r="M16" s="1239"/>
      <c r="N16" s="1239"/>
      <c r="O16" s="1239"/>
      <c r="P16" s="3039"/>
      <c r="Q16" s="1893"/>
      <c r="R16" s="752"/>
      <c r="S16" s="753"/>
      <c r="T16" s="752"/>
      <c r="U16" s="753"/>
      <c r="V16" s="752"/>
      <c r="W16" s="753"/>
      <c r="X16" s="1894"/>
      <c r="Y16" s="3041"/>
      <c r="Z16" s="1896"/>
      <c r="AA16" s="1897">
        <v>1</v>
      </c>
      <c r="AB16" s="1897">
        <v>1</v>
      </c>
      <c r="AC16" s="1897">
        <v>1</v>
      </c>
    </row>
    <row r="17" spans="1:29" ht="142.5">
      <c r="A17" s="408"/>
      <c r="B17" s="431" t="s">
        <v>1742</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39"/>
      <c r="Q17" s="1893" t="str">
        <f>B17</f>
        <v>交通便捷度</v>
      </c>
      <c r="R17" s="752" t="s">
        <v>28</v>
      </c>
      <c r="S17" s="753">
        <f>F17</f>
        <v>100</v>
      </c>
      <c r="T17" s="752" t="s">
        <v>28</v>
      </c>
      <c r="U17" s="753">
        <f>H17</f>
        <v>100</v>
      </c>
      <c r="V17" s="752" t="s">
        <v>28</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1740</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39"/>
      <c r="Q19" s="1893" t="str">
        <f>B19</f>
        <v>公共配套设施</v>
      </c>
      <c r="R19" s="752" t="s">
        <v>28</v>
      </c>
      <c r="S19" s="753">
        <f>F19</f>
        <v>100</v>
      </c>
      <c r="T19" s="752" t="s">
        <v>28</v>
      </c>
      <c r="U19" s="753">
        <f>H19</f>
        <v>100</v>
      </c>
      <c r="V19" s="752" t="s">
        <v>28</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1743</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39"/>
      <c r="Q21" s="1893" t="str">
        <f>B21</f>
        <v>基础设施水平</v>
      </c>
      <c r="R21" s="752" t="s">
        <v>28</v>
      </c>
      <c r="S21" s="753">
        <f>F21</f>
        <v>100</v>
      </c>
      <c r="T21" s="752" t="s">
        <v>28</v>
      </c>
      <c r="U21" s="753">
        <f>H21</f>
        <v>100</v>
      </c>
      <c r="V21" s="752" t="s">
        <v>28</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1747</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39"/>
      <c r="Q23" s="1893" t="str">
        <f>B23</f>
        <v>自然及人文环境</v>
      </c>
      <c r="R23" s="752" t="s">
        <v>28</v>
      </c>
      <c r="S23" s="753">
        <f>F23</f>
        <v>100</v>
      </c>
      <c r="T23" s="752" t="s">
        <v>28</v>
      </c>
      <c r="U23" s="753">
        <f>H23</f>
        <v>100</v>
      </c>
      <c r="V23" s="752" t="s">
        <v>28</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2353</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39"/>
      <c r="Q25" s="1893" t="str">
        <f t="shared" ref="Q25:Q46" si="11">B25</f>
        <v>楼层-1</v>
      </c>
      <c r="R25" s="752" t="s">
        <v>28</v>
      </c>
      <c r="S25" s="753">
        <f>F25</f>
        <v>100</v>
      </c>
      <c r="T25" s="752" t="s">
        <v>28</v>
      </c>
      <c r="U25" s="753">
        <f>H25</f>
        <v>100</v>
      </c>
      <c r="V25" s="752" t="s">
        <v>28</v>
      </c>
      <c r="W25" s="753">
        <f>J25</f>
        <v>100</v>
      </c>
      <c r="X25" s="1894"/>
      <c r="Y25" s="3041"/>
      <c r="Z25" s="1896" t="str">
        <f>Q25</f>
        <v>楼层-1</v>
      </c>
      <c r="AA25" s="1897">
        <f t="shared" si="3"/>
        <v>1</v>
      </c>
      <c r="AB25" s="1897">
        <f t="shared" si="4"/>
        <v>1</v>
      </c>
      <c r="AC25" s="1897">
        <f t="shared" si="5"/>
        <v>1</v>
      </c>
    </row>
    <row r="26" spans="1:29" ht="15">
      <c r="A26" s="408"/>
      <c r="B26" s="402" t="s">
        <v>2354</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39"/>
      <c r="Q26" s="1893" t="str">
        <f t="shared" si="11"/>
        <v>朝向</v>
      </c>
      <c r="R26" s="752" t="s">
        <v>28</v>
      </c>
      <c r="S26" s="753">
        <f>F26</f>
        <v>100</v>
      </c>
      <c r="T26" s="752" t="s">
        <v>28</v>
      </c>
      <c r="U26" s="753">
        <f>H26</f>
        <v>100</v>
      </c>
      <c r="V26" s="752" t="s">
        <v>28</v>
      </c>
      <c r="W26" s="753">
        <f>J26</f>
        <v>100</v>
      </c>
      <c r="X26" s="1894"/>
      <c r="Y26" s="3041"/>
      <c r="Z26" s="1896" t="str">
        <f>Q26</f>
        <v>朝向</v>
      </c>
      <c r="AA26" s="1897">
        <f t="shared" si="3"/>
        <v>1</v>
      </c>
      <c r="AB26" s="1897">
        <f t="shared" si="4"/>
        <v>1</v>
      </c>
      <c r="AC26" s="1897">
        <f t="shared" si="5"/>
        <v>1</v>
      </c>
    </row>
    <row r="27" spans="1:29" s="35" customFormat="1" ht="15">
      <c r="A27" s="411"/>
      <c r="B27" s="2391" t="s">
        <v>2355</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39"/>
      <c r="Q27" s="1881" t="str">
        <f t="shared" si="11"/>
        <v>道路级别</v>
      </c>
      <c r="R27" s="748" t="s">
        <v>28</v>
      </c>
      <c r="S27" s="749">
        <f>F27</f>
        <v>100</v>
      </c>
      <c r="T27" s="748" t="s">
        <v>28</v>
      </c>
      <c r="U27" s="749">
        <f>H27</f>
        <v>100</v>
      </c>
      <c r="V27" s="748" t="s">
        <v>28</v>
      </c>
      <c r="W27" s="749">
        <f>J27</f>
        <v>100</v>
      </c>
      <c r="X27" s="750"/>
      <c r="Y27" s="3041"/>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39"/>
      <c r="Q28" s="1893">
        <f t="shared" si="11"/>
        <v>111</v>
      </c>
      <c r="R28" s="752" t="s">
        <v>28</v>
      </c>
      <c r="S28" s="753">
        <f t="shared" ref="S28:S46" si="12">F28</f>
        <v>100</v>
      </c>
      <c r="T28" s="752" t="s">
        <v>28</v>
      </c>
      <c r="U28" s="753">
        <f t="shared" ref="U28:U46" si="13">H28</f>
        <v>100</v>
      </c>
      <c r="V28" s="752" t="s">
        <v>28</v>
      </c>
      <c r="W28" s="753">
        <f t="shared" ref="W28:W46" si="14">J28</f>
        <v>100</v>
      </c>
      <c r="X28" s="1894"/>
      <c r="Y28" s="3041"/>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39"/>
      <c r="Q29" s="1893">
        <f t="shared" si="11"/>
        <v>111</v>
      </c>
      <c r="R29" s="752" t="s">
        <v>28</v>
      </c>
      <c r="S29" s="753">
        <f t="shared" si="12"/>
        <v>100</v>
      </c>
      <c r="T29" s="752" t="s">
        <v>28</v>
      </c>
      <c r="U29" s="753">
        <f t="shared" si="13"/>
        <v>100</v>
      </c>
      <c r="V29" s="752" t="s">
        <v>28</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39"/>
      <c r="Q30" s="1893">
        <f t="shared" si="11"/>
        <v>111</v>
      </c>
      <c r="R30" s="752" t="s">
        <v>28</v>
      </c>
      <c r="S30" s="753">
        <f t="shared" si="12"/>
        <v>100</v>
      </c>
      <c r="T30" s="752" t="s">
        <v>28</v>
      </c>
      <c r="U30" s="753">
        <f t="shared" si="13"/>
        <v>100</v>
      </c>
      <c r="V30" s="752" t="s">
        <v>28</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39"/>
      <c r="Q31" s="1893">
        <f t="shared" si="11"/>
        <v>111</v>
      </c>
      <c r="R31" s="752" t="s">
        <v>28</v>
      </c>
      <c r="S31" s="753">
        <f t="shared" si="12"/>
        <v>100</v>
      </c>
      <c r="T31" s="752" t="s">
        <v>28</v>
      </c>
      <c r="U31" s="753">
        <f t="shared" si="13"/>
        <v>100</v>
      </c>
      <c r="V31" s="752" t="s">
        <v>28</v>
      </c>
      <c r="W31" s="753">
        <f t="shared" si="14"/>
        <v>100</v>
      </c>
      <c r="X31" s="1894"/>
      <c r="Y31" s="3041"/>
      <c r="Z31" s="1896">
        <f t="shared" si="15"/>
        <v>111</v>
      </c>
      <c r="AA31" s="1897">
        <f t="shared" si="3"/>
        <v>1</v>
      </c>
      <c r="AB31" s="1897">
        <f t="shared" si="4"/>
        <v>1</v>
      </c>
      <c r="AC31" s="1897">
        <f t="shared" si="5"/>
        <v>1</v>
      </c>
    </row>
    <row r="32" spans="1:29" ht="15">
      <c r="A32" s="419" t="s">
        <v>2356</v>
      </c>
      <c r="B32" s="28" t="s">
        <v>2357</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42" t="s">
        <v>2358</v>
      </c>
      <c r="Q32" s="1893" t="str">
        <f t="shared" si="11"/>
        <v>建筑类型</v>
      </c>
      <c r="R32" s="752" t="s">
        <v>28</v>
      </c>
      <c r="S32" s="753">
        <f t="shared" si="12"/>
        <v>100</v>
      </c>
      <c r="T32" s="752" t="s">
        <v>28</v>
      </c>
      <c r="U32" s="753">
        <f t="shared" si="13"/>
        <v>100</v>
      </c>
      <c r="V32" s="752" t="s">
        <v>28</v>
      </c>
      <c r="W32" s="753">
        <f t="shared" si="14"/>
        <v>100</v>
      </c>
      <c r="X32" s="1894"/>
      <c r="Y32" s="3045" t="s">
        <v>2358</v>
      </c>
      <c r="Z32" s="1896" t="str">
        <f t="shared" si="15"/>
        <v>建筑类型</v>
      </c>
      <c r="AA32" s="1897">
        <f t="shared" si="3"/>
        <v>1</v>
      </c>
      <c r="AB32" s="1897">
        <f t="shared" si="4"/>
        <v>1</v>
      </c>
      <c r="AC32" s="1897">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43"/>
      <c r="Q33" s="754" t="str">
        <f t="shared" si="11"/>
        <v>项目建筑规模</v>
      </c>
      <c r="R33" s="755" t="s">
        <v>28</v>
      </c>
      <c r="S33" s="756" t="e">
        <f t="shared" si="12"/>
        <v>#N/A</v>
      </c>
      <c r="T33" s="755" t="s">
        <v>28</v>
      </c>
      <c r="U33" s="756" t="e">
        <f t="shared" si="13"/>
        <v>#N/A</v>
      </c>
      <c r="V33" s="755" t="s">
        <v>28</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2360</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43"/>
      <c r="Q34" s="1893" t="str">
        <f t="shared" si="11"/>
        <v>建筑结构</v>
      </c>
      <c r="R34" s="752" t="s">
        <v>28</v>
      </c>
      <c r="S34" s="753">
        <f t="shared" si="12"/>
        <v>100</v>
      </c>
      <c r="T34" s="752" t="s">
        <v>28</v>
      </c>
      <c r="U34" s="753">
        <f t="shared" si="13"/>
        <v>100</v>
      </c>
      <c r="V34" s="752" t="s">
        <v>28</v>
      </c>
      <c r="W34" s="753">
        <f t="shared" si="14"/>
        <v>100</v>
      </c>
      <c r="X34" s="1894"/>
      <c r="Y34" s="3045"/>
      <c r="Z34" s="1896" t="str">
        <f t="shared" si="15"/>
        <v>建筑结构</v>
      </c>
      <c r="AA34" s="1897">
        <f t="shared" si="3"/>
        <v>1</v>
      </c>
      <c r="AB34" s="1897">
        <f t="shared" si="4"/>
        <v>1</v>
      </c>
      <c r="AC34" s="1897">
        <f t="shared" si="5"/>
        <v>1</v>
      </c>
    </row>
    <row r="35" spans="1:29" ht="15">
      <c r="A35" s="453"/>
      <c r="B35" s="402" t="s">
        <v>2361</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43"/>
      <c r="Q35" s="1893" t="str">
        <f t="shared" si="11"/>
        <v>建筑品质</v>
      </c>
      <c r="R35" s="752" t="s">
        <v>28</v>
      </c>
      <c r="S35" s="753">
        <f t="shared" si="12"/>
        <v>100</v>
      </c>
      <c r="T35" s="752" t="s">
        <v>28</v>
      </c>
      <c r="U35" s="753">
        <f t="shared" si="13"/>
        <v>100</v>
      </c>
      <c r="V35" s="752" t="s">
        <v>28</v>
      </c>
      <c r="W35" s="753">
        <f t="shared" si="14"/>
        <v>100</v>
      </c>
      <c r="X35" s="1894"/>
      <c r="Y35" s="3045"/>
      <c r="Z35" s="1896" t="str">
        <f t="shared" si="15"/>
        <v>建筑品质</v>
      </c>
      <c r="AA35" s="1897">
        <f t="shared" si="3"/>
        <v>1</v>
      </c>
      <c r="AB35" s="1897">
        <f t="shared" si="4"/>
        <v>1</v>
      </c>
      <c r="AC35" s="1897">
        <f t="shared" si="5"/>
        <v>1</v>
      </c>
    </row>
    <row r="36" spans="1:29" ht="15">
      <c r="A36" s="453"/>
      <c r="B36" s="402" t="s">
        <v>2362</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43"/>
      <c r="Q36" s="1893" t="str">
        <f t="shared" si="11"/>
        <v>公共部分装修</v>
      </c>
      <c r="R36" s="752" t="s">
        <v>28</v>
      </c>
      <c r="S36" s="753">
        <f t="shared" si="12"/>
        <v>100</v>
      </c>
      <c r="T36" s="752" t="s">
        <v>28</v>
      </c>
      <c r="U36" s="753">
        <f t="shared" si="13"/>
        <v>100</v>
      </c>
      <c r="V36" s="752" t="s">
        <v>28</v>
      </c>
      <c r="W36" s="753">
        <f t="shared" si="14"/>
        <v>100</v>
      </c>
      <c r="X36" s="1894"/>
      <c r="Y36" s="3045"/>
      <c r="Z36" s="1896" t="str">
        <f t="shared" si="15"/>
        <v>公共部分装修</v>
      </c>
      <c r="AA36" s="1897">
        <f t="shared" si="3"/>
        <v>1</v>
      </c>
      <c r="AB36" s="1897">
        <f t="shared" si="4"/>
        <v>1</v>
      </c>
      <c r="AC36" s="1897">
        <f t="shared" si="5"/>
        <v>1</v>
      </c>
    </row>
    <row r="37" spans="1:29" s="35" customFormat="1" ht="15">
      <c r="A37" s="454"/>
      <c r="B37" s="402" t="s">
        <v>2363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43"/>
      <c r="Q37" s="1881" t="str">
        <f t="shared" si="11"/>
        <v>成新度</v>
      </c>
      <c r="R37" s="748" t="s">
        <v>28</v>
      </c>
      <c r="S37" s="749" t="e">
        <f t="shared" si="12"/>
        <v>#N/A</v>
      </c>
      <c r="T37" s="748" t="s">
        <v>28</v>
      </c>
      <c r="U37" s="749" t="e">
        <f t="shared" si="13"/>
        <v>#N/A</v>
      </c>
      <c r="V37" s="748" t="s">
        <v>28</v>
      </c>
      <c r="W37" s="749" t="e">
        <f t="shared" si="14"/>
        <v>#N/A</v>
      </c>
      <c r="X37" s="750"/>
      <c r="Y37" s="3045"/>
      <c r="Z37" s="23" t="str">
        <f t="shared" si="15"/>
        <v>成新度</v>
      </c>
      <c r="AA37" s="751" t="e">
        <f t="shared" si="3"/>
        <v>#N/A</v>
      </c>
      <c r="AB37" s="751" t="e">
        <f t="shared" si="4"/>
        <v>#N/A</v>
      </c>
      <c r="AC37" s="751" t="e">
        <f t="shared" si="5"/>
        <v>#N/A</v>
      </c>
    </row>
    <row r="38" spans="1:29" ht="15">
      <c r="A38" s="453"/>
      <c r="B38" s="402" t="s">
        <v>2364</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43" t="s">
        <v>2358</v>
      </c>
      <c r="Q38" s="1893" t="str">
        <f t="shared" si="11"/>
        <v>物业管理</v>
      </c>
      <c r="R38" s="752" t="s">
        <v>28</v>
      </c>
      <c r="S38" s="753">
        <f t="shared" si="12"/>
        <v>100</v>
      </c>
      <c r="T38" s="752" t="s">
        <v>28</v>
      </c>
      <c r="U38" s="753">
        <f t="shared" si="13"/>
        <v>100</v>
      </c>
      <c r="V38" s="752" t="s">
        <v>28</v>
      </c>
      <c r="W38" s="753">
        <f t="shared" si="14"/>
        <v>100</v>
      </c>
      <c r="X38" s="1894"/>
      <c r="Y38" s="3045" t="s">
        <v>2358</v>
      </c>
      <c r="Z38" s="1896" t="str">
        <f t="shared" si="15"/>
        <v>物业管理</v>
      </c>
      <c r="AA38" s="1897">
        <f t="shared" si="3"/>
        <v>1</v>
      </c>
      <c r="AB38" s="1897">
        <f t="shared" si="4"/>
        <v>1</v>
      </c>
      <c r="AC38" s="1897">
        <f t="shared" si="5"/>
        <v>1</v>
      </c>
    </row>
    <row r="39" spans="1:29" ht="15">
      <c r="A39" s="453"/>
      <c r="B39" s="402" t="s">
        <v>2365</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43"/>
      <c r="Q39" s="1893" t="str">
        <f t="shared" si="11"/>
        <v>市政基础设施</v>
      </c>
      <c r="R39" s="752" t="s">
        <v>28</v>
      </c>
      <c r="S39" s="753">
        <f t="shared" si="12"/>
        <v>100</v>
      </c>
      <c r="T39" s="752" t="s">
        <v>28</v>
      </c>
      <c r="U39" s="753">
        <f t="shared" si="13"/>
        <v>100</v>
      </c>
      <c r="V39" s="752" t="s">
        <v>28</v>
      </c>
      <c r="W39" s="753">
        <f t="shared" si="14"/>
        <v>100</v>
      </c>
      <c r="X39" s="1894"/>
      <c r="Y39" s="3045"/>
      <c r="Z39" s="1896" t="str">
        <f t="shared" si="15"/>
        <v>市政基础设施</v>
      </c>
      <c r="AA39" s="1897">
        <f t="shared" si="3"/>
        <v>1</v>
      </c>
      <c r="AB39" s="1897">
        <f t="shared" si="4"/>
        <v>1</v>
      </c>
      <c r="AC39" s="1897">
        <f t="shared" si="5"/>
        <v>1</v>
      </c>
    </row>
    <row r="40" spans="1:29" ht="15">
      <c r="A40" s="453"/>
      <c r="B40" s="402" t="s">
        <v>2366</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43"/>
      <c r="Q40" s="1893" t="str">
        <f t="shared" si="11"/>
        <v>房型</v>
      </c>
      <c r="R40" s="752" t="s">
        <v>28</v>
      </c>
      <c r="S40" s="753">
        <f t="shared" si="12"/>
        <v>100</v>
      </c>
      <c r="T40" s="752" t="s">
        <v>28</v>
      </c>
      <c r="U40" s="753">
        <f t="shared" si="13"/>
        <v>100</v>
      </c>
      <c r="V40" s="752" t="s">
        <v>28</v>
      </c>
      <c r="W40" s="753">
        <f t="shared" si="14"/>
        <v>100</v>
      </c>
      <c r="X40" s="1894"/>
      <c r="Y40" s="3045"/>
      <c r="Z40" s="1896" t="str">
        <f t="shared" si="15"/>
        <v>房型</v>
      </c>
      <c r="AA40" s="1897">
        <f t="shared" si="3"/>
        <v>1</v>
      </c>
      <c r="AB40" s="1897">
        <f t="shared" si="4"/>
        <v>1</v>
      </c>
      <c r="AC40" s="1897">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43"/>
      <c r="Q41" s="754" t="str">
        <f t="shared" si="11"/>
        <v>单套/主力户型建筑面积</v>
      </c>
      <c r="R41" s="755" t="s">
        <v>28</v>
      </c>
      <c r="S41" s="756">
        <f t="shared" si="12"/>
        <v>100</v>
      </c>
      <c r="T41" s="755" t="s">
        <v>28</v>
      </c>
      <c r="U41" s="756">
        <f t="shared" si="13"/>
        <v>100</v>
      </c>
      <c r="V41" s="755" t="s">
        <v>28</v>
      </c>
      <c r="W41" s="756">
        <f t="shared" si="14"/>
        <v>100</v>
      </c>
      <c r="X41" s="757"/>
      <c r="Y41" s="3045"/>
      <c r="Z41" s="758" t="str">
        <f t="shared" si="15"/>
        <v>单套/主力户型建筑面积</v>
      </c>
      <c r="AA41" s="1897">
        <f t="shared" si="3"/>
        <v>1</v>
      </c>
      <c r="AB41" s="1897">
        <f t="shared" si="4"/>
        <v>1</v>
      </c>
      <c r="AC41" s="1897">
        <f t="shared" si="5"/>
        <v>1</v>
      </c>
    </row>
    <row r="42" spans="1:29" ht="15">
      <c r="A42" s="453"/>
      <c r="B42" s="402" t="s">
        <v>2368</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43"/>
      <c r="Q42" s="1893" t="str">
        <f t="shared" si="11"/>
        <v>内部装修</v>
      </c>
      <c r="R42" s="752" t="s">
        <v>28</v>
      </c>
      <c r="S42" s="753">
        <f t="shared" si="12"/>
        <v>100</v>
      </c>
      <c r="T42" s="752" t="s">
        <v>28</v>
      </c>
      <c r="U42" s="753">
        <f t="shared" si="13"/>
        <v>100</v>
      </c>
      <c r="V42" s="752" t="s">
        <v>28</v>
      </c>
      <c r="W42" s="753">
        <f t="shared" si="14"/>
        <v>100</v>
      </c>
      <c r="X42" s="1894"/>
      <c r="Y42" s="3045"/>
      <c r="Z42" s="1896" t="str">
        <f t="shared" si="15"/>
        <v>内部装修</v>
      </c>
      <c r="AA42" s="1897">
        <f t="shared" si="3"/>
        <v>1</v>
      </c>
      <c r="AB42" s="1897">
        <f t="shared" si="4"/>
        <v>1</v>
      </c>
      <c r="AC42" s="1897">
        <f t="shared" si="5"/>
        <v>1</v>
      </c>
    </row>
    <row r="43" spans="1:29" ht="15">
      <c r="A43" s="453"/>
      <c r="B43" s="402" t="s">
        <v>2369</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43"/>
      <c r="Q43" s="1893" t="str">
        <f t="shared" si="11"/>
        <v>内部装修维护情况</v>
      </c>
      <c r="R43" s="752" t="s">
        <v>28</v>
      </c>
      <c r="S43" s="753">
        <f t="shared" si="12"/>
        <v>100</v>
      </c>
      <c r="T43" s="752" t="s">
        <v>28</v>
      </c>
      <c r="U43" s="753">
        <f t="shared" si="13"/>
        <v>100</v>
      </c>
      <c r="V43" s="752" t="s">
        <v>28</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43"/>
      <c r="Q44" s="1881">
        <f t="shared" si="11"/>
        <v>111</v>
      </c>
      <c r="R44" s="748" t="s">
        <v>28</v>
      </c>
      <c r="S44" s="749">
        <f t="shared" si="12"/>
        <v>100</v>
      </c>
      <c r="T44" s="748" t="s">
        <v>28</v>
      </c>
      <c r="U44" s="749">
        <f t="shared" si="13"/>
        <v>100</v>
      </c>
      <c r="V44" s="748" t="s">
        <v>28</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43"/>
      <c r="Q45" s="1893">
        <f t="shared" si="11"/>
        <v>111</v>
      </c>
      <c r="R45" s="752" t="s">
        <v>28</v>
      </c>
      <c r="S45" s="753">
        <f t="shared" si="12"/>
        <v>100</v>
      </c>
      <c r="T45" s="752" t="s">
        <v>28</v>
      </c>
      <c r="U45" s="753">
        <f t="shared" si="13"/>
        <v>100</v>
      </c>
      <c r="V45" s="752" t="s">
        <v>28</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44"/>
      <c r="Q46" s="1893">
        <f t="shared" si="11"/>
        <v>111</v>
      </c>
      <c r="R46" s="752" t="s">
        <v>27</v>
      </c>
      <c r="S46" s="753">
        <f t="shared" si="12"/>
        <v>100</v>
      </c>
      <c r="T46" s="752" t="s">
        <v>27</v>
      </c>
      <c r="U46" s="753">
        <f t="shared" si="13"/>
        <v>100</v>
      </c>
      <c r="V46" s="752" t="s">
        <v>27</v>
      </c>
      <c r="W46" s="753">
        <f t="shared" si="14"/>
        <v>100</v>
      </c>
      <c r="X46" s="1894"/>
      <c r="Y46" s="3046"/>
      <c r="Z46" s="1896">
        <f t="shared" si="15"/>
        <v>111</v>
      </c>
      <c r="AA46" s="1897">
        <f t="shared" si="3"/>
        <v>1</v>
      </c>
      <c r="AB46" s="1897">
        <f t="shared" si="4"/>
        <v>1</v>
      </c>
      <c r="AC46" s="1897">
        <f t="shared" si="5"/>
        <v>1</v>
      </c>
    </row>
    <row r="47" spans="1:29" ht="15">
      <c r="A47" s="460" t="s">
        <v>2370</v>
      </c>
      <c r="B47" s="461"/>
      <c r="C47" s="1497" t="s">
        <v>26</v>
      </c>
      <c r="D47" s="1498"/>
      <c r="E47" s="1499"/>
      <c r="F47" s="1500"/>
      <c r="G47" s="1501"/>
      <c r="H47" s="1502"/>
      <c r="I47" s="1499"/>
      <c r="J47" s="1502"/>
      <c r="K47" s="2409"/>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2371</v>
      </c>
      <c r="B48" s="468"/>
      <c r="C48" s="1503" t="e">
        <f>R49</f>
        <v>#DIV/0!</v>
      </c>
      <c r="D48" s="1504"/>
      <c r="E48" s="1505" t="e">
        <f>R48</f>
        <v>#DIV/0!</v>
      </c>
      <c r="F48" s="1505"/>
      <c r="G48" s="1503" t="e">
        <f>T48</f>
        <v>#DIV/0!</v>
      </c>
      <c r="H48" s="1504"/>
      <c r="I48" s="1505" t="e">
        <f>V48</f>
        <v>#DIV/0!</v>
      </c>
      <c r="J48" s="1504"/>
      <c r="K48" s="2410"/>
      <c r="L48" s="1251"/>
      <c r="M48" s="1252"/>
      <c r="N48" s="1252"/>
      <c r="O48" s="1252"/>
      <c r="P48" s="3037" t="str">
        <f>A48</f>
        <v>比较价值（元/平方米）</v>
      </c>
      <c r="Q48" s="3037"/>
      <c r="R48" s="3033" t="e">
        <f>IF(E1="售价",ROUND(PRODUCT(R47,AA7:AA46),0),ROUND(PRODUCT(R47,AA7:AA46),1))</f>
        <v>#DIV/0!</v>
      </c>
      <c r="S48" s="3033"/>
      <c r="T48" s="3031" t="e">
        <f>IF(E1="售价",ROUND(PRODUCT(T47,AB7:AB46),0),ROUND(PRODUCT(T47,AB7:AB46),1))</f>
        <v>#DIV/0!</v>
      </c>
      <c r="U48" s="3032"/>
      <c r="V48" s="3033" t="e">
        <f>IF(E1="售价",ROUND(PRODUCT(V47,AC7:AC46),0),ROUND(PRODUCT(V47,AC7:AC46),1))</f>
        <v>#DIV/0!</v>
      </c>
      <c r="W48" s="3033"/>
      <c r="X48" s="737"/>
      <c r="Y48" s="737"/>
      <c r="Z48" s="737"/>
      <c r="AA48" s="737"/>
      <c r="AB48" s="737"/>
      <c r="AC48" s="737"/>
    </row>
    <row r="49" spans="1:29" ht="15.75" thickBot="1">
      <c r="A49" s="473" t="s">
        <v>2372</v>
      </c>
      <c r="B49" s="474"/>
      <c r="C49" s="1506" t="e">
        <f>R49</f>
        <v>#DIV/0!</v>
      </c>
      <c r="D49" s="1507"/>
      <c r="E49" s="1507"/>
      <c r="F49" s="1507"/>
      <c r="G49" s="1507"/>
      <c r="H49" s="1507"/>
      <c r="I49" s="1507"/>
      <c r="J49" s="1507"/>
      <c r="K49" s="2411"/>
      <c r="L49" s="1251"/>
      <c r="M49" s="1252"/>
      <c r="N49" s="1252"/>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2375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1.75" thickBot="1">
      <c r="A57" s="741" t="s">
        <v>2376</v>
      </c>
      <c r="B57" s="737"/>
      <c r="C57" s="742"/>
      <c r="D57" s="742"/>
      <c r="E57" s="742"/>
      <c r="F57" s="743"/>
      <c r="G57" s="743"/>
      <c r="H57" s="742"/>
      <c r="I57" s="742"/>
      <c r="J57" s="742"/>
      <c r="K57" s="744"/>
      <c r="L57" s="745"/>
      <c r="M57" s="742"/>
      <c r="N57" s="742"/>
      <c r="O57" s="742"/>
      <c r="P57" s="2414"/>
      <c r="Q57" s="485"/>
    </row>
    <row r="58" spans="1:29" s="489" customFormat="1" ht="15">
      <c r="A58" s="486" t="s">
        <v>2377</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2378</v>
      </c>
      <c r="B60" s="497"/>
      <c r="C60" s="498"/>
      <c r="D60" s="499"/>
      <c r="E60" s="499"/>
      <c r="F60" s="499"/>
      <c r="G60" s="499"/>
      <c r="H60" s="499"/>
      <c r="I60" s="499"/>
      <c r="J60" s="499"/>
      <c r="K60" s="499"/>
      <c r="L60" s="499"/>
      <c r="M60" s="500"/>
      <c r="N60" s="499"/>
      <c r="O60" s="500"/>
      <c r="P60" s="2416"/>
      <c r="Q60" s="485"/>
    </row>
    <row r="61" spans="1:29" s="35" customFormat="1" ht="15">
      <c r="A61" s="502" t="s">
        <v>2379</v>
      </c>
      <c r="B61" s="491"/>
      <c r="C61" s="503" t="s">
        <v>2380</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2381</v>
      </c>
      <c r="B63" s="509" t="s">
        <v>2346</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2"/>
      <c r="O65" s="1262"/>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75" thickTop="1">
      <c r="A67" s="516"/>
      <c r="B67" s="529" t="s">
        <v>2350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44"/>
      <c r="E73" s="544"/>
      <c r="F73" s="544"/>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1743</v>
      </c>
      <c r="C82" s="522" t="s">
        <v>2397</v>
      </c>
      <c r="D82" s="522" t="s">
        <v>2398</v>
      </c>
      <c r="E82" s="522" t="s">
        <v>2399</v>
      </c>
      <c r="F82" s="522" t="s">
        <v>2400</v>
      </c>
      <c r="G82" s="522" t="s">
        <v>2401</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2403</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75" thickTop="1">
      <c r="A88" s="563"/>
      <c r="B88" s="521" t="s">
        <v>2404</v>
      </c>
      <c r="C88" s="537"/>
      <c r="D88" s="537"/>
      <c r="E88" s="537"/>
      <c r="F88" s="2423"/>
      <c r="G88" s="537"/>
      <c r="H88" s="537"/>
      <c r="I88" s="537"/>
      <c r="J88" s="537"/>
      <c r="K88" s="537"/>
      <c r="L88" s="537"/>
      <c r="M88" s="565"/>
      <c r="N88" s="1261"/>
      <c r="O88" s="1261"/>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5.75" thickBot="1">
      <c r="A91" s="536"/>
      <c r="B91" s="526"/>
      <c r="C91" s="544"/>
      <c r="D91" s="544"/>
      <c r="E91" s="544"/>
      <c r="F91" s="544"/>
      <c r="G91" s="544"/>
      <c r="H91" s="546"/>
      <c r="I91" s="546"/>
      <c r="J91" s="546"/>
      <c r="K91" s="546"/>
      <c r="L91" s="546"/>
      <c r="M91" s="547"/>
      <c r="N91" s="1264"/>
      <c r="O91" s="1264"/>
      <c r="P91" s="2419"/>
      <c r="Q91" s="543"/>
    </row>
    <row r="92" spans="1:17" ht="15.75" thickTop="1">
      <c r="A92" s="516"/>
      <c r="B92" s="521">
        <f>B28</f>
        <v>111</v>
      </c>
      <c r="C92" s="537"/>
      <c r="D92" s="537"/>
      <c r="E92" s="537"/>
      <c r="F92" s="537"/>
      <c r="G92" s="567"/>
      <c r="H92" s="567"/>
      <c r="I92" s="567"/>
      <c r="J92" s="567"/>
      <c r="K92" s="568"/>
      <c r="L92" s="569"/>
      <c r="M92" s="570"/>
      <c r="N92" s="1262"/>
      <c r="O92" s="1262"/>
      <c r="P92" s="2418"/>
      <c r="Q92" s="485"/>
    </row>
    <row r="93" spans="1:17" ht="15.75" thickBot="1">
      <c r="A93" s="516"/>
      <c r="B93" s="526"/>
      <c r="C93" s="544"/>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44"/>
      <c r="E95" s="544"/>
      <c r="F95" s="544"/>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54"/>
      <c r="D97" s="554"/>
      <c r="E97" s="554"/>
      <c r="F97" s="554"/>
      <c r="G97" s="518"/>
      <c r="H97" s="518"/>
      <c r="I97" s="518"/>
      <c r="J97" s="518"/>
      <c r="K97" s="518"/>
      <c r="L97" s="518"/>
      <c r="M97" s="519"/>
      <c r="N97" s="1263"/>
      <c r="O97" s="1263"/>
      <c r="P97" s="2418"/>
      <c r="Q97" s="485"/>
    </row>
    <row r="98" spans="1:17" ht="15.75" thickTop="1">
      <c r="A98" s="516"/>
      <c r="B98" s="529">
        <f>B31</f>
        <v>111</v>
      </c>
      <c r="C98" s="571"/>
      <c r="D98" s="571"/>
      <c r="E98" s="571"/>
      <c r="F98" s="571"/>
      <c r="G98" s="571"/>
      <c r="H98" s="571"/>
      <c r="I98" s="571"/>
      <c r="J98" s="571"/>
      <c r="K98" s="572"/>
      <c r="L98" s="573"/>
      <c r="M98" s="574"/>
      <c r="N98" s="1262"/>
      <c r="O98" s="1262"/>
      <c r="P98" s="2418"/>
      <c r="Q98" s="485"/>
    </row>
    <row r="99" spans="1:17" ht="15.75" thickBot="1">
      <c r="A99" s="2424"/>
      <c r="B99" s="553"/>
      <c r="C99" s="575"/>
      <c r="D99" s="575"/>
      <c r="E99" s="575"/>
      <c r="F99" s="575"/>
      <c r="G99" s="575"/>
      <c r="H99" s="575"/>
      <c r="I99" s="575"/>
      <c r="J99" s="575"/>
      <c r="K99" s="575"/>
      <c r="L99" s="575"/>
      <c r="M99" s="576"/>
      <c r="N99" s="1263"/>
      <c r="O99" s="1263"/>
      <c r="P99" s="2418"/>
      <c r="Q99" s="485"/>
    </row>
    <row r="100" spans="1:17">
      <c r="A100" s="508" t="s">
        <v>2356</v>
      </c>
      <c r="B100" s="509" t="s">
        <v>2405</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75" thickTop="1">
      <c r="A102" s="516"/>
      <c r="B102" s="521" t="s">
        <v>2406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2407</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2408</v>
      </c>
      <c r="C107" s="567"/>
      <c r="D107" s="567"/>
      <c r="E107" s="56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2409</v>
      </c>
      <c r="C109" s="537"/>
      <c r="D109" s="537"/>
      <c r="E109" s="537"/>
      <c r="F109" s="567"/>
      <c r="G109" s="567"/>
      <c r="H109" s="567"/>
      <c r="I109" s="567"/>
      <c r="J109" s="567"/>
      <c r="K109" s="568"/>
      <c r="L109" s="569"/>
      <c r="M109" s="570"/>
      <c r="N109" s="1262"/>
      <c r="O109" s="1262"/>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2411</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2412</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2413</v>
      </c>
      <c r="C118" s="567"/>
      <c r="D118" s="567"/>
      <c r="E118" s="567"/>
      <c r="F118" s="567"/>
      <c r="G118" s="567"/>
      <c r="H118" s="567"/>
      <c r="I118" s="567"/>
      <c r="J118" s="567"/>
      <c r="K118" s="568"/>
      <c r="L118" s="569"/>
      <c r="M118" s="570"/>
      <c r="N118" s="1262"/>
      <c r="O118" s="1262"/>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8.5" thickTop="1">
      <c r="A120" s="577"/>
      <c r="B120" s="521" t="s">
        <v>2367</v>
      </c>
      <c r="C120" s="537"/>
      <c r="D120" s="537"/>
      <c r="E120" s="537"/>
      <c r="F120" s="537"/>
      <c r="G120" s="537"/>
      <c r="H120" s="537"/>
      <c r="I120" s="537"/>
      <c r="J120" s="537"/>
      <c r="K120" s="537"/>
      <c r="L120" s="564"/>
      <c r="M120" s="565"/>
      <c r="N120" s="1264"/>
      <c r="O120" s="1264"/>
      <c r="P120" s="2419"/>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2414</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44"/>
      <c r="E129" s="544"/>
      <c r="F129" s="544"/>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2416</v>
      </c>
    </row>
    <row r="137" spans="1:17" ht="15">
      <c r="B137" s="2426" t="s">
        <v>2417</v>
      </c>
      <c r="C137" s="2427"/>
      <c r="D137" s="2427"/>
      <c r="E137" s="2427"/>
      <c r="F137" s="2427"/>
      <c r="G137" s="2428"/>
      <c r="H137" s="2429"/>
      <c r="I137" s="2430" t="s">
        <v>2418</v>
      </c>
      <c r="J137" s="2427"/>
      <c r="K137" s="2431"/>
    </row>
    <row r="138" spans="1:17" ht="15">
      <c r="B138" s="2432"/>
      <c r="C138" s="62" t="s">
        <v>2419</v>
      </c>
      <c r="D138" s="62" t="s">
        <v>2420</v>
      </c>
      <c r="E138" s="2433" t="s">
        <v>2421</v>
      </c>
      <c r="F138" s="2434" t="s">
        <v>2422</v>
      </c>
      <c r="G138" s="62" t="s">
        <v>2420</v>
      </c>
      <c r="H138" s="63" t="s">
        <v>2421</v>
      </c>
      <c r="I138" s="2435"/>
      <c r="J138" s="62" t="s">
        <v>2423</v>
      </c>
      <c r="K138" s="63" t="s">
        <v>2424</v>
      </c>
    </row>
    <row r="139" spans="1:17" ht="15">
      <c r="B139" s="1120">
        <v>6</v>
      </c>
      <c r="C139" s="1128">
        <v>96</v>
      </c>
      <c r="D139" s="2436" t="s">
        <v>2425</v>
      </c>
      <c r="E139" s="1129">
        <v>100</v>
      </c>
      <c r="F139" s="1130">
        <v>102.5</v>
      </c>
      <c r="G139" s="2436" t="s">
        <v>2425</v>
      </c>
      <c r="H139" s="1131">
        <v>105</v>
      </c>
      <c r="I139" s="2437" t="s">
        <v>2426</v>
      </c>
      <c r="J139" s="1128">
        <v>20</v>
      </c>
      <c r="K139" s="1122">
        <f>C145/(J139-2)</f>
        <v>4.0555555555555553E-3</v>
      </c>
    </row>
    <row r="140" spans="1:17" ht="15">
      <c r="B140" s="1121">
        <v>5</v>
      </c>
      <c r="C140" s="1132">
        <v>100</v>
      </c>
      <c r="D140" s="1132"/>
      <c r="E140" s="1133"/>
      <c r="F140" s="1134">
        <v>102</v>
      </c>
      <c r="G140" s="1132"/>
      <c r="H140" s="1135"/>
      <c r="I140" s="2438" t="s">
        <v>2427</v>
      </c>
      <c r="J140" s="217">
        <f>ROUNDUP((J139-1)/2,0)</f>
        <v>10</v>
      </c>
      <c r="K140" s="1123">
        <v>100</v>
      </c>
    </row>
    <row r="141" spans="1:17" ht="15">
      <c r="B141" s="1121">
        <v>4</v>
      </c>
      <c r="C141" s="1132">
        <v>102</v>
      </c>
      <c r="D141" s="1132"/>
      <c r="E141" s="1133"/>
      <c r="F141" s="1134">
        <v>101.5</v>
      </c>
      <c r="G141" s="1132"/>
      <c r="H141" s="1135"/>
      <c r="I141" s="2438" t="s">
        <v>2428</v>
      </c>
      <c r="J141" s="217">
        <v>1</v>
      </c>
      <c r="K141" s="1124">
        <f>ROUND(100+(J141-J140)*K139*100,1)</f>
        <v>96.4</v>
      </c>
    </row>
    <row r="142" spans="1:17" ht="15">
      <c r="B142" s="1121">
        <v>3</v>
      </c>
      <c r="C142" s="1132">
        <v>103</v>
      </c>
      <c r="D142" s="1132"/>
      <c r="E142" s="1133"/>
      <c r="F142" s="1134">
        <v>101</v>
      </c>
      <c r="G142" s="1132"/>
      <c r="H142" s="1135"/>
      <c r="I142" s="2438" t="s">
        <v>2429</v>
      </c>
      <c r="J142" s="217">
        <f>J139</f>
        <v>20</v>
      </c>
      <c r="K142" s="1137">
        <v>95</v>
      </c>
    </row>
    <row r="143" spans="1:17" ht="15">
      <c r="B143" s="1121">
        <v>2</v>
      </c>
      <c r="C143" s="1132">
        <v>100</v>
      </c>
      <c r="D143" s="1132"/>
      <c r="E143" s="1133"/>
      <c r="F143" s="1134">
        <v>100.5</v>
      </c>
      <c r="G143" s="1132"/>
      <c r="H143" s="1135"/>
      <c r="I143" s="2438" t="s">
        <v>2430</v>
      </c>
      <c r="J143" s="1132">
        <v>15</v>
      </c>
      <c r="K143" s="1124">
        <f>ROUND(100+(J143-J140)*K139*100,1)</f>
        <v>102</v>
      </c>
    </row>
    <row r="144" spans="1:17" ht="15">
      <c r="B144" s="1121">
        <v>1</v>
      </c>
      <c r="C144" s="1132">
        <v>98</v>
      </c>
      <c r="D144" s="2439" t="s">
        <v>2431</v>
      </c>
      <c r="E144" s="1133">
        <v>102</v>
      </c>
      <c r="F144" s="1136">
        <v>100</v>
      </c>
      <c r="G144" s="2439" t="s">
        <v>2431</v>
      </c>
      <c r="H144" s="1135">
        <v>105</v>
      </c>
      <c r="I144" s="2438" t="s">
        <v>2430</v>
      </c>
      <c r="J144" s="1132">
        <v>18</v>
      </c>
      <c r="K144" s="1124">
        <f>ROUND(100+(J144-J140)*K139*100,1)</f>
        <v>103.2</v>
      </c>
    </row>
    <row r="145" spans="2:11" ht="15.75" thickBot="1">
      <c r="B145" s="2440" t="s">
        <v>2432</v>
      </c>
      <c r="C145" s="1126">
        <f>ROUND(MAX(C139:C144)/MIN(C139:C144)-1,3)</f>
        <v>7.2999999999999995E-2</v>
      </c>
      <c r="D145" s="1127"/>
      <c r="E145" s="1127"/>
      <c r="F145" s="2441" t="s">
        <v>2433</v>
      </c>
      <c r="G145" s="2442"/>
      <c r="H145" s="2443"/>
      <c r="I145" s="2444" t="s">
        <v>2430</v>
      </c>
      <c r="J145" s="1138">
        <v>8</v>
      </c>
      <c r="K145" s="1125">
        <f>ROUND(100+(J145-J140)*K139*100,1)</f>
        <v>99.2</v>
      </c>
    </row>
    <row r="147" spans="2:11">
      <c r="B147" s="2425" t="s">
        <v>2434</v>
      </c>
    </row>
    <row r="148" spans="2:11">
      <c r="B148" s="2425"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2436</v>
      </c>
      <c r="C1" s="1721"/>
      <c r="D1" s="2445"/>
      <c r="E1" s="2374"/>
      <c r="F1" s="1735" t="s">
        <v>2325</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1996</v>
      </c>
      <c r="B3" s="593" t="e">
        <f ca="1">ROUND(IF(D2="——",C49,IF(C2="万元",B2*10000/D3,B2/D3)),0)</f>
        <v>#DIV/0!</v>
      </c>
      <c r="C3" s="379" t="s">
        <v>2326</v>
      </c>
      <c r="D3" s="378">
        <f>IF(C1="仅计算典型户型",'数据-取费表'!E5,'数据-取费表'!B5)</f>
        <v>194.17</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74"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74"/>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74"/>
      <c r="AC6" s="3063"/>
    </row>
    <row r="7" spans="1:29" s="35" customFormat="1" ht="15.75" thickBot="1">
      <c r="A7" s="387" t="s">
        <v>2340</v>
      </c>
      <c r="B7" s="388"/>
      <c r="C7" s="389">
        <f>'数据-取费表'!B2</f>
        <v>43916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6" si="3">D8/F8</f>
        <v>#DIV/0!</v>
      </c>
      <c r="AB8" s="751" t="e">
        <f t="shared" ref="AB8:AB46" si="4">D8/H8</f>
        <v>#DIV/0!</v>
      </c>
      <c r="AC8" s="751"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0"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0"/>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0"/>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0"/>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0"/>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71.25">
      <c r="A15" s="419" t="s">
        <v>2351</v>
      </c>
      <c r="B15" s="26" t="s">
        <v>2437</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38" t="s">
        <v>2352</v>
      </c>
      <c r="Q15" s="1893" t="str">
        <f t="shared" si="6"/>
        <v>商业繁华度</v>
      </c>
      <c r="R15" s="752" t="s">
        <v>25</v>
      </c>
      <c r="S15" s="753">
        <f t="shared" si="0"/>
        <v>100</v>
      </c>
      <c r="T15" s="752" t="s">
        <v>25</v>
      </c>
      <c r="U15" s="753">
        <f t="shared" si="1"/>
        <v>100</v>
      </c>
      <c r="V15" s="752" t="s">
        <v>25</v>
      </c>
      <c r="W15" s="753">
        <f t="shared" si="2"/>
        <v>100</v>
      </c>
      <c r="X15" s="1894"/>
      <c r="Y15" s="3040" t="s">
        <v>2352</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39"/>
      <c r="Q16" s="1893"/>
      <c r="R16" s="752"/>
      <c r="S16" s="753"/>
      <c r="T16" s="752"/>
      <c r="U16" s="753"/>
      <c r="V16" s="752"/>
      <c r="W16" s="753"/>
      <c r="X16" s="1894"/>
      <c r="Y16" s="3041"/>
      <c r="Z16" s="1896"/>
      <c r="AA16" s="1897">
        <v>1</v>
      </c>
      <c r="AB16" s="1897">
        <v>1</v>
      </c>
      <c r="AC16" s="1897">
        <v>1</v>
      </c>
    </row>
    <row r="17" spans="1:29" ht="156.75">
      <c r="A17" s="408"/>
      <c r="B17" s="431" t="s">
        <v>1742</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39"/>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2438</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39"/>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599"/>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2439</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39"/>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1747</v>
      </c>
      <c r="C23" s="2449"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39"/>
      <c r="Q23" s="1893" t="str">
        <f>B23</f>
        <v>自然及人文环境</v>
      </c>
      <c r="R23" s="752" t="s">
        <v>25</v>
      </c>
      <c r="S23" s="753">
        <f>F23</f>
        <v>100</v>
      </c>
      <c r="T23" s="752" t="s">
        <v>25</v>
      </c>
      <c r="U23" s="753">
        <f>H23</f>
        <v>100</v>
      </c>
      <c r="V23" s="752" t="s">
        <v>25</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599"/>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39"/>
      <c r="Q25" s="1893" t="str">
        <f t="shared" ref="Q25:Q46" si="11">B25</f>
        <v>临街状况</v>
      </c>
      <c r="R25" s="752" t="s">
        <v>25</v>
      </c>
      <c r="S25" s="753">
        <f>F25</f>
        <v>100</v>
      </c>
      <c r="T25" s="752" t="s">
        <v>25</v>
      </c>
      <c r="U25" s="753">
        <f>H25</f>
        <v>100</v>
      </c>
      <c r="V25" s="752" t="s">
        <v>25</v>
      </c>
      <c r="W25" s="753">
        <f>J25</f>
        <v>100</v>
      </c>
      <c r="X25" s="1894"/>
      <c r="Y25" s="3041"/>
      <c r="Z25" s="1896" t="str">
        <f>Q25</f>
        <v>临街状况</v>
      </c>
      <c r="AA25" s="1897">
        <f t="shared" si="3"/>
        <v>1</v>
      </c>
      <c r="AB25" s="1897">
        <f t="shared" si="4"/>
        <v>1</v>
      </c>
      <c r="AC25" s="1897">
        <f t="shared" si="5"/>
        <v>1</v>
      </c>
    </row>
    <row r="26" spans="1:29" ht="15">
      <c r="A26" s="408"/>
      <c r="B26" s="2404" t="s">
        <v>2441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39"/>
      <c r="Q26" s="1893" t="str">
        <f t="shared" si="11"/>
        <v>平面位置/可视性</v>
      </c>
      <c r="R26" s="752" t="s">
        <v>25</v>
      </c>
      <c r="S26" s="753">
        <f>F26</f>
        <v>100</v>
      </c>
      <c r="T26" s="752" t="s">
        <v>25</v>
      </c>
      <c r="U26" s="753">
        <f>H26</f>
        <v>100</v>
      </c>
      <c r="V26" s="752" t="s">
        <v>25</v>
      </c>
      <c r="W26" s="753">
        <f>J26</f>
        <v>100</v>
      </c>
      <c r="X26" s="1894"/>
      <c r="Y26" s="3041"/>
      <c r="Z26" s="1896" t="str">
        <f>Q26</f>
        <v>平面位置/可视性</v>
      </c>
      <c r="AA26" s="1897">
        <f t="shared" si="3"/>
        <v>1</v>
      </c>
      <c r="AB26" s="1897">
        <f t="shared" si="4"/>
        <v>1</v>
      </c>
      <c r="AC26" s="1897">
        <f t="shared" si="5"/>
        <v>1</v>
      </c>
    </row>
    <row r="27" spans="1:29" s="35" customFormat="1" ht="15">
      <c r="A27" s="411"/>
      <c r="B27" s="431" t="s">
        <v>2442</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39"/>
      <c r="Q27" s="1881" t="str">
        <f t="shared" si="11"/>
        <v>人流量</v>
      </c>
      <c r="R27" s="748" t="s">
        <v>25</v>
      </c>
      <c r="S27" s="749">
        <f>F27</f>
        <v>100</v>
      </c>
      <c r="T27" s="748" t="s">
        <v>25</v>
      </c>
      <c r="U27" s="749">
        <f>H27</f>
        <v>100</v>
      </c>
      <c r="V27" s="748" t="s">
        <v>25</v>
      </c>
      <c r="W27" s="749">
        <f>J27</f>
        <v>100</v>
      </c>
      <c r="X27" s="750"/>
      <c r="Y27" s="3041"/>
      <c r="Z27" s="23" t="str">
        <f>Q27</f>
        <v>人流量</v>
      </c>
      <c r="AA27" s="1897">
        <f>D27/F27</f>
        <v>1</v>
      </c>
      <c r="AB27" s="1897">
        <f>D27/H27</f>
        <v>1</v>
      </c>
      <c r="AC27" s="1897">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39"/>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41"/>
      <c r="Z28" s="1896" t="str">
        <f t="shared" ref="Z28:Z46" si="15">Q28</f>
        <v>楼层</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39"/>
      <c r="Q29" s="1893">
        <f t="shared" si="11"/>
        <v>111</v>
      </c>
      <c r="R29" s="752" t="s">
        <v>25</v>
      </c>
      <c r="S29" s="753">
        <f t="shared" si="12"/>
        <v>100</v>
      </c>
      <c r="T29" s="752" t="s">
        <v>25</v>
      </c>
      <c r="U29" s="753">
        <f t="shared" si="13"/>
        <v>100</v>
      </c>
      <c r="V29" s="752" t="s">
        <v>25</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39"/>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39"/>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
      <c r="A32" s="419" t="s">
        <v>2356</v>
      </c>
      <c r="B32" s="28" t="s">
        <v>2444</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42" t="s">
        <v>2358</v>
      </c>
      <c r="Q32" s="1893" t="str">
        <f t="shared" si="11"/>
        <v>商业类型</v>
      </c>
      <c r="R32" s="752" t="s">
        <v>25</v>
      </c>
      <c r="S32" s="753">
        <f t="shared" si="12"/>
        <v>100</v>
      </c>
      <c r="T32" s="752" t="s">
        <v>25</v>
      </c>
      <c r="U32" s="753">
        <f t="shared" si="13"/>
        <v>100</v>
      </c>
      <c r="V32" s="752" t="s">
        <v>25</v>
      </c>
      <c r="W32" s="753">
        <f t="shared" si="14"/>
        <v>100</v>
      </c>
      <c r="X32" s="1894"/>
      <c r="Y32" s="3045" t="s">
        <v>2358</v>
      </c>
      <c r="Z32" s="1896" t="str">
        <f t="shared" si="15"/>
        <v>商业类型</v>
      </c>
      <c r="AA32" s="1897">
        <f t="shared" si="3"/>
        <v>1</v>
      </c>
      <c r="AB32" s="1897">
        <f t="shared" si="4"/>
        <v>1</v>
      </c>
      <c r="AC32" s="1897">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3"/>
      <c r="Q33" s="754" t="str">
        <f t="shared" si="11"/>
        <v>项目建筑规模</v>
      </c>
      <c r="R33" s="755" t="s">
        <v>25</v>
      </c>
      <c r="S33" s="756" t="e">
        <f t="shared" si="12"/>
        <v>#N/A</v>
      </c>
      <c r="T33" s="755" t="s">
        <v>25</v>
      </c>
      <c r="U33" s="756" t="e">
        <f t="shared" si="13"/>
        <v>#N/A</v>
      </c>
      <c r="V33" s="755" t="s">
        <v>25</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2360</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43"/>
      <c r="Q34" s="1893" t="str">
        <f t="shared" si="11"/>
        <v>建筑结构</v>
      </c>
      <c r="R34" s="752" t="s">
        <v>25</v>
      </c>
      <c r="S34" s="753">
        <f t="shared" si="12"/>
        <v>100</v>
      </c>
      <c r="T34" s="752" t="s">
        <v>25</v>
      </c>
      <c r="U34" s="753">
        <f t="shared" si="13"/>
        <v>100</v>
      </c>
      <c r="V34" s="752" t="s">
        <v>25</v>
      </c>
      <c r="W34" s="753">
        <f t="shared" si="14"/>
        <v>100</v>
      </c>
      <c r="X34" s="1894"/>
      <c r="Y34" s="3045"/>
      <c r="Z34" s="1896" t="str">
        <f t="shared" si="15"/>
        <v>建筑结构</v>
      </c>
      <c r="AA34" s="1897">
        <f t="shared" si="3"/>
        <v>1</v>
      </c>
      <c r="AB34" s="1897">
        <f t="shared" si="4"/>
        <v>1</v>
      </c>
      <c r="AC34" s="1897">
        <f t="shared" si="5"/>
        <v>1</v>
      </c>
    </row>
    <row r="35" spans="1:29" ht="15">
      <c r="A35" s="453"/>
      <c r="B35" s="402" t="s">
        <v>2445</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43"/>
      <c r="Q35" s="1893" t="str">
        <f t="shared" si="11"/>
        <v>公共部分装修</v>
      </c>
      <c r="R35" s="752" t="s">
        <v>25</v>
      </c>
      <c r="S35" s="753">
        <f t="shared" si="12"/>
        <v>100</v>
      </c>
      <c r="T35" s="752" t="s">
        <v>25</v>
      </c>
      <c r="U35" s="753">
        <f t="shared" si="13"/>
        <v>100</v>
      </c>
      <c r="V35" s="752" t="s">
        <v>25</v>
      </c>
      <c r="W35" s="753">
        <f t="shared" si="14"/>
        <v>100</v>
      </c>
      <c r="X35" s="1894"/>
      <c r="Y35" s="3045"/>
      <c r="Z35" s="1896" t="str">
        <f t="shared" si="15"/>
        <v>公共部分装修</v>
      </c>
      <c r="AA35" s="1897">
        <f t="shared" si="3"/>
        <v>1</v>
      </c>
      <c r="AB35" s="1897">
        <f t="shared" si="4"/>
        <v>1</v>
      </c>
      <c r="AC35" s="1897">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3"/>
      <c r="Q36" s="1893" t="str">
        <f t="shared" si="11"/>
        <v>成新度</v>
      </c>
      <c r="R36" s="752" t="s">
        <v>25</v>
      </c>
      <c r="S36" s="753" t="e">
        <f t="shared" si="12"/>
        <v>#N/A</v>
      </c>
      <c r="T36" s="752" t="s">
        <v>25</v>
      </c>
      <c r="U36" s="753" t="e">
        <f t="shared" si="13"/>
        <v>#N/A</v>
      </c>
      <c r="V36" s="752" t="s">
        <v>25</v>
      </c>
      <c r="W36" s="753" t="e">
        <f t="shared" si="14"/>
        <v>#N/A</v>
      </c>
      <c r="X36" s="1894"/>
      <c r="Y36" s="3045"/>
      <c r="Z36" s="1896" t="str">
        <f t="shared" si="15"/>
        <v>成新度</v>
      </c>
      <c r="AA36" s="1897" t="e">
        <f t="shared" si="3"/>
        <v>#N/A</v>
      </c>
      <c r="AB36" s="1897" t="e">
        <f t="shared" si="4"/>
        <v>#N/A</v>
      </c>
      <c r="AC36" s="1897" t="e">
        <f t="shared" si="5"/>
        <v>#N/A</v>
      </c>
    </row>
    <row r="37" spans="1:29" s="35" customFormat="1" ht="15">
      <c r="A37" s="454"/>
      <c r="B37" s="402" t="s">
        <v>2447</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43"/>
      <c r="Q37" s="1881" t="str">
        <f t="shared" si="11"/>
        <v>市政基础设施</v>
      </c>
      <c r="R37" s="748" t="s">
        <v>25</v>
      </c>
      <c r="S37" s="749">
        <f t="shared" si="12"/>
        <v>100</v>
      </c>
      <c r="T37" s="748" t="s">
        <v>25</v>
      </c>
      <c r="U37" s="749">
        <f t="shared" si="13"/>
        <v>100</v>
      </c>
      <c r="V37" s="748" t="s">
        <v>25</v>
      </c>
      <c r="W37" s="749">
        <f t="shared" si="14"/>
        <v>100</v>
      </c>
      <c r="X37" s="750"/>
      <c r="Y37" s="3045"/>
      <c r="Z37" s="23" t="str">
        <f t="shared" si="15"/>
        <v>市政基础设施</v>
      </c>
      <c r="AA37" s="751">
        <f t="shared" si="3"/>
        <v>1</v>
      </c>
      <c r="AB37" s="751">
        <f t="shared" si="4"/>
        <v>1</v>
      </c>
      <c r="AC37" s="751">
        <f t="shared" si="5"/>
        <v>1</v>
      </c>
    </row>
    <row r="38" spans="1:29" ht="15">
      <c r="A38" s="453"/>
      <c r="B38" s="402" t="s">
        <v>2448</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43" t="s">
        <v>2358</v>
      </c>
      <c r="Q38" s="1893" t="str">
        <f t="shared" si="11"/>
        <v>业态</v>
      </c>
      <c r="R38" s="752" t="s">
        <v>25</v>
      </c>
      <c r="S38" s="753">
        <f t="shared" si="12"/>
        <v>100</v>
      </c>
      <c r="T38" s="752" t="s">
        <v>25</v>
      </c>
      <c r="U38" s="753">
        <f t="shared" si="13"/>
        <v>100</v>
      </c>
      <c r="V38" s="752" t="s">
        <v>25</v>
      </c>
      <c r="W38" s="753">
        <f t="shared" si="14"/>
        <v>100</v>
      </c>
      <c r="X38" s="1894"/>
      <c r="Y38" s="3045" t="s">
        <v>2358</v>
      </c>
      <c r="Z38" s="1896" t="str">
        <f t="shared" si="15"/>
        <v>业态</v>
      </c>
      <c r="AA38" s="1897">
        <f t="shared" si="3"/>
        <v>1</v>
      </c>
      <c r="AB38" s="1897">
        <f t="shared" si="4"/>
        <v>1</v>
      </c>
      <c r="AC38" s="1897">
        <f t="shared" si="5"/>
        <v>1</v>
      </c>
    </row>
    <row r="39" spans="1:29" ht="15">
      <c r="A39" s="453"/>
      <c r="B39" s="402" t="s">
        <v>2449</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43"/>
      <c r="Q39" s="1893" t="str">
        <f t="shared" si="11"/>
        <v>层高</v>
      </c>
      <c r="R39" s="752" t="s">
        <v>25</v>
      </c>
      <c r="S39" s="753">
        <f t="shared" si="12"/>
        <v>100</v>
      </c>
      <c r="T39" s="752" t="s">
        <v>25</v>
      </c>
      <c r="U39" s="753">
        <f t="shared" si="13"/>
        <v>100</v>
      </c>
      <c r="V39" s="752" t="s">
        <v>25</v>
      </c>
      <c r="W39" s="753">
        <f t="shared" si="14"/>
        <v>100</v>
      </c>
      <c r="X39" s="1894"/>
      <c r="Y39" s="3045"/>
      <c r="Z39" s="1896" t="str">
        <f t="shared" si="15"/>
        <v>层高</v>
      </c>
      <c r="AA39" s="1897">
        <f t="shared" si="3"/>
        <v>1</v>
      </c>
      <c r="AB39" s="1897">
        <f t="shared" si="4"/>
        <v>1</v>
      </c>
      <c r="AC39" s="1897">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3"/>
      <c r="Q40" s="1893" t="str">
        <f t="shared" si="11"/>
        <v>单套建筑面积</v>
      </c>
      <c r="R40" s="752" t="s">
        <v>25</v>
      </c>
      <c r="S40" s="753">
        <f t="shared" si="12"/>
        <v>100</v>
      </c>
      <c r="T40" s="752" t="s">
        <v>25</v>
      </c>
      <c r="U40" s="753">
        <f t="shared" si="13"/>
        <v>100</v>
      </c>
      <c r="V40" s="752" t="s">
        <v>25</v>
      </c>
      <c r="W40" s="753">
        <f t="shared" si="14"/>
        <v>100</v>
      </c>
      <c r="X40" s="1894"/>
      <c r="Y40" s="3045"/>
      <c r="Z40" s="1896" t="str">
        <f t="shared" si="15"/>
        <v>单套建筑面积</v>
      </c>
      <c r="AA40" s="1897">
        <f t="shared" si="3"/>
        <v>1</v>
      </c>
      <c r="AB40" s="1897">
        <f t="shared" si="4"/>
        <v>1</v>
      </c>
      <c r="AC40" s="1897">
        <f t="shared" si="5"/>
        <v>1</v>
      </c>
    </row>
    <row r="41" spans="1:29" s="452" customFormat="1" ht="15">
      <c r="A41" s="449"/>
      <c r="B41" s="1898"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3"/>
      <c r="Q41" s="754" t="str">
        <f t="shared" si="11"/>
        <v>进深比</v>
      </c>
      <c r="R41" s="755" t="s">
        <v>25</v>
      </c>
      <c r="S41" s="756">
        <f t="shared" si="12"/>
        <v>100</v>
      </c>
      <c r="T41" s="755" t="s">
        <v>25</v>
      </c>
      <c r="U41" s="756">
        <f t="shared" si="13"/>
        <v>100</v>
      </c>
      <c r="V41" s="755" t="s">
        <v>25</v>
      </c>
      <c r="W41" s="756">
        <f t="shared" si="14"/>
        <v>100</v>
      </c>
      <c r="X41" s="757"/>
      <c r="Y41" s="3045"/>
      <c r="Z41" s="758" t="str">
        <f t="shared" si="15"/>
        <v>进深比</v>
      </c>
      <c r="AA41" s="1897">
        <f t="shared" si="3"/>
        <v>1</v>
      </c>
      <c r="AB41" s="1897">
        <f t="shared" si="4"/>
        <v>1</v>
      </c>
      <c r="AC41" s="1897">
        <f t="shared" si="5"/>
        <v>1</v>
      </c>
    </row>
    <row r="42" spans="1:29" ht="15">
      <c r="A42" s="453"/>
      <c r="B42" s="402" t="s">
        <v>2452</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43"/>
      <c r="Q42" s="1893" t="str">
        <f t="shared" si="11"/>
        <v>内部装修</v>
      </c>
      <c r="R42" s="752" t="s">
        <v>25</v>
      </c>
      <c r="S42" s="753">
        <f t="shared" si="12"/>
        <v>100</v>
      </c>
      <c r="T42" s="752" t="s">
        <v>25</v>
      </c>
      <c r="U42" s="753">
        <f t="shared" si="13"/>
        <v>100</v>
      </c>
      <c r="V42" s="752" t="s">
        <v>25</v>
      </c>
      <c r="W42" s="753">
        <f t="shared" si="14"/>
        <v>100</v>
      </c>
      <c r="X42" s="1894"/>
      <c r="Y42" s="3045"/>
      <c r="Z42" s="1896" t="str">
        <f t="shared" si="15"/>
        <v>内部装修</v>
      </c>
      <c r="AA42" s="1897">
        <f t="shared" si="3"/>
        <v>1</v>
      </c>
      <c r="AB42" s="1897">
        <f t="shared" si="4"/>
        <v>1</v>
      </c>
      <c r="AC42" s="1897">
        <f t="shared" si="5"/>
        <v>1</v>
      </c>
    </row>
    <row r="43" spans="1:29" ht="15">
      <c r="A43" s="453"/>
      <c r="B43" s="402" t="s">
        <v>2369</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43"/>
      <c r="Q43" s="1893" t="str">
        <f t="shared" si="11"/>
        <v>内部装修维护情况</v>
      </c>
      <c r="R43" s="752" t="s">
        <v>25</v>
      </c>
      <c r="S43" s="753">
        <f t="shared" si="12"/>
        <v>100</v>
      </c>
      <c r="T43" s="752" t="s">
        <v>25</v>
      </c>
      <c r="U43" s="753">
        <f t="shared" si="13"/>
        <v>100</v>
      </c>
      <c r="V43" s="752" t="s">
        <v>25</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3"/>
      <c r="Q44" s="1881">
        <f t="shared" si="11"/>
        <v>111</v>
      </c>
      <c r="R44" s="748" t="s">
        <v>25</v>
      </c>
      <c r="S44" s="749">
        <f t="shared" si="12"/>
        <v>100</v>
      </c>
      <c r="T44" s="748" t="s">
        <v>25</v>
      </c>
      <c r="U44" s="749">
        <f t="shared" si="13"/>
        <v>100</v>
      </c>
      <c r="V44" s="748" t="s">
        <v>25</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3"/>
      <c r="Q45" s="1893">
        <f t="shared" si="11"/>
        <v>111</v>
      </c>
      <c r="R45" s="752" t="s">
        <v>25</v>
      </c>
      <c r="S45" s="753">
        <f t="shared" si="12"/>
        <v>100</v>
      </c>
      <c r="T45" s="752" t="s">
        <v>25</v>
      </c>
      <c r="U45" s="753">
        <f t="shared" si="13"/>
        <v>100</v>
      </c>
      <c r="V45" s="752" t="s">
        <v>25</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44"/>
      <c r="Q46" s="1893">
        <f t="shared" si="11"/>
        <v>111</v>
      </c>
      <c r="R46" s="752" t="s">
        <v>25</v>
      </c>
      <c r="S46" s="753">
        <f t="shared" si="12"/>
        <v>100</v>
      </c>
      <c r="T46" s="752" t="s">
        <v>25</v>
      </c>
      <c r="U46" s="753">
        <f t="shared" si="13"/>
        <v>100</v>
      </c>
      <c r="V46" s="752" t="s">
        <v>25</v>
      </c>
      <c r="W46" s="753">
        <f t="shared" si="14"/>
        <v>100</v>
      </c>
      <c r="X46" s="1894"/>
      <c r="Y46" s="3046"/>
      <c r="Z46" s="1896">
        <f t="shared" si="15"/>
        <v>111</v>
      </c>
      <c r="AA46" s="1897">
        <f t="shared" si="3"/>
        <v>1</v>
      </c>
      <c r="AB46" s="1897">
        <f t="shared" si="4"/>
        <v>1</v>
      </c>
      <c r="AC46" s="1897">
        <f t="shared" si="5"/>
        <v>1</v>
      </c>
    </row>
    <row r="47" spans="1:29" ht="15">
      <c r="A47" s="460" t="s">
        <v>2370</v>
      </c>
      <c r="B47" s="461"/>
      <c r="C47" s="1497" t="s">
        <v>1</v>
      </c>
      <c r="D47" s="1498"/>
      <c r="E47" s="1499"/>
      <c r="F47" s="1500"/>
      <c r="G47" s="1501"/>
      <c r="H47" s="1502"/>
      <c r="I47" s="1499"/>
      <c r="J47" s="1502"/>
      <c r="K47" s="761"/>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2453</v>
      </c>
      <c r="B48" s="468"/>
      <c r="C48" s="1503" t="e">
        <f>R49</f>
        <v>#DIV/0!</v>
      </c>
      <c r="D48" s="1504"/>
      <c r="E48" s="1505" t="e">
        <f>R48</f>
        <v>#DIV/0!</v>
      </c>
      <c r="F48" s="1505"/>
      <c r="G48" s="1503" t="e">
        <f>T48</f>
        <v>#DIV/0!</v>
      </c>
      <c r="H48" s="1504"/>
      <c r="I48" s="1505" t="e">
        <f>V48</f>
        <v>#DIV/0!</v>
      </c>
      <c r="J48" s="1504"/>
      <c r="K48" s="762"/>
      <c r="L48" s="1251"/>
      <c r="M48" s="1252"/>
      <c r="N48" s="1239"/>
      <c r="O48" s="1252"/>
      <c r="P48" s="3037" t="str">
        <f>A48</f>
        <v>比较价值（元/平方米）</v>
      </c>
      <c r="Q48" s="3037"/>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7"/>
      <c r="Y48" s="737"/>
      <c r="Z48" s="737"/>
      <c r="AA48" s="737"/>
      <c r="AB48" s="737"/>
      <c r="AC48" s="737"/>
    </row>
    <row r="49" spans="1:29" ht="15.75" thickBot="1">
      <c r="A49" s="473" t="s">
        <v>2454</v>
      </c>
      <c r="B49" s="474"/>
      <c r="C49" s="1507" t="e">
        <f>R49</f>
        <v>#DIV/0!</v>
      </c>
      <c r="D49" s="1507"/>
      <c r="E49" s="1507"/>
      <c r="F49" s="1507"/>
      <c r="G49" s="1507"/>
      <c r="H49" s="1507"/>
      <c r="I49" s="1507"/>
      <c r="J49" s="1507"/>
      <c r="K49" s="763"/>
      <c r="L49" s="1251"/>
      <c r="M49" s="1252"/>
      <c r="N49" s="1239"/>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1.75" thickBot="1">
      <c r="A57" s="741" t="s">
        <v>2458</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5">
      <c r="A58" s="486" t="s">
        <v>2340</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2378</v>
      </c>
      <c r="B60" s="497"/>
      <c r="C60" s="498"/>
      <c r="D60" s="499"/>
      <c r="E60" s="499"/>
      <c r="F60" s="499"/>
      <c r="G60" s="499"/>
      <c r="H60" s="499"/>
      <c r="I60" s="499"/>
      <c r="J60" s="499"/>
      <c r="K60" s="499"/>
      <c r="L60" s="499"/>
      <c r="M60" s="500"/>
      <c r="N60" s="499"/>
      <c r="O60" s="500"/>
      <c r="P60" s="2416"/>
      <c r="Q60" s="485"/>
    </row>
    <row r="61" spans="1:29" s="35" customFormat="1" ht="15">
      <c r="A61" s="502" t="s">
        <v>2342</v>
      </c>
      <c r="B61" s="491"/>
      <c r="C61" s="503" t="s">
        <v>2343</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2381</v>
      </c>
      <c r="B63" s="509" t="s">
        <v>2346</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2"/>
      <c r="O65" s="1262"/>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18"/>
      <c r="E73" s="518"/>
      <c r="F73" s="518"/>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2439</v>
      </c>
      <c r="C82" s="522" t="s">
        <v>2397</v>
      </c>
      <c r="D82" s="522" t="s">
        <v>2398</v>
      </c>
      <c r="E82" s="522" t="s">
        <v>2399</v>
      </c>
      <c r="F82" s="522" t="s">
        <v>2400</v>
      </c>
      <c r="G82" s="522" t="s">
        <v>2401</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2459</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5.75" thickBot="1">
      <c r="A89" s="563"/>
      <c r="B89" s="526"/>
      <c r="C89" s="544"/>
      <c r="D89" s="518"/>
      <c r="E89" s="518"/>
      <c r="F89" s="518"/>
      <c r="G89" s="518"/>
      <c r="H89" s="518"/>
      <c r="I89" s="518"/>
      <c r="J89" s="518"/>
      <c r="K89" s="518"/>
      <c r="L89" s="518"/>
      <c r="M89" s="518"/>
      <c r="N89" s="1263"/>
      <c r="O89" s="1263"/>
      <c r="P89" s="2418"/>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5.75" thickTop="1">
      <c r="A92" s="516"/>
      <c r="B92" s="521" t="str">
        <f>B28</f>
        <v>楼层</v>
      </c>
      <c r="C92" s="537"/>
      <c r="D92" s="537"/>
      <c r="E92" s="537"/>
      <c r="F92" s="537"/>
      <c r="G92" s="537"/>
      <c r="H92" s="537"/>
      <c r="I92" s="537"/>
      <c r="J92" s="537"/>
      <c r="K92" s="537"/>
      <c r="L92" s="564"/>
      <c r="M92" s="565"/>
      <c r="N92" s="1262"/>
      <c r="O92" s="1262"/>
      <c r="P92" s="2418"/>
      <c r="Q92" s="485"/>
    </row>
    <row r="93" spans="1:17" ht="15.75" thickBot="1">
      <c r="A93" s="516"/>
      <c r="B93" s="526"/>
      <c r="C93" s="518"/>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18"/>
      <c r="E95" s="518"/>
      <c r="F95" s="518"/>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44"/>
      <c r="D97" s="518"/>
      <c r="E97" s="518"/>
      <c r="F97" s="518"/>
      <c r="G97" s="518"/>
      <c r="H97" s="518"/>
      <c r="I97" s="518"/>
      <c r="J97" s="518"/>
      <c r="K97" s="518"/>
      <c r="L97" s="518"/>
      <c r="M97" s="519"/>
      <c r="N97" s="1263"/>
      <c r="O97" s="1263"/>
      <c r="P97" s="2418"/>
      <c r="Q97" s="485"/>
    </row>
    <row r="98" spans="1:17" ht="15.75" thickTop="1">
      <c r="A98" s="516"/>
      <c r="B98" s="529">
        <f>B31</f>
        <v>111</v>
      </c>
      <c r="C98" s="537"/>
      <c r="D98" s="537"/>
      <c r="E98" s="537"/>
      <c r="F98" s="537"/>
      <c r="G98" s="571"/>
      <c r="H98" s="571"/>
      <c r="I98" s="571"/>
      <c r="J98" s="571"/>
      <c r="K98" s="572"/>
      <c r="L98" s="573"/>
      <c r="M98" s="574"/>
      <c r="N98" s="1262"/>
      <c r="O98" s="1262"/>
      <c r="P98" s="2418"/>
      <c r="Q98" s="485"/>
    </row>
    <row r="99" spans="1:17" ht="15.75" thickBot="1">
      <c r="A99" s="2424"/>
      <c r="B99" s="553"/>
      <c r="C99" s="554"/>
      <c r="D99" s="554"/>
      <c r="E99" s="554"/>
      <c r="F99" s="554"/>
      <c r="G99" s="575"/>
      <c r="H99" s="575"/>
      <c r="I99" s="575"/>
      <c r="J99" s="575"/>
      <c r="K99" s="575"/>
      <c r="L99" s="575"/>
      <c r="M99" s="576"/>
      <c r="N99" s="1263"/>
      <c r="O99" s="1263"/>
      <c r="P99" s="2418"/>
      <c r="Q99" s="485"/>
    </row>
    <row r="100" spans="1:17">
      <c r="A100" s="508" t="s">
        <v>2356</v>
      </c>
      <c r="B100" s="509" t="s">
        <v>2460</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2407</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2409</v>
      </c>
      <c r="C107" s="537"/>
      <c r="D107" s="537"/>
      <c r="E107" s="53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2412</v>
      </c>
      <c r="C112" s="537"/>
      <c r="D112" s="537"/>
      <c r="E112" s="537"/>
      <c r="F112" s="537"/>
      <c r="G112" s="537"/>
      <c r="H112" s="567"/>
      <c r="I112" s="567"/>
      <c r="J112" s="567"/>
      <c r="K112" s="568"/>
      <c r="L112" s="569"/>
      <c r="M112" s="570"/>
      <c r="N112" s="1264"/>
      <c r="O112" s="1264"/>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2461</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2462</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2463</v>
      </c>
      <c r="C118" s="611"/>
      <c r="D118" s="611"/>
      <c r="E118" s="611"/>
      <c r="F118" s="611"/>
      <c r="G118" s="611"/>
      <c r="H118" s="538"/>
      <c r="I118" s="538"/>
      <c r="J118" s="538"/>
      <c r="K118" s="538"/>
      <c r="L118" s="539"/>
      <c r="M118" s="540"/>
      <c r="N118" s="1262"/>
      <c r="O118" s="1262"/>
      <c r="P118" s="2418"/>
      <c r="Q118" s="485"/>
    </row>
    <row r="119" spans="1:17" ht="15.75"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2464</v>
      </c>
      <c r="C120" s="567"/>
      <c r="D120" s="567"/>
      <c r="E120" s="567"/>
      <c r="F120" s="567"/>
      <c r="G120" s="538"/>
      <c r="H120" s="538"/>
      <c r="I120" s="538"/>
      <c r="J120" s="538"/>
      <c r="K120" s="538"/>
      <c r="L120" s="539"/>
      <c r="M120" s="540"/>
      <c r="N120" s="1264"/>
      <c r="O120" s="1264"/>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2414</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18"/>
      <c r="E129" s="518"/>
      <c r="F129" s="518"/>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zoomScale="90" zoomScaleNormal="90" workbookViewId="0">
      <selection activeCell="E7" sqref="E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2465</v>
      </c>
      <c r="C1" s="1721" t="s">
        <v>2851</v>
      </c>
      <c r="D1" s="1734"/>
      <c r="E1" s="2374" t="s">
        <v>1231</v>
      </c>
      <c r="F1" s="1735" t="s">
        <v>2325</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1296</v>
      </c>
      <c r="B2" s="1720">
        <f>IF(D2="——",IF(C2="元",ROUND(C50*D3,0),ROUND(C50*D3/10000,0)),IF(C2="元",ROUND(C50*D3,0),ROUND(C50*D3/10000,0))-E2)</f>
        <v>1165</v>
      </c>
      <c r="C2" s="163" t="str">
        <f>'数据-取费表'!B3</f>
        <v>元</v>
      </c>
      <c r="D2" s="2376" t="s">
        <v>1247</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1297</v>
      </c>
      <c r="B3" s="593">
        <f>ROUND(IF(D2="——",C50,IF(C2="万元",B2*10000/D3,B2/D3)),0)</f>
        <v>6</v>
      </c>
      <c r="C3" s="379" t="s">
        <v>2326</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83" t="s">
        <v>2333</v>
      </c>
      <c r="Q4" s="3069"/>
      <c r="R4" s="3053" t="s">
        <v>2329</v>
      </c>
      <c r="S4" s="3054"/>
      <c r="T4" s="3053" t="s">
        <v>2330</v>
      </c>
      <c r="U4" s="3054"/>
      <c r="V4" s="3074" t="s">
        <v>2331</v>
      </c>
      <c r="W4" s="3074"/>
      <c r="X4" s="2752"/>
      <c r="Y4" s="3053" t="s">
        <v>2333</v>
      </c>
      <c r="Z4" s="3054"/>
      <c r="AA4" s="3061" t="s">
        <v>2329</v>
      </c>
      <c r="AB4" s="3061" t="s">
        <v>2330</v>
      </c>
      <c r="AC4" s="3061" t="s">
        <v>2331</v>
      </c>
    </row>
    <row r="5" spans="1:29" ht="15">
      <c r="A5" s="383"/>
      <c r="B5" s="384"/>
      <c r="C5" s="3086" t="s">
        <v>2853</v>
      </c>
      <c r="D5" s="3050"/>
      <c r="E5" s="3086" t="s">
        <v>2853</v>
      </c>
      <c r="F5" s="3050"/>
      <c r="G5" s="3086" t="s">
        <v>2853</v>
      </c>
      <c r="H5" s="3050"/>
      <c r="I5" s="3086" t="s">
        <v>2853</v>
      </c>
      <c r="J5" s="3050"/>
      <c r="K5" s="594"/>
      <c r="L5" s="1238"/>
      <c r="M5" s="1239"/>
      <c r="N5" s="1239"/>
      <c r="O5" s="1239"/>
      <c r="P5" s="3084"/>
      <c r="Q5" s="3071"/>
      <c r="R5" s="3055"/>
      <c r="S5" s="3056"/>
      <c r="T5" s="3055"/>
      <c r="U5" s="3056"/>
      <c r="V5" s="3074"/>
      <c r="W5" s="3074"/>
      <c r="X5" s="2752"/>
      <c r="Y5" s="3055"/>
      <c r="Z5" s="3056"/>
      <c r="AA5" s="3062"/>
      <c r="AB5" s="3062"/>
      <c r="AC5" s="3062"/>
    </row>
    <row r="6" spans="1:29" ht="15.75" thickBot="1">
      <c r="A6" s="385"/>
      <c r="B6" s="386"/>
      <c r="C6" s="3087" t="s">
        <v>2854</v>
      </c>
      <c r="D6" s="3048"/>
      <c r="E6" s="3087" t="s">
        <v>2854</v>
      </c>
      <c r="F6" s="3048"/>
      <c r="G6" s="3087" t="s">
        <v>2854</v>
      </c>
      <c r="H6" s="3048"/>
      <c r="I6" s="3087" t="s">
        <v>2854</v>
      </c>
      <c r="J6" s="3048"/>
      <c r="K6" s="594" t="s">
        <v>2339</v>
      </c>
      <c r="L6" s="1238"/>
      <c r="M6" s="1239"/>
      <c r="N6" s="1239"/>
      <c r="O6" s="1239"/>
      <c r="P6" s="3085"/>
      <c r="Q6" s="3073"/>
      <c r="R6" s="3055"/>
      <c r="S6" s="3056"/>
      <c r="T6" s="3057"/>
      <c r="U6" s="3058"/>
      <c r="V6" s="3074"/>
      <c r="W6" s="3074"/>
      <c r="X6" s="2752"/>
      <c r="Y6" s="3057"/>
      <c r="Z6" s="3058"/>
      <c r="AA6" s="3063"/>
      <c r="AB6" s="3063"/>
      <c r="AC6" s="3063"/>
    </row>
    <row r="7" spans="1:29" s="35" customFormat="1" ht="15.75" thickBot="1">
      <c r="A7" s="387" t="s">
        <v>2340</v>
      </c>
      <c r="B7" s="388"/>
      <c r="C7" s="389">
        <f>'数据-取费表'!B2</f>
        <v>43916</v>
      </c>
      <c r="D7" s="390">
        <v>100</v>
      </c>
      <c r="E7" s="391">
        <f>C7</f>
        <v>43916</v>
      </c>
      <c r="F7" s="392">
        <f>SUMIF(59:59,YEAR(E7)&amp;"-"&amp;MONTH(E7),60:60)</f>
        <v>100</v>
      </c>
      <c r="G7" s="2458">
        <f>E7</f>
        <v>43916</v>
      </c>
      <c r="H7" s="390">
        <f>SUMIF(59:59,YEAR(G7)&amp;"-"&amp;MONTH(G7),60:60)</f>
        <v>100</v>
      </c>
      <c r="I7" s="2458">
        <f>G7</f>
        <v>43916</v>
      </c>
      <c r="J7" s="390">
        <f>SUMIF(59:59,YEAR(I7)&amp;"-"&amp;MONTH(I7),60:60)</f>
        <v>100</v>
      </c>
      <c r="K7" s="595"/>
      <c r="L7" s="1240"/>
      <c r="M7" s="1241"/>
      <c r="N7" s="1241"/>
      <c r="O7" s="1241"/>
      <c r="P7" s="3059" t="s">
        <v>2341</v>
      </c>
      <c r="Q7" s="3059"/>
      <c r="R7" s="748" t="s">
        <v>25</v>
      </c>
      <c r="S7" s="749">
        <f t="shared" ref="S7:S15" si="0">F7</f>
        <v>100</v>
      </c>
      <c r="T7" s="748" t="s">
        <v>25</v>
      </c>
      <c r="U7" s="749">
        <f t="shared" ref="U7:U15" si="1">H7</f>
        <v>100</v>
      </c>
      <c r="V7" s="748" t="s">
        <v>25</v>
      </c>
      <c r="W7" s="749">
        <f t="shared" ref="W7:W15" si="2">J7</f>
        <v>100</v>
      </c>
      <c r="X7" s="750"/>
      <c r="Y7" s="3051" t="s">
        <v>2341</v>
      </c>
      <c r="Z7" s="3052"/>
      <c r="AA7" s="751">
        <f>D7/F7</f>
        <v>1</v>
      </c>
      <c r="AB7" s="751">
        <f>D7/H7</f>
        <v>1</v>
      </c>
      <c r="AC7" s="751">
        <f>D7/J7</f>
        <v>1</v>
      </c>
    </row>
    <row r="8" spans="1:29" s="35" customFormat="1" ht="15.75" thickBot="1">
      <c r="A8" s="387" t="s">
        <v>2342</v>
      </c>
      <c r="B8" s="388"/>
      <c r="C8" s="394" t="s">
        <v>2855</v>
      </c>
      <c r="D8" s="390">
        <v>100</v>
      </c>
      <c r="E8" s="394" t="s">
        <v>2855</v>
      </c>
      <c r="F8" s="392">
        <f>SUMIF(62:62,E8,63:63)-SUMIF(62:62,C8,63:63)+100</f>
        <v>100</v>
      </c>
      <c r="G8" s="394" t="s">
        <v>2855</v>
      </c>
      <c r="H8" s="390">
        <f>SUMIF(62:62,G8,63:63)-SUMIF(62:62,C8,63:63)+100</f>
        <v>100</v>
      </c>
      <c r="I8" s="394" t="s">
        <v>2855</v>
      </c>
      <c r="J8" s="390">
        <f>SUMIF(62:62,I8,63:63)-SUMIF(62:62,C8,63:63)+100</f>
        <v>100</v>
      </c>
      <c r="K8" s="595"/>
      <c r="L8" s="1240"/>
      <c r="M8" s="1241"/>
      <c r="N8" s="1241"/>
      <c r="O8" s="1241"/>
      <c r="P8" s="3059" t="s">
        <v>2344</v>
      </c>
      <c r="Q8" s="3052"/>
      <c r="R8" s="748" t="s">
        <v>25</v>
      </c>
      <c r="S8" s="749">
        <f t="shared" si="0"/>
        <v>100</v>
      </c>
      <c r="T8" s="748" t="s">
        <v>25</v>
      </c>
      <c r="U8" s="749">
        <f t="shared" si="1"/>
        <v>100</v>
      </c>
      <c r="V8" s="748" t="s">
        <v>25</v>
      </c>
      <c r="W8" s="749">
        <f t="shared" si="2"/>
        <v>100</v>
      </c>
      <c r="X8" s="750"/>
      <c r="Y8" s="3051" t="s">
        <v>2344</v>
      </c>
      <c r="Z8" s="3052"/>
      <c r="AA8" s="751">
        <f t="shared" ref="AA8:AA47" si="3">D8/F8</f>
        <v>1</v>
      </c>
      <c r="AB8" s="751">
        <f t="shared" ref="AB8:AB47" si="4">D8/H8</f>
        <v>1</v>
      </c>
      <c r="AC8" s="751">
        <f t="shared" ref="AC8:AC47" si="5">D8/J8</f>
        <v>1</v>
      </c>
    </row>
    <row r="9" spans="1:29" s="35" customFormat="1">
      <c r="A9" s="395" t="s">
        <v>2345</v>
      </c>
      <c r="B9" s="28" t="s">
        <v>2346</v>
      </c>
      <c r="C9" s="2762" t="s">
        <v>2844</v>
      </c>
      <c r="D9" s="51">
        <v>100</v>
      </c>
      <c r="E9" s="2762" t="s">
        <v>2844</v>
      </c>
      <c r="F9" s="51">
        <f>SUMIF(64:64,E9,65:65)-SUMIF(64:64,C9,65:65)+100</f>
        <v>100</v>
      </c>
      <c r="G9" s="2762" t="s">
        <v>2844</v>
      </c>
      <c r="H9" s="51">
        <f>SUMIF(64:64,G9,65:65)-SUMIF(64:64,C9,65:65)+100</f>
        <v>100</v>
      </c>
      <c r="I9" s="2762" t="s">
        <v>2844</v>
      </c>
      <c r="J9" s="51">
        <f>SUMIF(64:64,I9,65:65)-SUMIF(64:64,C9,65:65)+100</f>
        <v>100</v>
      </c>
      <c r="K9" s="595"/>
      <c r="L9" s="1240"/>
      <c r="M9" s="1241"/>
      <c r="N9" s="1241"/>
      <c r="O9" s="1241"/>
      <c r="P9" s="3035" t="s">
        <v>2347</v>
      </c>
      <c r="Q9" s="2747"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75" thickBot="1">
      <c r="A10" s="401"/>
      <c r="B10" s="2748" t="s">
        <v>2349</v>
      </c>
      <c r="C10" s="403" t="s">
        <v>2856</v>
      </c>
      <c r="D10" s="52">
        <v>100</v>
      </c>
      <c r="E10" s="403" t="s">
        <v>2856</v>
      </c>
      <c r="F10" s="52">
        <f>SUMIF(66:66,E10,67:67)-SUMIF(66:66,C10,67:67)+100</f>
        <v>100</v>
      </c>
      <c r="G10" s="403" t="s">
        <v>2856</v>
      </c>
      <c r="H10" s="52">
        <f>SUMIF(66:66,G10,67:67)-SUMIF(66:66,C10,67:67)+100</f>
        <v>100</v>
      </c>
      <c r="I10" s="403" t="s">
        <v>2856</v>
      </c>
      <c r="J10" s="52">
        <f>SUMIF(66:66,I10,67:67)-SUMIF(66:66,C10,67:67)+100</f>
        <v>100</v>
      </c>
      <c r="K10" s="596">
        <v>1</v>
      </c>
      <c r="L10" s="1243"/>
      <c r="M10" s="1244"/>
      <c r="N10" s="1244"/>
      <c r="O10" s="1244"/>
      <c r="P10" s="3035"/>
      <c r="Q10" s="2747"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2748" t="s">
        <v>2350</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2747"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2747">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2747">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2747">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2351</v>
      </c>
      <c r="B15" s="613" t="s">
        <v>2466</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2352</v>
      </c>
      <c r="Q15" s="2751" t="str">
        <f t="shared" si="6"/>
        <v>办公集聚程度</v>
      </c>
      <c r="R15" s="752" t="s">
        <v>25</v>
      </c>
      <c r="S15" s="753">
        <f t="shared" si="0"/>
        <v>100</v>
      </c>
      <c r="T15" s="752" t="s">
        <v>25</v>
      </c>
      <c r="U15" s="753">
        <f t="shared" si="1"/>
        <v>100</v>
      </c>
      <c r="V15" s="752" t="s">
        <v>25</v>
      </c>
      <c r="W15" s="753">
        <f t="shared" si="2"/>
        <v>100</v>
      </c>
      <c r="X15" s="2752"/>
      <c r="Y15" s="3040" t="s">
        <v>2352</v>
      </c>
      <c r="Z15" s="2753" t="str">
        <f t="shared" si="7"/>
        <v>办公集聚程度</v>
      </c>
      <c r="AA15" s="2749">
        <f t="shared" si="3"/>
        <v>1</v>
      </c>
      <c r="AB15" s="2749">
        <f t="shared" si="4"/>
        <v>1</v>
      </c>
      <c r="AC15" s="2749">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2751"/>
      <c r="R16" s="752"/>
      <c r="S16" s="753"/>
      <c r="T16" s="752"/>
      <c r="U16" s="753"/>
      <c r="V16" s="752"/>
      <c r="W16" s="753"/>
      <c r="X16" s="2752"/>
      <c r="Y16" s="3041"/>
      <c r="Z16" s="2753"/>
      <c r="AA16" s="2749">
        <v>1</v>
      </c>
      <c r="AB16" s="2749">
        <v>1</v>
      </c>
      <c r="AC16" s="2749">
        <v>1</v>
      </c>
    </row>
    <row r="17" spans="1:29" ht="156.75">
      <c r="A17" s="408"/>
      <c r="B17" s="615" t="s">
        <v>1742</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2751" t="str">
        <f>B17</f>
        <v>交通便捷度</v>
      </c>
      <c r="R17" s="752" t="s">
        <v>25</v>
      </c>
      <c r="S17" s="753">
        <f>F17</f>
        <v>100</v>
      </c>
      <c r="T17" s="752" t="s">
        <v>25</v>
      </c>
      <c r="U17" s="753">
        <f>H17</f>
        <v>100</v>
      </c>
      <c r="V17" s="752" t="s">
        <v>25</v>
      </c>
      <c r="W17" s="753">
        <f>J17</f>
        <v>100</v>
      </c>
      <c r="X17" s="2752"/>
      <c r="Y17" s="3041"/>
      <c r="Z17" s="2753" t="str">
        <f>Q17</f>
        <v>交通便捷度</v>
      </c>
      <c r="AA17" s="2749">
        <f t="shared" si="3"/>
        <v>1</v>
      </c>
      <c r="AB17" s="2749">
        <f t="shared" si="4"/>
        <v>1</v>
      </c>
      <c r="AC17" s="2749">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2751"/>
      <c r="R18" s="752"/>
      <c r="S18" s="753"/>
      <c r="T18" s="752"/>
      <c r="U18" s="753"/>
      <c r="V18" s="752"/>
      <c r="W18" s="753"/>
      <c r="X18" s="2752"/>
      <c r="Y18" s="3041"/>
      <c r="Z18" s="2753"/>
      <c r="AA18" s="2749">
        <v>1</v>
      </c>
      <c r="AB18" s="2749">
        <v>1</v>
      </c>
      <c r="AC18" s="2749">
        <v>1</v>
      </c>
    </row>
    <row r="19" spans="1:29" ht="42.75">
      <c r="A19" s="408"/>
      <c r="B19" s="615" t="s">
        <v>2467</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2751" t="str">
        <f>B19</f>
        <v>公共配套设施</v>
      </c>
      <c r="R19" s="752" t="s">
        <v>25</v>
      </c>
      <c r="S19" s="753">
        <f>F19</f>
        <v>100</v>
      </c>
      <c r="T19" s="752" t="s">
        <v>25</v>
      </c>
      <c r="U19" s="753">
        <f>H19</f>
        <v>100</v>
      </c>
      <c r="V19" s="752" t="s">
        <v>25</v>
      </c>
      <c r="W19" s="753">
        <f>J19</f>
        <v>100</v>
      </c>
      <c r="X19" s="2752"/>
      <c r="Y19" s="3041"/>
      <c r="Z19" s="2753" t="str">
        <f>Q19</f>
        <v>公共配套设施</v>
      </c>
      <c r="AA19" s="2749">
        <f t="shared" si="3"/>
        <v>1</v>
      </c>
      <c r="AB19" s="2749">
        <f t="shared" si="4"/>
        <v>1</v>
      </c>
      <c r="AC19" s="2749">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2751"/>
      <c r="R20" s="752"/>
      <c r="S20" s="753"/>
      <c r="T20" s="752"/>
      <c r="U20" s="753"/>
      <c r="V20" s="752"/>
      <c r="W20" s="753"/>
      <c r="X20" s="2752"/>
      <c r="Y20" s="3041"/>
      <c r="Z20" s="2753"/>
      <c r="AA20" s="2749">
        <v>1</v>
      </c>
      <c r="AB20" s="2749">
        <v>1</v>
      </c>
      <c r="AC20" s="2749">
        <v>1</v>
      </c>
    </row>
    <row r="21" spans="1:29" ht="42.75">
      <c r="A21" s="408"/>
      <c r="B21" s="617" t="s">
        <v>2468</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2751" t="str">
        <f>B21</f>
        <v>基础设施水平</v>
      </c>
      <c r="R21" s="752" t="s">
        <v>25</v>
      </c>
      <c r="S21" s="753">
        <f>F21</f>
        <v>100</v>
      </c>
      <c r="T21" s="752" t="s">
        <v>25</v>
      </c>
      <c r="U21" s="753">
        <f>H21</f>
        <v>100</v>
      </c>
      <c r="V21" s="752" t="s">
        <v>25</v>
      </c>
      <c r="W21" s="753">
        <f>J21</f>
        <v>100</v>
      </c>
      <c r="X21" s="2752"/>
      <c r="Y21" s="3041"/>
      <c r="Z21" s="2753" t="str">
        <f>Q21</f>
        <v>基础设施水平</v>
      </c>
      <c r="AA21" s="2749">
        <f t="shared" ref="AA21" si="8">D21/F21</f>
        <v>1</v>
      </c>
      <c r="AB21" s="2749">
        <f t="shared" ref="AB21" si="9">D21/H21</f>
        <v>1</v>
      </c>
      <c r="AC21" s="2749">
        <f t="shared" ref="AC21" si="10">D21/J21</f>
        <v>1</v>
      </c>
    </row>
    <row r="22" spans="1:29" ht="15">
      <c r="A22" s="408"/>
      <c r="B22" s="617"/>
      <c r="C22" s="2461" t="s">
        <v>2857</v>
      </c>
      <c r="D22" s="427"/>
      <c r="E22" s="2461" t="s">
        <v>2857</v>
      </c>
      <c r="F22" s="427"/>
      <c r="G22" s="2461" t="s">
        <v>2857</v>
      </c>
      <c r="H22" s="427"/>
      <c r="I22" s="2461" t="s">
        <v>2857</v>
      </c>
      <c r="J22" s="427"/>
      <c r="K22" s="1464"/>
      <c r="L22" s="1248"/>
      <c r="M22" s="1239"/>
      <c r="N22" s="1239"/>
      <c r="O22" s="1239"/>
      <c r="P22" s="3071"/>
      <c r="Q22" s="2751"/>
      <c r="R22" s="752"/>
      <c r="S22" s="753"/>
      <c r="T22" s="752"/>
      <c r="U22" s="753"/>
      <c r="V22" s="752"/>
      <c r="W22" s="753"/>
      <c r="X22" s="2752"/>
      <c r="Y22" s="3041"/>
      <c r="Z22" s="2753"/>
      <c r="AA22" s="2749">
        <v>1</v>
      </c>
      <c r="AB22" s="2749">
        <v>1</v>
      </c>
      <c r="AC22" s="2749">
        <v>1</v>
      </c>
    </row>
    <row r="23" spans="1:29" ht="57">
      <c r="A23" s="408"/>
      <c r="B23" s="615" t="s">
        <v>2469</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2751" t="str">
        <f>B23</f>
        <v>环境质量</v>
      </c>
      <c r="R23" s="752" t="s">
        <v>25</v>
      </c>
      <c r="S23" s="753">
        <f>F23</f>
        <v>100</v>
      </c>
      <c r="T23" s="752" t="s">
        <v>25</v>
      </c>
      <c r="U23" s="753">
        <f>H23</f>
        <v>100</v>
      </c>
      <c r="V23" s="752" t="s">
        <v>25</v>
      </c>
      <c r="W23" s="753">
        <f>J23</f>
        <v>100</v>
      </c>
      <c r="X23" s="2752"/>
      <c r="Y23" s="3041"/>
      <c r="Z23" s="2753" t="str">
        <f>Q23</f>
        <v>环境质量</v>
      </c>
      <c r="AA23" s="2749">
        <f t="shared" si="3"/>
        <v>1</v>
      </c>
      <c r="AB23" s="2749">
        <f t="shared" si="4"/>
        <v>1</v>
      </c>
      <c r="AC23" s="2749">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2751"/>
      <c r="R24" s="752"/>
      <c r="S24" s="753"/>
      <c r="T24" s="752"/>
      <c r="U24" s="753"/>
      <c r="V24" s="752"/>
      <c r="W24" s="753"/>
      <c r="X24" s="2752"/>
      <c r="Y24" s="3041"/>
      <c r="Z24" s="2753"/>
      <c r="AA24" s="2749">
        <v>1</v>
      </c>
      <c r="AB24" s="2749">
        <v>1</v>
      </c>
      <c r="AC24" s="2749">
        <v>1</v>
      </c>
    </row>
    <row r="25" spans="1:29" ht="27">
      <c r="A25" s="383"/>
      <c r="B25" s="615" t="s">
        <v>2470</v>
      </c>
      <c r="C25" s="2763" t="s">
        <v>2858</v>
      </c>
      <c r="D25" s="415">
        <v>100</v>
      </c>
      <c r="E25" s="2763" t="s">
        <v>2858</v>
      </c>
      <c r="F25" s="415">
        <f>SUMIF(87:87,E26,88:88)-SUMIF(87:87,C26,88:88)+100</f>
        <v>100</v>
      </c>
      <c r="G25" s="2763" t="s">
        <v>2858</v>
      </c>
      <c r="H25" s="415">
        <f>SUMIF(87:87,G26,88:88)-SUMIF(87:87,C26,88:88)+100</f>
        <v>100</v>
      </c>
      <c r="I25" s="2763" t="s">
        <v>2858</v>
      </c>
      <c r="J25" s="415">
        <f>SUMIF(87:87,I26,88:88)-SUMIF(87:87,C26,88:88)+100</f>
        <v>100</v>
      </c>
      <c r="K25" s="598">
        <v>2</v>
      </c>
      <c r="L25" s="1248"/>
      <c r="M25" s="1239"/>
      <c r="N25" s="1239"/>
      <c r="O25" s="1239"/>
      <c r="P25" s="3071"/>
      <c r="Q25" s="2751" t="str">
        <f>B25</f>
        <v>毗邻道路的类型与等级</v>
      </c>
      <c r="R25" s="752" t="s">
        <v>25</v>
      </c>
      <c r="S25" s="753">
        <f>F25</f>
        <v>100</v>
      </c>
      <c r="T25" s="752" t="s">
        <v>25</v>
      </c>
      <c r="U25" s="753">
        <f>H25</f>
        <v>100</v>
      </c>
      <c r="V25" s="752" t="s">
        <v>25</v>
      </c>
      <c r="W25" s="753">
        <f>J25</f>
        <v>100</v>
      </c>
      <c r="X25" s="2752"/>
      <c r="Y25" s="3041"/>
      <c r="Z25" s="2753" t="str">
        <f>Q25</f>
        <v>毗邻道路的类型与等级</v>
      </c>
      <c r="AA25" s="2749">
        <f t="shared" si="3"/>
        <v>1</v>
      </c>
      <c r="AB25" s="2749">
        <f t="shared" si="4"/>
        <v>1</v>
      </c>
      <c r="AC25" s="2749">
        <f t="shared" si="5"/>
        <v>1</v>
      </c>
    </row>
    <row r="26" spans="1:29" ht="15">
      <c r="A26" s="383"/>
      <c r="B26" s="616"/>
      <c r="C26" s="618" t="s">
        <v>2859</v>
      </c>
      <c r="D26" s="415"/>
      <c r="E26" s="618" t="s">
        <v>2859</v>
      </c>
      <c r="F26" s="415"/>
      <c r="G26" s="618" t="s">
        <v>2859</v>
      </c>
      <c r="H26" s="415"/>
      <c r="I26" s="618" t="s">
        <v>2859</v>
      </c>
      <c r="J26" s="415"/>
      <c r="K26" s="599"/>
      <c r="L26" s="1248"/>
      <c r="M26" s="1239"/>
      <c r="N26" s="1239"/>
      <c r="O26" s="1239"/>
      <c r="P26" s="3071"/>
      <c r="Q26" s="2751"/>
      <c r="R26" s="752"/>
      <c r="S26" s="753"/>
      <c r="T26" s="752"/>
      <c r="U26" s="753"/>
      <c r="V26" s="752"/>
      <c r="W26" s="753"/>
      <c r="X26" s="2752"/>
      <c r="Y26" s="3041"/>
      <c r="Z26" s="2753"/>
      <c r="AA26" s="2749">
        <v>1</v>
      </c>
      <c r="AB26" s="2749">
        <v>1</v>
      </c>
      <c r="AC26" s="2749">
        <v>1</v>
      </c>
    </row>
    <row r="27" spans="1:29" ht="15.75" thickBot="1">
      <c r="A27" s="408"/>
      <c r="B27" s="616" t="s">
        <v>2443</v>
      </c>
      <c r="C27" s="618" t="s">
        <v>2860</v>
      </c>
      <c r="D27" s="415">
        <v>100</v>
      </c>
      <c r="E27" s="600" t="s">
        <v>2905</v>
      </c>
      <c r="F27" s="415">
        <f>SUMIF(89:89,E27,90:90)-SUMIF(89:89,C27,90:90)+100</f>
        <v>101</v>
      </c>
      <c r="G27" s="618" t="s">
        <v>2905</v>
      </c>
      <c r="H27" s="415">
        <f>SUMIF(89:89,G27,90:90)-SUMIF(89:89,C27,90:90)+100</f>
        <v>101</v>
      </c>
      <c r="I27" s="600" t="s">
        <v>2860</v>
      </c>
      <c r="J27" s="415">
        <f>SUMIF(89:89,I27,90:90)-SUMIF(89:89,C27,90:90)+100</f>
        <v>100</v>
      </c>
      <c r="K27" s="596">
        <v>1</v>
      </c>
      <c r="L27" s="1248"/>
      <c r="M27" s="1239"/>
      <c r="N27" s="1239"/>
      <c r="O27" s="1239"/>
      <c r="P27" s="3071"/>
      <c r="Q27" s="2751" t="str">
        <f t="shared" ref="Q27:Q47" si="11">B27</f>
        <v>楼层</v>
      </c>
      <c r="R27" s="752" t="s">
        <v>25</v>
      </c>
      <c r="S27" s="753">
        <f>F27</f>
        <v>101</v>
      </c>
      <c r="T27" s="752" t="s">
        <v>25</v>
      </c>
      <c r="U27" s="753">
        <f>H27</f>
        <v>101</v>
      </c>
      <c r="V27" s="752" t="s">
        <v>25</v>
      </c>
      <c r="W27" s="753">
        <f>J27</f>
        <v>100</v>
      </c>
      <c r="X27" s="2752"/>
      <c r="Y27" s="3041"/>
      <c r="Z27" s="2753" t="str">
        <f>Q27</f>
        <v>楼层</v>
      </c>
      <c r="AA27" s="2749">
        <f t="shared" si="3"/>
        <v>0.99009900990099009</v>
      </c>
      <c r="AB27" s="2749">
        <f t="shared" si="4"/>
        <v>0.99009900990099009</v>
      </c>
      <c r="AC27" s="2749">
        <f t="shared" si="5"/>
        <v>1</v>
      </c>
    </row>
    <row r="28" spans="1:29" s="35" customFormat="1" ht="15.75" hidden="1" thickBot="1">
      <c r="A28" s="411"/>
      <c r="B28" s="615" t="s">
        <v>2471</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2747" t="str">
        <f t="shared" si="11"/>
        <v>朝向</v>
      </c>
      <c r="R28" s="748" t="s">
        <v>25</v>
      </c>
      <c r="S28" s="749">
        <f>F28</f>
        <v>100</v>
      </c>
      <c r="T28" s="748" t="s">
        <v>25</v>
      </c>
      <c r="U28" s="749">
        <f>H28</f>
        <v>100</v>
      </c>
      <c r="V28" s="748" t="s">
        <v>25</v>
      </c>
      <c r="W28" s="749">
        <f>J28</f>
        <v>100</v>
      </c>
      <c r="X28" s="750"/>
      <c r="Y28" s="3041"/>
      <c r="Z28" s="23" t="str">
        <f>Q28</f>
        <v>朝向</v>
      </c>
      <c r="AA28" s="2749">
        <f>D28/F28</f>
        <v>1</v>
      </c>
      <c r="AB28" s="2749">
        <f>D28/H28</f>
        <v>1</v>
      </c>
      <c r="AC28" s="2749">
        <f>D28/J28</f>
        <v>1</v>
      </c>
    </row>
    <row r="29" spans="1:29" ht="15.75" hidden="1" thickBot="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2751">
        <f t="shared" si="11"/>
        <v>111</v>
      </c>
      <c r="R29" s="752" t="s">
        <v>25</v>
      </c>
      <c r="S29" s="753">
        <f t="shared" ref="S29:S47" si="12">F29</f>
        <v>100</v>
      </c>
      <c r="T29" s="752" t="s">
        <v>25</v>
      </c>
      <c r="U29" s="753">
        <f t="shared" ref="U29:U47" si="13">H29</f>
        <v>100</v>
      </c>
      <c r="V29" s="752" t="s">
        <v>25</v>
      </c>
      <c r="W29" s="753">
        <f t="shared" ref="W29:W47" si="14">J29</f>
        <v>100</v>
      </c>
      <c r="X29" s="2752"/>
      <c r="Y29" s="3041"/>
      <c r="Z29" s="2753">
        <f t="shared" ref="Z29:Z47" si="15">Q29</f>
        <v>111</v>
      </c>
      <c r="AA29" s="2749">
        <f t="shared" si="3"/>
        <v>1</v>
      </c>
      <c r="AB29" s="2749">
        <f t="shared" si="4"/>
        <v>1</v>
      </c>
      <c r="AC29" s="2749">
        <f t="shared" si="5"/>
        <v>1</v>
      </c>
    </row>
    <row r="30" spans="1:29" ht="15.75" hidden="1" thickBot="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2751">
        <f t="shared" si="11"/>
        <v>111</v>
      </c>
      <c r="R30" s="752" t="s">
        <v>25</v>
      </c>
      <c r="S30" s="753">
        <f t="shared" si="12"/>
        <v>100</v>
      </c>
      <c r="T30" s="752" t="s">
        <v>25</v>
      </c>
      <c r="U30" s="753">
        <f t="shared" si="13"/>
        <v>100</v>
      </c>
      <c r="V30" s="752" t="s">
        <v>25</v>
      </c>
      <c r="W30" s="753">
        <f t="shared" si="14"/>
        <v>100</v>
      </c>
      <c r="X30" s="2752"/>
      <c r="Y30" s="3041"/>
      <c r="Z30" s="2753">
        <f t="shared" si="15"/>
        <v>111</v>
      </c>
      <c r="AA30" s="2749">
        <f t="shared" si="3"/>
        <v>1</v>
      </c>
      <c r="AB30" s="2749">
        <f t="shared" si="4"/>
        <v>1</v>
      </c>
      <c r="AC30" s="2749">
        <f t="shared" si="5"/>
        <v>1</v>
      </c>
    </row>
    <row r="31" spans="1:29" ht="15.75" hidden="1" thickBot="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2751">
        <f t="shared" si="11"/>
        <v>111</v>
      </c>
      <c r="R31" s="752" t="s">
        <v>25</v>
      </c>
      <c r="S31" s="753">
        <f t="shared" si="12"/>
        <v>100</v>
      </c>
      <c r="T31" s="752" t="s">
        <v>25</v>
      </c>
      <c r="U31" s="753">
        <f t="shared" si="13"/>
        <v>100</v>
      </c>
      <c r="V31" s="752" t="s">
        <v>25</v>
      </c>
      <c r="W31" s="753">
        <f t="shared" si="14"/>
        <v>100</v>
      </c>
      <c r="X31" s="2752"/>
      <c r="Y31" s="3041"/>
      <c r="Z31" s="2753">
        <f t="shared" si="15"/>
        <v>111</v>
      </c>
      <c r="AA31" s="2749">
        <f t="shared" si="3"/>
        <v>1</v>
      </c>
      <c r="AB31" s="2749">
        <f t="shared" si="4"/>
        <v>1</v>
      </c>
      <c r="AC31" s="2749">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2751">
        <f t="shared" si="11"/>
        <v>111</v>
      </c>
      <c r="R32" s="752" t="s">
        <v>25</v>
      </c>
      <c r="S32" s="753">
        <f t="shared" si="12"/>
        <v>100</v>
      </c>
      <c r="T32" s="752" t="s">
        <v>25</v>
      </c>
      <c r="U32" s="753">
        <f t="shared" si="13"/>
        <v>100</v>
      </c>
      <c r="V32" s="752" t="s">
        <v>25</v>
      </c>
      <c r="W32" s="753">
        <f t="shared" si="14"/>
        <v>100</v>
      </c>
      <c r="X32" s="2752"/>
      <c r="Y32" s="3041"/>
      <c r="Z32" s="2753">
        <f t="shared" si="15"/>
        <v>111</v>
      </c>
      <c r="AA32" s="2749">
        <f t="shared" si="3"/>
        <v>1</v>
      </c>
      <c r="AB32" s="2749">
        <f t="shared" si="4"/>
        <v>1</v>
      </c>
      <c r="AC32" s="2749">
        <f t="shared" si="5"/>
        <v>1</v>
      </c>
    </row>
    <row r="33" spans="1:29" ht="15">
      <c r="A33" s="419" t="s">
        <v>2356</v>
      </c>
      <c r="B33" s="28" t="s">
        <v>2472</v>
      </c>
      <c r="C33" s="2465" t="s">
        <v>2906</v>
      </c>
      <c r="D33" s="448">
        <v>100</v>
      </c>
      <c r="E33" s="2465" t="s">
        <v>2906</v>
      </c>
      <c r="F33" s="442">
        <f>SUMIF(101:101,E33,102:102)-SUMIF(101:101,C33,102:102)+100</f>
        <v>100</v>
      </c>
      <c r="G33" s="2465" t="s">
        <v>2906</v>
      </c>
      <c r="H33" s="415">
        <f>SUMIF(101:101,G33,102:102)-SUMIF(101:101,C33,102:102)+100</f>
        <v>100</v>
      </c>
      <c r="I33" s="2465" t="s">
        <v>2906</v>
      </c>
      <c r="J33" s="448">
        <f>SUMIF(101:101,I33,102:102)-SUMIF(101:101,C33,102:102)+100</f>
        <v>100</v>
      </c>
      <c r="K33" s="596">
        <v>3</v>
      </c>
      <c r="L33" s="1248"/>
      <c r="M33" s="1239"/>
      <c r="N33" s="1239"/>
      <c r="O33" s="1239"/>
      <c r="P33" s="3080" t="s">
        <v>2358</v>
      </c>
      <c r="Q33" s="2751" t="str">
        <f t="shared" si="11"/>
        <v>建筑类型</v>
      </c>
      <c r="R33" s="752" t="s">
        <v>25</v>
      </c>
      <c r="S33" s="753">
        <f t="shared" si="12"/>
        <v>100</v>
      </c>
      <c r="T33" s="752" t="s">
        <v>25</v>
      </c>
      <c r="U33" s="753">
        <f t="shared" si="13"/>
        <v>100</v>
      </c>
      <c r="V33" s="752" t="s">
        <v>25</v>
      </c>
      <c r="W33" s="753">
        <f t="shared" si="14"/>
        <v>100</v>
      </c>
      <c r="X33" s="2752"/>
      <c r="Y33" s="3045" t="s">
        <v>2358</v>
      </c>
      <c r="Z33" s="2753" t="str">
        <f t="shared" si="15"/>
        <v>建筑类型</v>
      </c>
      <c r="AA33" s="2749">
        <f t="shared" si="3"/>
        <v>1</v>
      </c>
      <c r="AB33" s="2749">
        <f t="shared" si="4"/>
        <v>1</v>
      </c>
      <c r="AC33" s="2749">
        <f t="shared" si="5"/>
        <v>1</v>
      </c>
    </row>
    <row r="34" spans="1:29" s="452" customFormat="1" ht="15">
      <c r="A34" s="449"/>
      <c r="B34" s="2748" t="s">
        <v>2359</v>
      </c>
      <c r="C34" s="450">
        <f>'数据-取费表'!E5</f>
        <v>194.17</v>
      </c>
      <c r="D34" s="52">
        <v>100</v>
      </c>
      <c r="E34" s="410">
        <v>150</v>
      </c>
      <c r="F34" s="405">
        <f>LOOKUP(E34,104:104,105:105)-LOOKUP(C34,104:104,105:105)+100</f>
        <v>100</v>
      </c>
      <c r="G34" s="409">
        <v>1400</v>
      </c>
      <c r="H34" s="52">
        <f>LOOKUP(G34,104:104,105:105)-LOOKUP(C34,104:104,105:105)+100</f>
        <v>98</v>
      </c>
      <c r="I34" s="409">
        <v>400</v>
      </c>
      <c r="J34" s="52">
        <f>LOOKUP(I34,104:104,105:105)-LOOKUP(C34,104:104,105:105)+100</f>
        <v>102</v>
      </c>
      <c r="K34" s="597"/>
      <c r="L34" s="1246"/>
      <c r="M34" s="1249"/>
      <c r="N34" s="1249"/>
      <c r="O34" s="1249"/>
      <c r="P34" s="3081"/>
      <c r="Q34" s="754" t="str">
        <f t="shared" si="11"/>
        <v>项目建筑规模</v>
      </c>
      <c r="R34" s="755" t="s">
        <v>25</v>
      </c>
      <c r="S34" s="756">
        <f t="shared" si="12"/>
        <v>100</v>
      </c>
      <c r="T34" s="755" t="s">
        <v>25</v>
      </c>
      <c r="U34" s="756">
        <f t="shared" si="13"/>
        <v>98</v>
      </c>
      <c r="V34" s="755" t="s">
        <v>25</v>
      </c>
      <c r="W34" s="756">
        <f t="shared" si="14"/>
        <v>102</v>
      </c>
      <c r="X34" s="757"/>
      <c r="Y34" s="3045"/>
      <c r="Z34" s="758" t="str">
        <f t="shared" si="15"/>
        <v>项目建筑规模</v>
      </c>
      <c r="AA34" s="2749">
        <f t="shared" si="3"/>
        <v>1</v>
      </c>
      <c r="AB34" s="2749">
        <f t="shared" si="4"/>
        <v>1.0204081632653061</v>
      </c>
      <c r="AC34" s="2749">
        <f t="shared" si="5"/>
        <v>0.98039215686274506</v>
      </c>
    </row>
    <row r="35" spans="1:29" ht="15">
      <c r="A35" s="453"/>
      <c r="B35" s="2748" t="s">
        <v>2360</v>
      </c>
      <c r="C35" s="441" t="s">
        <v>2907</v>
      </c>
      <c r="D35" s="415">
        <v>100</v>
      </c>
      <c r="E35" s="441" t="s">
        <v>2907</v>
      </c>
      <c r="F35" s="442">
        <f>SUMIF(106:106,E35,107:107)-SUMIF(106:106,C35,107:107)+100</f>
        <v>100</v>
      </c>
      <c r="G35" s="441" t="s">
        <v>2907</v>
      </c>
      <c r="H35" s="415">
        <f>SUMIF(106:106,G35,107:107)-SUMIF(106:106,C35,107:107)+100</f>
        <v>100</v>
      </c>
      <c r="I35" s="441" t="s">
        <v>2907</v>
      </c>
      <c r="J35" s="415">
        <f>SUMIF(106:106,I35,107:107)-SUMIF(106:106,C35,107:107)+100</f>
        <v>100</v>
      </c>
      <c r="K35" s="596">
        <v>5</v>
      </c>
      <c r="L35" s="1248"/>
      <c r="M35" s="1239"/>
      <c r="N35" s="1239"/>
      <c r="O35" s="1239"/>
      <c r="P35" s="3081"/>
      <c r="Q35" s="2751" t="str">
        <f t="shared" si="11"/>
        <v>建筑结构</v>
      </c>
      <c r="R35" s="752" t="s">
        <v>25</v>
      </c>
      <c r="S35" s="753">
        <f t="shared" si="12"/>
        <v>100</v>
      </c>
      <c r="T35" s="752" t="s">
        <v>25</v>
      </c>
      <c r="U35" s="753">
        <f t="shared" si="13"/>
        <v>100</v>
      </c>
      <c r="V35" s="752" t="s">
        <v>25</v>
      </c>
      <c r="W35" s="753">
        <f t="shared" si="14"/>
        <v>100</v>
      </c>
      <c r="X35" s="2752"/>
      <c r="Y35" s="3045"/>
      <c r="Z35" s="2753" t="str">
        <f t="shared" si="15"/>
        <v>建筑结构</v>
      </c>
      <c r="AA35" s="2749">
        <f t="shared" si="3"/>
        <v>1</v>
      </c>
      <c r="AB35" s="2749">
        <f t="shared" si="4"/>
        <v>1</v>
      </c>
      <c r="AC35" s="2749">
        <f t="shared" si="5"/>
        <v>1</v>
      </c>
    </row>
    <row r="36" spans="1:29" ht="15">
      <c r="A36" s="453"/>
      <c r="B36" s="2748" t="s">
        <v>2445</v>
      </c>
      <c r="C36" s="441" t="s">
        <v>2908</v>
      </c>
      <c r="D36" s="415">
        <v>100</v>
      </c>
      <c r="E36" s="441" t="s">
        <v>2908</v>
      </c>
      <c r="F36" s="442">
        <f>SUMIF(108:108,E36,109:109)-SUMIF(108:108,C36,109:109)+100</f>
        <v>100</v>
      </c>
      <c r="G36" s="441" t="s">
        <v>2908</v>
      </c>
      <c r="H36" s="415">
        <f>SUMIF(108:108,G36,109:109)-SUMIF(108:108,C36,109:109)+100</f>
        <v>100</v>
      </c>
      <c r="I36" s="441" t="s">
        <v>2908</v>
      </c>
      <c r="J36" s="415">
        <f>SUMIF(108:108,I36,109:109)-SUMIF(108:108,C36,109:109)+100</f>
        <v>100</v>
      </c>
      <c r="K36" s="596">
        <v>2</v>
      </c>
      <c r="L36" s="1248"/>
      <c r="M36" s="1239"/>
      <c r="N36" s="1239"/>
      <c r="O36" s="1239"/>
      <c r="P36" s="3081"/>
      <c r="Q36" s="2751" t="str">
        <f t="shared" si="11"/>
        <v>公共部分装修</v>
      </c>
      <c r="R36" s="752" t="s">
        <v>25</v>
      </c>
      <c r="S36" s="753">
        <f t="shared" si="12"/>
        <v>100</v>
      </c>
      <c r="T36" s="752" t="s">
        <v>25</v>
      </c>
      <c r="U36" s="753">
        <f t="shared" si="13"/>
        <v>100</v>
      </c>
      <c r="V36" s="752" t="s">
        <v>25</v>
      </c>
      <c r="W36" s="753">
        <f t="shared" si="14"/>
        <v>100</v>
      </c>
      <c r="X36" s="2752"/>
      <c r="Y36" s="3045"/>
      <c r="Z36" s="2753" t="str">
        <f t="shared" si="15"/>
        <v>公共部分装修</v>
      </c>
      <c r="AA36" s="2749">
        <f t="shared" si="3"/>
        <v>1</v>
      </c>
      <c r="AB36" s="2749">
        <f t="shared" si="4"/>
        <v>1</v>
      </c>
      <c r="AC36" s="2749">
        <f t="shared" si="5"/>
        <v>1</v>
      </c>
    </row>
    <row r="37" spans="1:29" ht="15">
      <c r="A37" s="453"/>
      <c r="B37" s="2748" t="s">
        <v>2446</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2751" t="str">
        <f t="shared" si="11"/>
        <v>成新度</v>
      </c>
      <c r="R37" s="752" t="s">
        <v>25</v>
      </c>
      <c r="S37" s="753">
        <f t="shared" si="12"/>
        <v>100</v>
      </c>
      <c r="T37" s="752" t="s">
        <v>25</v>
      </c>
      <c r="U37" s="753">
        <f t="shared" si="13"/>
        <v>100</v>
      </c>
      <c r="V37" s="752" t="s">
        <v>25</v>
      </c>
      <c r="W37" s="753">
        <f t="shared" si="14"/>
        <v>100</v>
      </c>
      <c r="X37" s="2752"/>
      <c r="Y37" s="3045"/>
      <c r="Z37" s="2753" t="str">
        <f t="shared" si="15"/>
        <v>成新度</v>
      </c>
      <c r="AA37" s="2749">
        <f t="shared" si="3"/>
        <v>1</v>
      </c>
      <c r="AB37" s="2749">
        <f t="shared" si="4"/>
        <v>1</v>
      </c>
      <c r="AC37" s="2749">
        <f t="shared" si="5"/>
        <v>1</v>
      </c>
    </row>
    <row r="38" spans="1:29" s="35" customFormat="1" ht="15">
      <c r="A38" s="454"/>
      <c r="B38" s="2748" t="s">
        <v>2473</v>
      </c>
      <c r="C38" s="441" t="s">
        <v>2909</v>
      </c>
      <c r="D38" s="52">
        <v>100</v>
      </c>
      <c r="E38" s="441" t="s">
        <v>2909</v>
      </c>
      <c r="F38" s="442">
        <f>SUMIF(113:113,E38,114:114)-SUMIF(113:113,C38,114:114)+100</f>
        <v>100</v>
      </c>
      <c r="G38" s="441" t="s">
        <v>2909</v>
      </c>
      <c r="H38" s="415">
        <f>SUMIF(113:113,G38,114:114)-SUMIF(113:113,C38,114:114)+100</f>
        <v>100</v>
      </c>
      <c r="I38" s="441" t="s">
        <v>2909</v>
      </c>
      <c r="J38" s="415">
        <f>SUMIF(113:113,I38,114:114)-SUMIF(113:113,C38,114:114)+100</f>
        <v>100</v>
      </c>
      <c r="K38" s="596">
        <v>5</v>
      </c>
      <c r="L38" s="1240"/>
      <c r="M38" s="1241"/>
      <c r="N38" s="1241"/>
      <c r="O38" s="1241"/>
      <c r="P38" s="3081"/>
      <c r="Q38" s="2747"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2748" t="s">
        <v>2474</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2</v>
      </c>
      <c r="L39" s="1248"/>
      <c r="M39" s="1239"/>
      <c r="N39" s="1239"/>
      <c r="O39" s="1239"/>
      <c r="P39" s="3081" t="s">
        <v>2358</v>
      </c>
      <c r="Q39" s="2751" t="str">
        <f t="shared" si="11"/>
        <v>物业管理</v>
      </c>
      <c r="R39" s="752" t="s">
        <v>25</v>
      </c>
      <c r="S39" s="753">
        <f t="shared" si="12"/>
        <v>100</v>
      </c>
      <c r="T39" s="752" t="s">
        <v>25</v>
      </c>
      <c r="U39" s="753">
        <f t="shared" si="13"/>
        <v>100</v>
      </c>
      <c r="V39" s="752" t="s">
        <v>25</v>
      </c>
      <c r="W39" s="753">
        <f t="shared" si="14"/>
        <v>100</v>
      </c>
      <c r="X39" s="2752"/>
      <c r="Y39" s="3045" t="s">
        <v>2358</v>
      </c>
      <c r="Z39" s="2753" t="str">
        <f t="shared" si="15"/>
        <v>物业管理</v>
      </c>
      <c r="AA39" s="2749">
        <f t="shared" si="3"/>
        <v>1</v>
      </c>
      <c r="AB39" s="2749">
        <f t="shared" si="4"/>
        <v>1</v>
      </c>
      <c r="AC39" s="2749">
        <f t="shared" si="5"/>
        <v>1</v>
      </c>
    </row>
    <row r="40" spans="1:29" ht="15">
      <c r="A40" s="453"/>
      <c r="B40" s="2748" t="s">
        <v>2447</v>
      </c>
      <c r="C40" s="441" t="s">
        <v>2911</v>
      </c>
      <c r="D40" s="415">
        <v>100</v>
      </c>
      <c r="E40" s="441" t="s">
        <v>2911</v>
      </c>
      <c r="F40" s="442">
        <f>SUMIF(117:117,E40,118:118)-SUMIF(117:117,C40,118:118)+100</f>
        <v>100</v>
      </c>
      <c r="G40" s="441" t="s">
        <v>2911</v>
      </c>
      <c r="H40" s="415">
        <f>SUMIF(117:117,G40,118:118)-SUMIF(117:117,C40,118:118)+100</f>
        <v>100</v>
      </c>
      <c r="I40" s="441" t="s">
        <v>2911</v>
      </c>
      <c r="J40" s="415">
        <f>SUMIF(117:117,I40,118:118)-SUMIF(117:117,C40,118:118)+100</f>
        <v>100</v>
      </c>
      <c r="K40" s="596">
        <v>1</v>
      </c>
      <c r="L40" s="1248"/>
      <c r="M40" s="1239"/>
      <c r="N40" s="1239"/>
      <c r="O40" s="1239"/>
      <c r="P40" s="3081"/>
      <c r="Q40" s="2751" t="str">
        <f t="shared" si="11"/>
        <v>市政基础设施</v>
      </c>
      <c r="R40" s="752" t="s">
        <v>25</v>
      </c>
      <c r="S40" s="753">
        <f t="shared" si="12"/>
        <v>100</v>
      </c>
      <c r="T40" s="752" t="s">
        <v>25</v>
      </c>
      <c r="U40" s="753">
        <f t="shared" si="13"/>
        <v>100</v>
      </c>
      <c r="V40" s="752" t="s">
        <v>25</v>
      </c>
      <c r="W40" s="753">
        <f t="shared" si="14"/>
        <v>100</v>
      </c>
      <c r="X40" s="2752"/>
      <c r="Y40" s="3045"/>
      <c r="Z40" s="2753" t="str">
        <f t="shared" si="15"/>
        <v>市政基础设施</v>
      </c>
      <c r="AA40" s="2749">
        <f t="shared" si="3"/>
        <v>1</v>
      </c>
      <c r="AB40" s="2749">
        <f t="shared" si="4"/>
        <v>1</v>
      </c>
      <c r="AC40" s="2749">
        <f t="shared" si="5"/>
        <v>1</v>
      </c>
    </row>
    <row r="41" spans="1:29" ht="15">
      <c r="A41" s="453"/>
      <c r="B41" s="2748" t="s">
        <v>2449</v>
      </c>
      <c r="C41" s="600" t="s">
        <v>2912</v>
      </c>
      <c r="D41" s="415">
        <v>100</v>
      </c>
      <c r="E41" s="600" t="s">
        <v>2912</v>
      </c>
      <c r="F41" s="442">
        <f>SUMIF(119:119,E41,120:120)-SUMIF(119:119,C41,120:120)+100</f>
        <v>100</v>
      </c>
      <c r="G41" s="600" t="s">
        <v>2912</v>
      </c>
      <c r="H41" s="415">
        <f>SUMIF(119:119,G41,120:120)-SUMIF(119:119,C41,120:120)+100</f>
        <v>100</v>
      </c>
      <c r="I41" s="600" t="s">
        <v>2912</v>
      </c>
      <c r="J41" s="415">
        <f>SUMIF(119:119,I41,120:120)-SUMIF(119:119,C41,120:120)+100</f>
        <v>100</v>
      </c>
      <c r="K41" s="596">
        <v>5</v>
      </c>
      <c r="L41" s="1248"/>
      <c r="M41" s="1239"/>
      <c r="N41" s="1239"/>
      <c r="O41" s="1239"/>
      <c r="P41" s="3081"/>
      <c r="Q41" s="2751" t="str">
        <f t="shared" si="11"/>
        <v>层高</v>
      </c>
      <c r="R41" s="752" t="s">
        <v>25</v>
      </c>
      <c r="S41" s="753">
        <f t="shared" si="12"/>
        <v>100</v>
      </c>
      <c r="T41" s="752" t="s">
        <v>25</v>
      </c>
      <c r="U41" s="753">
        <f t="shared" si="13"/>
        <v>100</v>
      </c>
      <c r="V41" s="752" t="s">
        <v>25</v>
      </c>
      <c r="W41" s="753">
        <f t="shared" si="14"/>
        <v>100</v>
      </c>
      <c r="X41" s="2752"/>
      <c r="Y41" s="3045"/>
      <c r="Z41" s="2753" t="str">
        <f t="shared" si="15"/>
        <v>层高</v>
      </c>
      <c r="AA41" s="2749">
        <f t="shared" si="3"/>
        <v>1</v>
      </c>
      <c r="AB41" s="2749">
        <f t="shared" si="4"/>
        <v>1</v>
      </c>
      <c r="AC41" s="2749">
        <f t="shared" si="5"/>
        <v>1</v>
      </c>
    </row>
    <row r="42" spans="1:29" s="452" customFormat="1" ht="15" hidden="1">
      <c r="A42" s="449"/>
      <c r="B42" s="2750" t="s">
        <v>2475</v>
      </c>
      <c r="C42" s="414">
        <f>'数据-取费表'!E5</f>
        <v>194.17</v>
      </c>
      <c r="D42" s="415">
        <v>100</v>
      </c>
      <c r="E42" s="414">
        <v>150</v>
      </c>
      <c r="F42" s="442">
        <f>SUMIF(121:121,E42,122:122)-SUMIF(121:121,C42,122:122)+100</f>
        <v>100</v>
      </c>
      <c r="G42" s="414">
        <v>1000</v>
      </c>
      <c r="H42" s="415">
        <f>SUMIF(121:121,G42,122:122)-SUMIF(121:121,C42,122:122)+100</f>
        <v>100</v>
      </c>
      <c r="I42" s="414">
        <v>400</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2749">
        <f t="shared" si="3"/>
        <v>1</v>
      </c>
      <c r="AB42" s="2749">
        <f t="shared" si="4"/>
        <v>1</v>
      </c>
      <c r="AC42" s="2749">
        <f t="shared" si="5"/>
        <v>1</v>
      </c>
    </row>
    <row r="43" spans="1:29" ht="15">
      <c r="A43" s="453"/>
      <c r="B43" s="2748" t="s">
        <v>2452</v>
      </c>
      <c r="C43" s="441" t="s">
        <v>2914</v>
      </c>
      <c r="D43" s="415">
        <v>100</v>
      </c>
      <c r="E43" s="441" t="s">
        <v>2914</v>
      </c>
      <c r="F43" s="442">
        <f>SUMIF(123:123,E43,124:124)-SUMIF(123:123,C43,124:124)+100</f>
        <v>100</v>
      </c>
      <c r="G43" s="441" t="s">
        <v>2914</v>
      </c>
      <c r="H43" s="415">
        <f>SUMIF(123:123,G43,124:124)-SUMIF(123:123,C43,124:124)+100</f>
        <v>100</v>
      </c>
      <c r="I43" s="441" t="s">
        <v>2914</v>
      </c>
      <c r="J43" s="415">
        <f>SUMIF(123:123,I43,124:124)-SUMIF(123:123,C43,124:124)+100</f>
        <v>100</v>
      </c>
      <c r="K43" s="596">
        <v>3</v>
      </c>
      <c r="L43" s="1248"/>
      <c r="M43" s="1239"/>
      <c r="N43" s="1239"/>
      <c r="O43" s="1239"/>
      <c r="P43" s="3081"/>
      <c r="Q43" s="2751" t="str">
        <f t="shared" si="11"/>
        <v>内部装修</v>
      </c>
      <c r="R43" s="752" t="s">
        <v>25</v>
      </c>
      <c r="S43" s="753">
        <f t="shared" si="12"/>
        <v>100</v>
      </c>
      <c r="T43" s="752" t="s">
        <v>25</v>
      </c>
      <c r="U43" s="753">
        <f t="shared" si="13"/>
        <v>100</v>
      </c>
      <c r="V43" s="752" t="s">
        <v>25</v>
      </c>
      <c r="W43" s="753">
        <f t="shared" si="14"/>
        <v>100</v>
      </c>
      <c r="X43" s="2752"/>
      <c r="Y43" s="3045"/>
      <c r="Z43" s="2753" t="str">
        <f t="shared" si="15"/>
        <v>内部装修</v>
      </c>
      <c r="AA43" s="2749">
        <f t="shared" si="3"/>
        <v>1</v>
      </c>
      <c r="AB43" s="2749">
        <f t="shared" si="4"/>
        <v>1</v>
      </c>
      <c r="AC43" s="2749">
        <f t="shared" si="5"/>
        <v>1</v>
      </c>
    </row>
    <row r="44" spans="1:29" ht="15.75" thickBot="1">
      <c r="A44" s="453"/>
      <c r="B44" s="2748" t="s">
        <v>2369</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2751" t="str">
        <f t="shared" si="11"/>
        <v>内部装修维护情况</v>
      </c>
      <c r="R44" s="752" t="s">
        <v>25</v>
      </c>
      <c r="S44" s="753">
        <f t="shared" si="12"/>
        <v>100</v>
      </c>
      <c r="T44" s="752" t="s">
        <v>25</v>
      </c>
      <c r="U44" s="753">
        <f t="shared" si="13"/>
        <v>100</v>
      </c>
      <c r="V44" s="752" t="s">
        <v>25</v>
      </c>
      <c r="W44" s="753">
        <f t="shared" si="14"/>
        <v>100</v>
      </c>
      <c r="X44" s="2752"/>
      <c r="Y44" s="3045"/>
      <c r="Z44" s="2753" t="str">
        <f t="shared" si="15"/>
        <v>内部装修维护情况</v>
      </c>
      <c r="AA44" s="2749">
        <f t="shared" si="3"/>
        <v>1</v>
      </c>
      <c r="AB44" s="2749">
        <f t="shared" si="4"/>
        <v>1</v>
      </c>
      <c r="AC44" s="2749">
        <f t="shared" si="5"/>
        <v>1</v>
      </c>
    </row>
    <row r="45" spans="1:29" s="35" customFormat="1" ht="15.75" hidden="1" thickBot="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2747">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75" hidden="1" thickBot="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2751">
        <f t="shared" si="11"/>
        <v>111</v>
      </c>
      <c r="R46" s="752" t="s">
        <v>25</v>
      </c>
      <c r="S46" s="753">
        <f t="shared" si="12"/>
        <v>100</v>
      </c>
      <c r="T46" s="752" t="s">
        <v>25</v>
      </c>
      <c r="U46" s="753">
        <f t="shared" si="13"/>
        <v>100</v>
      </c>
      <c r="V46" s="752" t="s">
        <v>25</v>
      </c>
      <c r="W46" s="753">
        <f t="shared" si="14"/>
        <v>100</v>
      </c>
      <c r="X46" s="2752"/>
      <c r="Y46" s="3045"/>
      <c r="Z46" s="2753">
        <f t="shared" si="15"/>
        <v>111</v>
      </c>
      <c r="AA46" s="2749">
        <f t="shared" si="3"/>
        <v>1</v>
      </c>
      <c r="AB46" s="2749">
        <f t="shared" si="4"/>
        <v>1</v>
      </c>
      <c r="AC46" s="2749">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2751">
        <f t="shared" si="11"/>
        <v>111</v>
      </c>
      <c r="R47" s="752" t="s">
        <v>25</v>
      </c>
      <c r="S47" s="753">
        <f t="shared" si="12"/>
        <v>100</v>
      </c>
      <c r="T47" s="752" t="s">
        <v>25</v>
      </c>
      <c r="U47" s="753">
        <f t="shared" si="13"/>
        <v>100</v>
      </c>
      <c r="V47" s="752" t="s">
        <v>25</v>
      </c>
      <c r="W47" s="753">
        <f t="shared" si="14"/>
        <v>100</v>
      </c>
      <c r="X47" s="2752"/>
      <c r="Y47" s="3046"/>
      <c r="Z47" s="2753">
        <f t="shared" si="15"/>
        <v>111</v>
      </c>
      <c r="AA47" s="2749">
        <f t="shared" si="3"/>
        <v>1</v>
      </c>
      <c r="AB47" s="2749">
        <f t="shared" si="4"/>
        <v>1</v>
      </c>
      <c r="AC47" s="2749">
        <f t="shared" si="5"/>
        <v>1</v>
      </c>
    </row>
    <row r="48" spans="1:29" ht="15">
      <c r="A48" s="460" t="s">
        <v>2370</v>
      </c>
      <c r="B48" s="461"/>
      <c r="C48" s="1497" t="s">
        <v>1</v>
      </c>
      <c r="D48" s="1498"/>
      <c r="E48" s="1499">
        <v>5.8</v>
      </c>
      <c r="F48" s="1500"/>
      <c r="G48" s="1501">
        <v>6.41</v>
      </c>
      <c r="H48" s="1502"/>
      <c r="I48" s="1499">
        <v>6</v>
      </c>
      <c r="J48" s="1502"/>
      <c r="K48" s="761"/>
      <c r="L48" s="1251"/>
      <c r="M48" s="1239"/>
      <c r="N48" s="1239"/>
      <c r="O48" s="1239"/>
      <c r="P48" s="3035" t="str">
        <f>A48</f>
        <v>成交单价（元/平方米）</v>
      </c>
      <c r="Q48" s="3037"/>
      <c r="R48" s="3033">
        <f>E48</f>
        <v>5.8</v>
      </c>
      <c r="S48" s="3033"/>
      <c r="T48" s="3033">
        <f>G48</f>
        <v>6.41</v>
      </c>
      <c r="U48" s="3033"/>
      <c r="V48" s="3033">
        <f>I48</f>
        <v>6</v>
      </c>
      <c r="W48" s="3033"/>
      <c r="X48" s="737"/>
      <c r="Y48" s="759"/>
      <c r="Z48" s="737"/>
      <c r="AA48" s="737"/>
      <c r="AB48" s="737"/>
      <c r="AC48" s="737"/>
    </row>
    <row r="49" spans="1:29" ht="15.75" thickBot="1">
      <c r="A49" s="467" t="s">
        <v>2371</v>
      </c>
      <c r="B49" s="468"/>
      <c r="C49" s="1503">
        <f>R50</f>
        <v>6</v>
      </c>
      <c r="D49" s="1504"/>
      <c r="E49" s="1505">
        <f>R49</f>
        <v>5.7</v>
      </c>
      <c r="F49" s="1505"/>
      <c r="G49" s="1503">
        <f>T49</f>
        <v>6.5</v>
      </c>
      <c r="H49" s="1504"/>
      <c r="I49" s="1505">
        <f>V49</f>
        <v>5.9</v>
      </c>
      <c r="J49" s="1504"/>
      <c r="K49" s="762"/>
      <c r="L49" s="1251"/>
      <c r="M49" s="1239"/>
      <c r="N49" s="1239"/>
      <c r="O49" s="1239"/>
      <c r="P49" s="3035" t="str">
        <f>A49</f>
        <v>比较价值（元/平方米）</v>
      </c>
      <c r="Q49" s="3037"/>
      <c r="R49" s="3033">
        <f>IF(E1="售价",ROUND(PRODUCT(R48,AA7:AA47),0),ROUND(PRODUCT(R48,AA7:AA47),1))</f>
        <v>5.7</v>
      </c>
      <c r="S49" s="3033"/>
      <c r="T49" s="3033">
        <f>IF(E1="售价",ROUND(PRODUCT(T48,AB7:AB47),0),ROUND(PRODUCT(T48,AB7:AB47),1))</f>
        <v>6.5</v>
      </c>
      <c r="U49" s="3033"/>
      <c r="V49" s="3033">
        <f>IF(E1="售价",ROUND(PRODUCT(V48,AC7:AC47),0),ROUND(PRODUCT(V48,AC7:AC47),1))</f>
        <v>5.9</v>
      </c>
      <c r="W49" s="3033"/>
      <c r="X49" s="737"/>
      <c r="Y49" s="737"/>
      <c r="Z49" s="737"/>
      <c r="AA49" s="737"/>
      <c r="AB49" s="737"/>
      <c r="AC49" s="737"/>
    </row>
    <row r="50" spans="1:29" ht="15.75" thickBot="1">
      <c r="A50" s="473" t="s">
        <v>2372</v>
      </c>
      <c r="B50" s="474"/>
      <c r="C50" s="1507">
        <f>R50</f>
        <v>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6</v>
      </c>
      <c r="S50" s="3036"/>
      <c r="T50" s="3036"/>
      <c r="U50" s="3036"/>
      <c r="V50" s="3036"/>
      <c r="W50" s="3036"/>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2373</v>
      </c>
      <c r="D53" s="479"/>
      <c r="E53" s="480">
        <f>IF(E48&lt;E49,E49/E48-1,E48/E49-1)</f>
        <v>1.754385964912264E-2</v>
      </c>
      <c r="F53" s="481" t="str">
        <f>IF(OR(E53&gt;=0.3,E53&lt;=-0.3),"超过30%","")</f>
        <v/>
      </c>
      <c r="G53" s="480">
        <f>IF(G48&lt;G49,G49/G48-1,G48/G49-1)</f>
        <v>1.4040561622464809E-2</v>
      </c>
      <c r="H53" s="481" t="str">
        <f>IF(OR(G53&gt;=0.3,G53&lt;=-0.3),"超过30%","")</f>
        <v/>
      </c>
      <c r="I53" s="480">
        <f>IF(I48&lt;I49,I49/I48-1,I48/I49-1)</f>
        <v>1.6949152542372836E-2</v>
      </c>
      <c r="J53" s="481" t="str">
        <f>IF(OR(I53&gt;=0.3,I53&lt;=-0.3),"超过30%","")</f>
        <v/>
      </c>
      <c r="K53" s="1257"/>
      <c r="L53" s="1253"/>
      <c r="M53" s="1252"/>
      <c r="N53" s="1252"/>
      <c r="O53" s="1252"/>
    </row>
    <row r="54" spans="1:29" ht="13.5" customHeight="1">
      <c r="A54" s="1252"/>
      <c r="B54" s="1252"/>
      <c r="C54" s="478" t="s">
        <v>2374</v>
      </c>
      <c r="D54" s="482"/>
      <c r="E54" s="480">
        <f>IF(E49&lt;G49,G49/E49-1,E49/G49-1)</f>
        <v>0.14035087719298245</v>
      </c>
      <c r="F54" s="481" t="str">
        <f>IF(OR(E54&gt;=0.2,E54&lt;=-0.2),"超过20%","")</f>
        <v/>
      </c>
      <c r="G54" s="480">
        <f>IF(G49&lt;I49,I49/G49-1,G49/I49-1)</f>
        <v>0.10169491525423724</v>
      </c>
      <c r="H54" s="481" t="str">
        <f>IF(OR(G54&gt;=0.2,G54&lt;=-0.2),"超过20%","")</f>
        <v/>
      </c>
      <c r="I54" s="480">
        <f>IF(I49&lt;E49,E49/I49-1,I49/E49-1)</f>
        <v>3.5087719298245723E-2</v>
      </c>
      <c r="J54" s="481" t="str">
        <f>IF(OR(I54&gt;=0.2,I54&lt;=-0.2),"超过20%","")</f>
        <v/>
      </c>
      <c r="K54" s="1257"/>
      <c r="L54" s="1253"/>
      <c r="M54" s="1252"/>
      <c r="N54" s="1252"/>
      <c r="O54" s="1252"/>
    </row>
    <row r="55" spans="1:29" s="483" customFormat="1" ht="13.5" customHeight="1">
      <c r="A55" s="1254"/>
      <c r="B55" s="1254"/>
      <c r="C55" s="478" t="s">
        <v>2375</v>
      </c>
      <c r="D55" s="482"/>
      <c r="E55" s="480">
        <f>IF(E48&lt;G48,G48/E48-1,E48/G48-1)</f>
        <v>0.1051724137931036</v>
      </c>
      <c r="F55" s="481" t="str">
        <f>IF(OR(E55&gt;=0.3,E55&lt;=-0.3),"超过30%","")</f>
        <v/>
      </c>
      <c r="G55" s="480">
        <f>IF(G48&lt;I48,I48/G48-1,G48/I48-1)</f>
        <v>6.8333333333333357E-2</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2376</v>
      </c>
      <c r="B58" s="737"/>
      <c r="C58" s="742"/>
      <c r="D58" s="742"/>
      <c r="E58" s="742"/>
      <c r="F58" s="743"/>
      <c r="G58" s="743"/>
      <c r="H58" s="742"/>
      <c r="I58" s="742"/>
      <c r="J58" s="742"/>
      <c r="K58" s="744"/>
      <c r="L58" s="745"/>
      <c r="M58" s="742"/>
      <c r="N58" s="742"/>
      <c r="O58" s="742"/>
      <c r="P58" s="484"/>
      <c r="Q58" s="485"/>
    </row>
    <row r="59" spans="1:29" s="489" customFormat="1" ht="15">
      <c r="A59" s="486" t="s">
        <v>2340</v>
      </c>
      <c r="B59" s="487"/>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2381</v>
      </c>
      <c r="B64" s="509" t="s">
        <v>2346</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2350</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2479</v>
      </c>
      <c r="C87" s="2768" t="s">
        <v>2867</v>
      </c>
      <c r="D87" s="2768" t="s">
        <v>2868</v>
      </c>
      <c r="E87" s="2768" t="s">
        <v>2869</v>
      </c>
      <c r="F87" s="2768" t="s">
        <v>2870</v>
      </c>
      <c r="G87" s="2768" t="s">
        <v>2871</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2872</v>
      </c>
      <c r="D89" s="2768" t="s">
        <v>2873</v>
      </c>
      <c r="E89" s="2768" t="s">
        <v>2874</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2875</v>
      </c>
      <c r="D91" s="2768" t="s">
        <v>2876</v>
      </c>
      <c r="E91" s="2768" t="s">
        <v>2877</v>
      </c>
      <c r="F91" s="2768" t="s">
        <v>2878</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2356</v>
      </c>
      <c r="B101" s="509" t="s">
        <v>2405</v>
      </c>
      <c r="C101" s="2769" t="s">
        <v>2879</v>
      </c>
      <c r="D101" s="2769" t="s">
        <v>2880</v>
      </c>
      <c r="E101" s="2769" t="s">
        <v>2881</v>
      </c>
      <c r="F101" s="2769" t="s">
        <v>2882</v>
      </c>
      <c r="G101" s="2769" t="s">
        <v>2883</v>
      </c>
      <c r="H101" s="2769" t="s">
        <v>2884</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2406</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2407</v>
      </c>
      <c r="C106" s="2768" t="s">
        <v>2885</v>
      </c>
      <c r="D106" s="2768" t="s">
        <v>2886</v>
      </c>
      <c r="E106" s="2770" t="s">
        <v>2887</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2409</v>
      </c>
      <c r="C108" s="2768" t="s">
        <v>2888</v>
      </c>
      <c r="D108" s="2768" t="s">
        <v>2889</v>
      </c>
      <c r="E108" s="2768" t="s">
        <v>2890</v>
      </c>
      <c r="F108" s="2770" t="s">
        <v>2891</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2480</v>
      </c>
      <c r="C113" s="2768" t="s">
        <v>2892</v>
      </c>
      <c r="D113" s="2768" t="s">
        <v>2893</v>
      </c>
      <c r="E113" s="2768" t="s">
        <v>2894</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2411</v>
      </c>
      <c r="C115" s="2768" t="s">
        <v>2895</v>
      </c>
      <c r="D115" s="2768" t="s">
        <v>2896</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2412</v>
      </c>
      <c r="C117" s="2768" t="s">
        <v>2897</v>
      </c>
      <c r="D117" s="2768" t="s">
        <v>2898</v>
      </c>
      <c r="E117" s="2768" t="s">
        <v>2899</v>
      </c>
      <c r="F117" s="2768" t="s">
        <v>2900</v>
      </c>
      <c r="G117" s="2768" t="s">
        <v>2901</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2481</v>
      </c>
      <c r="C119" s="2770" t="s">
        <v>2902</v>
      </c>
      <c r="D119" s="2770" t="s">
        <v>2903</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2463</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2414</v>
      </c>
      <c r="C123" s="2768" t="s">
        <v>2888</v>
      </c>
      <c r="D123" s="2768" t="s">
        <v>2889</v>
      </c>
      <c r="E123" s="2768" t="s">
        <v>2890</v>
      </c>
      <c r="F123" s="2770" t="s">
        <v>2891</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51" sqref="C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2465</v>
      </c>
      <c r="C1" s="1721" t="s">
        <v>2851</v>
      </c>
      <c r="D1" s="1734"/>
      <c r="E1" s="2374" t="s">
        <v>2852</v>
      </c>
      <c r="F1" s="1735" t="s">
        <v>2325</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1995</v>
      </c>
      <c r="B2" s="1720">
        <f>IF(D2="——",IF(C2="元",ROUND(C50*D3,0),ROUND(C50*D3/10000,0)),IF(C2="元",ROUND(C50*D3,0),ROUND(C50*D3/10000,0))-E2)</f>
        <v>8342708</v>
      </c>
      <c r="C2" s="163" t="str">
        <f>'数据-取费表'!B3</f>
        <v>元</v>
      </c>
      <c r="D2" s="2376" t="s">
        <v>1247</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1996</v>
      </c>
      <c r="B3" s="593">
        <f>ROUND(IF(D2="——",C50,IF(C2="万元",B2*10000/D3,B2/D3)),0)</f>
        <v>42966</v>
      </c>
      <c r="C3" s="379" t="s">
        <v>2326</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83" t="s">
        <v>2333</v>
      </c>
      <c r="Q4" s="3069"/>
      <c r="R4" s="3053" t="s">
        <v>2329</v>
      </c>
      <c r="S4" s="3054"/>
      <c r="T4" s="3053" t="s">
        <v>2330</v>
      </c>
      <c r="U4" s="3054"/>
      <c r="V4" s="3074" t="s">
        <v>2331</v>
      </c>
      <c r="W4" s="3074"/>
      <c r="X4" s="1894"/>
      <c r="Y4" s="3053" t="s">
        <v>2333</v>
      </c>
      <c r="Z4" s="3054"/>
      <c r="AA4" s="3061" t="s">
        <v>2329</v>
      </c>
      <c r="AB4" s="3061" t="s">
        <v>2330</v>
      </c>
      <c r="AC4" s="3061" t="s">
        <v>2331</v>
      </c>
    </row>
    <row r="5" spans="1:29" ht="15">
      <c r="A5" s="383"/>
      <c r="B5" s="384"/>
      <c r="C5" s="3086" t="s">
        <v>2853</v>
      </c>
      <c r="D5" s="3050"/>
      <c r="E5" s="3086" t="s">
        <v>2853</v>
      </c>
      <c r="F5" s="3050"/>
      <c r="G5" s="3086" t="s">
        <v>2853</v>
      </c>
      <c r="H5" s="3050"/>
      <c r="I5" s="3086" t="s">
        <v>2853</v>
      </c>
      <c r="J5" s="3050"/>
      <c r="K5" s="594"/>
      <c r="L5" s="1238"/>
      <c r="M5" s="1239"/>
      <c r="N5" s="1239"/>
      <c r="O5" s="1239"/>
      <c r="P5" s="3084"/>
      <c r="Q5" s="3071"/>
      <c r="R5" s="3055"/>
      <c r="S5" s="3056"/>
      <c r="T5" s="3055"/>
      <c r="U5" s="3056"/>
      <c r="V5" s="3074"/>
      <c r="W5" s="3074"/>
      <c r="X5" s="1894"/>
      <c r="Y5" s="3055"/>
      <c r="Z5" s="3056"/>
      <c r="AA5" s="3062"/>
      <c r="AB5" s="3062"/>
      <c r="AC5" s="3062"/>
    </row>
    <row r="6" spans="1:29" ht="15.75" thickBot="1">
      <c r="A6" s="385"/>
      <c r="B6" s="386"/>
      <c r="C6" s="3087" t="s">
        <v>2854</v>
      </c>
      <c r="D6" s="3048"/>
      <c r="E6" s="3087" t="s">
        <v>2854</v>
      </c>
      <c r="F6" s="3048"/>
      <c r="G6" s="3087" t="s">
        <v>2854</v>
      </c>
      <c r="H6" s="3048"/>
      <c r="I6" s="3087" t="s">
        <v>2854</v>
      </c>
      <c r="J6" s="3048"/>
      <c r="K6" s="594" t="s">
        <v>2339</v>
      </c>
      <c r="L6" s="1238"/>
      <c r="M6" s="1239"/>
      <c r="N6" s="1239"/>
      <c r="O6" s="1239"/>
      <c r="P6" s="3085"/>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f>C7</f>
        <v>43916</v>
      </c>
      <c r="F7" s="392">
        <f>SUMIF(59:59,YEAR(E7)&amp;"-"&amp;MONTH(E7),60:60)</f>
        <v>100</v>
      </c>
      <c r="G7" s="2458">
        <f>E7</f>
        <v>43916</v>
      </c>
      <c r="H7" s="390">
        <f>SUMIF(59:59,YEAR(G7)&amp;"-"&amp;MONTH(G7),60:60)</f>
        <v>100</v>
      </c>
      <c r="I7" s="2458">
        <f>G7</f>
        <v>43916</v>
      </c>
      <c r="J7" s="390">
        <f>SUMIF(59:59,YEAR(I7)&amp;"-"&amp;MONTH(I7),60:60)</f>
        <v>100</v>
      </c>
      <c r="K7" s="595"/>
      <c r="L7" s="1240"/>
      <c r="M7" s="1241"/>
      <c r="N7" s="1241"/>
      <c r="O7" s="1241"/>
      <c r="P7" s="3059" t="s">
        <v>2341</v>
      </c>
      <c r="Q7" s="3059"/>
      <c r="R7" s="748" t="s">
        <v>25</v>
      </c>
      <c r="S7" s="749">
        <f t="shared" ref="S7:S15" si="0">F7</f>
        <v>100</v>
      </c>
      <c r="T7" s="748" t="s">
        <v>25</v>
      </c>
      <c r="U7" s="749">
        <f t="shared" ref="U7:U15" si="1">H7</f>
        <v>100</v>
      </c>
      <c r="V7" s="748" t="s">
        <v>25</v>
      </c>
      <c r="W7" s="749">
        <f t="shared" ref="W7:W15" si="2">J7</f>
        <v>100</v>
      </c>
      <c r="X7" s="750"/>
      <c r="Y7" s="3051" t="s">
        <v>2341</v>
      </c>
      <c r="Z7" s="3052"/>
      <c r="AA7" s="751">
        <f>D7/F7</f>
        <v>1</v>
      </c>
      <c r="AB7" s="751">
        <f>D7/H7</f>
        <v>1</v>
      </c>
      <c r="AC7" s="751">
        <f>D7/J7</f>
        <v>1</v>
      </c>
    </row>
    <row r="8" spans="1:29" s="35" customFormat="1" ht="15.75" thickBot="1">
      <c r="A8" s="387" t="s">
        <v>2342</v>
      </c>
      <c r="B8" s="388"/>
      <c r="C8" s="394" t="s">
        <v>2855</v>
      </c>
      <c r="D8" s="390">
        <v>100</v>
      </c>
      <c r="E8" s="394" t="s">
        <v>2855</v>
      </c>
      <c r="F8" s="392">
        <f>SUMIF(62:62,E8,63:63)-SUMIF(62:62,C8,63:63)+100</f>
        <v>100</v>
      </c>
      <c r="G8" s="394" t="s">
        <v>2855</v>
      </c>
      <c r="H8" s="390">
        <f>SUMIF(62:62,G8,63:63)-SUMIF(62:62,C8,63:63)+100</f>
        <v>100</v>
      </c>
      <c r="I8" s="394" t="s">
        <v>2855</v>
      </c>
      <c r="J8" s="390">
        <f>SUMIF(62:62,I8,63:63)-SUMIF(62:62,C8,63:63)+100</f>
        <v>100</v>
      </c>
      <c r="K8" s="595"/>
      <c r="L8" s="1240"/>
      <c r="M8" s="1241"/>
      <c r="N8" s="1241"/>
      <c r="O8" s="1241"/>
      <c r="P8" s="3059" t="s">
        <v>2344</v>
      </c>
      <c r="Q8" s="3052"/>
      <c r="R8" s="748" t="s">
        <v>25</v>
      </c>
      <c r="S8" s="749">
        <f t="shared" si="0"/>
        <v>100</v>
      </c>
      <c r="T8" s="748" t="s">
        <v>25</v>
      </c>
      <c r="U8" s="749">
        <f t="shared" si="1"/>
        <v>100</v>
      </c>
      <c r="V8" s="748" t="s">
        <v>25</v>
      </c>
      <c r="W8" s="749">
        <f t="shared" si="2"/>
        <v>100</v>
      </c>
      <c r="X8" s="750"/>
      <c r="Y8" s="3051" t="s">
        <v>2344</v>
      </c>
      <c r="Z8" s="3052"/>
      <c r="AA8" s="751">
        <f t="shared" ref="AA8:AA47" si="3">D8/F8</f>
        <v>1</v>
      </c>
      <c r="AB8" s="751">
        <f t="shared" ref="AB8:AB47" si="4">D8/H8</f>
        <v>1</v>
      </c>
      <c r="AC8" s="751">
        <f t="shared" ref="AC8:AC47" si="5">D8/J8</f>
        <v>1</v>
      </c>
    </row>
    <row r="9" spans="1:29" s="35" customFormat="1">
      <c r="A9" s="395" t="s">
        <v>2345</v>
      </c>
      <c r="B9" s="28" t="s">
        <v>2346</v>
      </c>
      <c r="C9" s="2762" t="s">
        <v>2844</v>
      </c>
      <c r="D9" s="51">
        <v>100</v>
      </c>
      <c r="E9" s="2762" t="s">
        <v>2844</v>
      </c>
      <c r="F9" s="51">
        <f>SUMIF(64:64,E9,65:65)-SUMIF(64:64,C9,65:65)+100</f>
        <v>100</v>
      </c>
      <c r="G9" s="2762" t="s">
        <v>2844</v>
      </c>
      <c r="H9" s="51">
        <f>SUMIF(64:64,G9,65:65)-SUMIF(64:64,C9,65:65)+100</f>
        <v>100</v>
      </c>
      <c r="I9" s="2762" t="s">
        <v>2844</v>
      </c>
      <c r="J9" s="51">
        <f>SUMIF(64:64,I9,65:65)-SUMIF(64:64,C9,65:65)+100</f>
        <v>100</v>
      </c>
      <c r="K9" s="595"/>
      <c r="L9" s="1240"/>
      <c r="M9" s="1241"/>
      <c r="N9" s="1241"/>
      <c r="O9" s="1241"/>
      <c r="P9" s="3035"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75" thickBot="1">
      <c r="A10" s="401"/>
      <c r="B10" s="402" t="s">
        <v>2349</v>
      </c>
      <c r="C10" s="403" t="s">
        <v>2856</v>
      </c>
      <c r="D10" s="52">
        <v>100</v>
      </c>
      <c r="E10" s="403" t="s">
        <v>2856</v>
      </c>
      <c r="F10" s="52">
        <f>SUMIF(66:66,E10,67:67)-SUMIF(66:66,C10,67:67)+100</f>
        <v>100</v>
      </c>
      <c r="G10" s="403" t="s">
        <v>2856</v>
      </c>
      <c r="H10" s="52">
        <f>SUMIF(66:66,G10,67:67)-SUMIF(66:66,C10,67:67)+100</f>
        <v>100</v>
      </c>
      <c r="I10" s="403" t="s">
        <v>2856</v>
      </c>
      <c r="J10" s="52">
        <f>SUMIF(66:66,I10,67:67)-SUMIF(66:66,C10,67:67)+100</f>
        <v>100</v>
      </c>
      <c r="K10" s="596">
        <v>1</v>
      </c>
      <c r="L10" s="1243"/>
      <c r="M10" s="1244"/>
      <c r="N10" s="1244"/>
      <c r="O10" s="1244"/>
      <c r="P10" s="3035"/>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402" t="s">
        <v>2350</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1881"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2351</v>
      </c>
      <c r="B15" s="613" t="s">
        <v>2466</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2352</v>
      </c>
      <c r="Q15" s="1893" t="str">
        <f t="shared" si="6"/>
        <v>办公集聚程度</v>
      </c>
      <c r="R15" s="752" t="s">
        <v>25</v>
      </c>
      <c r="S15" s="753">
        <f t="shared" si="0"/>
        <v>100</v>
      </c>
      <c r="T15" s="752" t="s">
        <v>25</v>
      </c>
      <c r="U15" s="753">
        <f t="shared" si="1"/>
        <v>100</v>
      </c>
      <c r="V15" s="752" t="s">
        <v>25</v>
      </c>
      <c r="W15" s="753">
        <f t="shared" si="2"/>
        <v>100</v>
      </c>
      <c r="X15" s="1894"/>
      <c r="Y15" s="3040" t="s">
        <v>2352</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1893"/>
      <c r="R16" s="752"/>
      <c r="S16" s="753"/>
      <c r="T16" s="752"/>
      <c r="U16" s="753"/>
      <c r="V16" s="752"/>
      <c r="W16" s="753"/>
      <c r="X16" s="1894"/>
      <c r="Y16" s="3041"/>
      <c r="Z16" s="1896"/>
      <c r="AA16" s="1897">
        <v>1</v>
      </c>
      <c r="AB16" s="1897">
        <v>1</v>
      </c>
      <c r="AC16" s="1897">
        <v>1</v>
      </c>
    </row>
    <row r="17" spans="1:29" ht="156.75">
      <c r="A17" s="408"/>
      <c r="B17" s="615" t="s">
        <v>1742</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1893"/>
      <c r="R18" s="752"/>
      <c r="S18" s="753"/>
      <c r="T18" s="752"/>
      <c r="U18" s="753"/>
      <c r="V18" s="752"/>
      <c r="W18" s="753"/>
      <c r="X18" s="1894"/>
      <c r="Y18" s="3041"/>
      <c r="Z18" s="1896"/>
      <c r="AA18" s="1897">
        <v>1</v>
      </c>
      <c r="AB18" s="1897">
        <v>1</v>
      </c>
      <c r="AC18" s="1897">
        <v>1</v>
      </c>
    </row>
    <row r="19" spans="1:29" ht="42.75">
      <c r="A19" s="408"/>
      <c r="B19" s="615" t="s">
        <v>2467</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1893"/>
      <c r="R20" s="752"/>
      <c r="S20" s="753"/>
      <c r="T20" s="752"/>
      <c r="U20" s="753"/>
      <c r="V20" s="752"/>
      <c r="W20" s="753"/>
      <c r="X20" s="1894"/>
      <c r="Y20" s="3041"/>
      <c r="Z20" s="1896"/>
      <c r="AA20" s="1897">
        <v>1</v>
      </c>
      <c r="AB20" s="1897">
        <v>1</v>
      </c>
      <c r="AC20" s="1897">
        <v>1</v>
      </c>
    </row>
    <row r="21" spans="1:29" ht="42.75">
      <c r="A21" s="408"/>
      <c r="B21" s="617" t="s">
        <v>2468</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617"/>
      <c r="C22" s="2461" t="s">
        <v>2857</v>
      </c>
      <c r="D22" s="427"/>
      <c r="E22" s="2461" t="s">
        <v>2857</v>
      </c>
      <c r="F22" s="427"/>
      <c r="G22" s="2461" t="s">
        <v>2857</v>
      </c>
      <c r="H22" s="427"/>
      <c r="I22" s="2461" t="s">
        <v>2857</v>
      </c>
      <c r="J22" s="427"/>
      <c r="K22" s="1464"/>
      <c r="L22" s="1248"/>
      <c r="M22" s="1239"/>
      <c r="N22" s="1239"/>
      <c r="O22" s="1239"/>
      <c r="P22" s="3071"/>
      <c r="Q22" s="1893"/>
      <c r="R22" s="752"/>
      <c r="S22" s="753"/>
      <c r="T22" s="752"/>
      <c r="U22" s="753"/>
      <c r="V22" s="752"/>
      <c r="W22" s="753"/>
      <c r="X22" s="1894"/>
      <c r="Y22" s="3041"/>
      <c r="Z22" s="1896"/>
      <c r="AA22" s="1897">
        <v>1</v>
      </c>
      <c r="AB22" s="1897">
        <v>1</v>
      </c>
      <c r="AC22" s="1897">
        <v>1</v>
      </c>
    </row>
    <row r="23" spans="1:29" ht="57">
      <c r="A23" s="408"/>
      <c r="B23" s="615" t="s">
        <v>2469</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1893"/>
      <c r="R24" s="752"/>
      <c r="S24" s="753"/>
      <c r="T24" s="752"/>
      <c r="U24" s="753"/>
      <c r="V24" s="752"/>
      <c r="W24" s="753"/>
      <c r="X24" s="1894"/>
      <c r="Y24" s="3041"/>
      <c r="Z24" s="1896"/>
      <c r="AA24" s="1897">
        <v>1</v>
      </c>
      <c r="AB24" s="1897">
        <v>1</v>
      </c>
      <c r="AC24" s="1897">
        <v>1</v>
      </c>
    </row>
    <row r="25" spans="1:29" ht="27">
      <c r="A25" s="383"/>
      <c r="B25" s="615" t="s">
        <v>2470</v>
      </c>
      <c r="C25" s="2763" t="s">
        <v>2858</v>
      </c>
      <c r="D25" s="415">
        <v>100</v>
      </c>
      <c r="E25" s="2763" t="s">
        <v>2858</v>
      </c>
      <c r="F25" s="415">
        <f>SUMIF(87:87,E26,88:88)-SUMIF(87:87,C26,88:88)+100</f>
        <v>100</v>
      </c>
      <c r="G25" s="2763" t="s">
        <v>2858</v>
      </c>
      <c r="H25" s="415">
        <f>SUMIF(87:87,G26,88:88)-SUMIF(87:87,C26,88:88)+100</f>
        <v>100</v>
      </c>
      <c r="I25" s="2763" t="s">
        <v>2858</v>
      </c>
      <c r="J25" s="415">
        <f>SUMIF(87:87,I26,88:88)-SUMIF(87:87,C26,88:88)+100</f>
        <v>100</v>
      </c>
      <c r="K25" s="598">
        <v>2</v>
      </c>
      <c r="L25" s="1248"/>
      <c r="M25" s="1239"/>
      <c r="N25" s="1239"/>
      <c r="O25" s="1239"/>
      <c r="P25" s="3071"/>
      <c r="Q25" s="1893" t="str">
        <f>B25</f>
        <v>毗邻道路的类型与等级</v>
      </c>
      <c r="R25" s="752" t="s">
        <v>25</v>
      </c>
      <c r="S25" s="753">
        <f>F25</f>
        <v>100</v>
      </c>
      <c r="T25" s="752" t="s">
        <v>25</v>
      </c>
      <c r="U25" s="753">
        <f>H25</f>
        <v>100</v>
      </c>
      <c r="V25" s="752" t="s">
        <v>25</v>
      </c>
      <c r="W25" s="753">
        <f>J25</f>
        <v>100</v>
      </c>
      <c r="X25" s="1894"/>
      <c r="Y25" s="3041"/>
      <c r="Z25" s="1896" t="str">
        <f>Q25</f>
        <v>毗邻道路的类型与等级</v>
      </c>
      <c r="AA25" s="1897">
        <f t="shared" si="3"/>
        <v>1</v>
      </c>
      <c r="AB25" s="1897">
        <f t="shared" si="4"/>
        <v>1</v>
      </c>
      <c r="AC25" s="1897">
        <f t="shared" si="5"/>
        <v>1</v>
      </c>
    </row>
    <row r="26" spans="1:29" ht="15">
      <c r="A26" s="383"/>
      <c r="B26" s="616"/>
      <c r="C26" s="618" t="s">
        <v>2859</v>
      </c>
      <c r="D26" s="415"/>
      <c r="E26" s="618" t="s">
        <v>2859</v>
      </c>
      <c r="F26" s="415"/>
      <c r="G26" s="618" t="s">
        <v>2859</v>
      </c>
      <c r="H26" s="415"/>
      <c r="I26" s="618" t="s">
        <v>2859</v>
      </c>
      <c r="J26" s="415"/>
      <c r="K26" s="599"/>
      <c r="L26" s="1248"/>
      <c r="M26" s="1239"/>
      <c r="N26" s="1239"/>
      <c r="O26" s="1239"/>
      <c r="P26" s="3071"/>
      <c r="Q26" s="1893"/>
      <c r="R26" s="752"/>
      <c r="S26" s="753"/>
      <c r="T26" s="752"/>
      <c r="U26" s="753"/>
      <c r="V26" s="752"/>
      <c r="W26" s="753"/>
      <c r="X26" s="1894"/>
      <c r="Y26" s="3041"/>
      <c r="Z26" s="1896"/>
      <c r="AA26" s="1897">
        <v>1</v>
      </c>
      <c r="AB26" s="1897">
        <v>1</v>
      </c>
      <c r="AC26" s="1897">
        <v>1</v>
      </c>
    </row>
    <row r="27" spans="1:29" ht="15.75" thickBot="1">
      <c r="A27" s="408"/>
      <c r="B27" s="616" t="s">
        <v>2443</v>
      </c>
      <c r="C27" s="618" t="s">
        <v>2860</v>
      </c>
      <c r="D27" s="415">
        <v>100</v>
      </c>
      <c r="E27" s="600" t="s">
        <v>2904</v>
      </c>
      <c r="F27" s="415">
        <f>SUMIF(89:89,E27,90:90)-SUMIF(89:89,C27,90:90)+100</f>
        <v>102</v>
      </c>
      <c r="G27" s="618" t="s">
        <v>2905</v>
      </c>
      <c r="H27" s="415">
        <f>SUMIF(89:89,G27,90:90)-SUMIF(89:89,C27,90:90)+100</f>
        <v>101</v>
      </c>
      <c r="I27" s="600" t="s">
        <v>2904</v>
      </c>
      <c r="J27" s="415">
        <f>SUMIF(89:89,I27,90:90)-SUMIF(89:89,C27,90:90)+100</f>
        <v>102</v>
      </c>
      <c r="K27" s="596">
        <v>1</v>
      </c>
      <c r="L27" s="1248"/>
      <c r="M27" s="1239"/>
      <c r="N27" s="1239"/>
      <c r="O27" s="1239"/>
      <c r="P27" s="3071"/>
      <c r="Q27" s="1893" t="str">
        <f t="shared" ref="Q27:Q47" si="11">B27</f>
        <v>楼层</v>
      </c>
      <c r="R27" s="752" t="s">
        <v>25</v>
      </c>
      <c r="S27" s="753">
        <f>F27</f>
        <v>102</v>
      </c>
      <c r="T27" s="752" t="s">
        <v>25</v>
      </c>
      <c r="U27" s="753">
        <f>H27</f>
        <v>101</v>
      </c>
      <c r="V27" s="752" t="s">
        <v>25</v>
      </c>
      <c r="W27" s="753">
        <f>J27</f>
        <v>102</v>
      </c>
      <c r="X27" s="1894"/>
      <c r="Y27" s="3041"/>
      <c r="Z27" s="1896" t="str">
        <f>Q27</f>
        <v>楼层</v>
      </c>
      <c r="AA27" s="1897">
        <f t="shared" si="3"/>
        <v>0.98039215686274506</v>
      </c>
      <c r="AB27" s="1897">
        <f t="shared" si="4"/>
        <v>0.99009900990099009</v>
      </c>
      <c r="AC27" s="1897">
        <f t="shared" si="5"/>
        <v>0.98039215686274506</v>
      </c>
    </row>
    <row r="28" spans="1:29" s="35" customFormat="1" ht="15" hidden="1">
      <c r="A28" s="411"/>
      <c r="B28" s="615" t="s">
        <v>2471</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1881" t="str">
        <f t="shared" si="11"/>
        <v>朝向</v>
      </c>
      <c r="R28" s="748" t="s">
        <v>25</v>
      </c>
      <c r="S28" s="749">
        <f>F28</f>
        <v>100</v>
      </c>
      <c r="T28" s="748" t="s">
        <v>25</v>
      </c>
      <c r="U28" s="749">
        <f>H28</f>
        <v>100</v>
      </c>
      <c r="V28" s="748" t="s">
        <v>25</v>
      </c>
      <c r="W28" s="749">
        <f>J28</f>
        <v>100</v>
      </c>
      <c r="X28" s="750"/>
      <c r="Y28" s="3041"/>
      <c r="Z28" s="23" t="str">
        <f>Q28</f>
        <v>朝向</v>
      </c>
      <c r="AA28" s="1897">
        <f>D28/F28</f>
        <v>1</v>
      </c>
      <c r="AB28" s="1897">
        <f>D28/H28</f>
        <v>1</v>
      </c>
      <c r="AC28" s="1897">
        <f>D28/J28</f>
        <v>1</v>
      </c>
    </row>
    <row r="29" spans="1:29" ht="15" hidden="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1893">
        <f t="shared" si="11"/>
        <v>111</v>
      </c>
      <c r="R29" s="752" t="s">
        <v>25</v>
      </c>
      <c r="S29" s="753">
        <f t="shared" ref="S29:S47" si="12">F29</f>
        <v>100</v>
      </c>
      <c r="T29" s="752" t="s">
        <v>25</v>
      </c>
      <c r="U29" s="753">
        <f t="shared" ref="U29:U47" si="13">H29</f>
        <v>100</v>
      </c>
      <c r="V29" s="752" t="s">
        <v>25</v>
      </c>
      <c r="W29" s="753">
        <f t="shared" ref="W29:W47" si="14">J29</f>
        <v>100</v>
      </c>
      <c r="X29" s="1894"/>
      <c r="Y29" s="3041"/>
      <c r="Z29" s="1896">
        <f t="shared" ref="Z29:Z47" si="15">Q29</f>
        <v>111</v>
      </c>
      <c r="AA29" s="1897">
        <f t="shared" si="3"/>
        <v>1</v>
      </c>
      <c r="AB29" s="1897">
        <f t="shared" si="4"/>
        <v>1</v>
      </c>
      <c r="AC29" s="1897">
        <f t="shared" si="5"/>
        <v>1</v>
      </c>
    </row>
    <row r="30" spans="1:29" ht="15" hidden="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 hidden="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1893">
        <f t="shared" si="11"/>
        <v>111</v>
      </c>
      <c r="R32" s="752" t="s">
        <v>25</v>
      </c>
      <c r="S32" s="753">
        <f t="shared" si="12"/>
        <v>100</v>
      </c>
      <c r="T32" s="752" t="s">
        <v>25</v>
      </c>
      <c r="U32" s="753">
        <f t="shared" si="13"/>
        <v>100</v>
      </c>
      <c r="V32" s="752" t="s">
        <v>25</v>
      </c>
      <c r="W32" s="753">
        <f t="shared" si="14"/>
        <v>100</v>
      </c>
      <c r="X32" s="1894"/>
      <c r="Y32" s="3041"/>
      <c r="Z32" s="1896">
        <f t="shared" si="15"/>
        <v>111</v>
      </c>
      <c r="AA32" s="1897">
        <f t="shared" si="3"/>
        <v>1</v>
      </c>
      <c r="AB32" s="1897">
        <f t="shared" si="4"/>
        <v>1</v>
      </c>
      <c r="AC32" s="1897">
        <f t="shared" si="5"/>
        <v>1</v>
      </c>
    </row>
    <row r="33" spans="1:29" ht="15">
      <c r="A33" s="419" t="s">
        <v>2356</v>
      </c>
      <c r="B33" s="28" t="s">
        <v>2472</v>
      </c>
      <c r="C33" s="2465" t="s">
        <v>2906</v>
      </c>
      <c r="D33" s="448">
        <v>100</v>
      </c>
      <c r="E33" s="2465" t="s">
        <v>2906</v>
      </c>
      <c r="F33" s="442">
        <f>SUMIF(101:101,E33,102:102)-SUMIF(101:101,C33,102:102)+100</f>
        <v>100</v>
      </c>
      <c r="G33" s="2465" t="s">
        <v>2906</v>
      </c>
      <c r="H33" s="415">
        <f>SUMIF(101:101,G33,102:102)-SUMIF(101:101,C33,102:102)+100</f>
        <v>100</v>
      </c>
      <c r="I33" s="2465" t="s">
        <v>2906</v>
      </c>
      <c r="J33" s="448">
        <f>SUMIF(101:101,I33,102:102)-SUMIF(101:101,C33,102:102)+100</f>
        <v>100</v>
      </c>
      <c r="K33" s="596">
        <v>3</v>
      </c>
      <c r="L33" s="1248"/>
      <c r="M33" s="1239"/>
      <c r="N33" s="1239"/>
      <c r="O33" s="1239"/>
      <c r="P33" s="3080" t="s">
        <v>2358</v>
      </c>
      <c r="Q33" s="1893" t="str">
        <f t="shared" si="11"/>
        <v>建筑类型</v>
      </c>
      <c r="R33" s="752" t="s">
        <v>25</v>
      </c>
      <c r="S33" s="753">
        <f t="shared" si="12"/>
        <v>100</v>
      </c>
      <c r="T33" s="752" t="s">
        <v>25</v>
      </c>
      <c r="U33" s="753">
        <f t="shared" si="13"/>
        <v>100</v>
      </c>
      <c r="V33" s="752" t="s">
        <v>25</v>
      </c>
      <c r="W33" s="753">
        <f t="shared" si="14"/>
        <v>100</v>
      </c>
      <c r="X33" s="1894"/>
      <c r="Y33" s="3045" t="s">
        <v>2358</v>
      </c>
      <c r="Z33" s="1896" t="str">
        <f t="shared" si="15"/>
        <v>建筑类型</v>
      </c>
      <c r="AA33" s="1897">
        <f t="shared" si="3"/>
        <v>1</v>
      </c>
      <c r="AB33" s="1897">
        <f t="shared" si="4"/>
        <v>1</v>
      </c>
      <c r="AC33" s="1897">
        <f t="shared" si="5"/>
        <v>1</v>
      </c>
    </row>
    <row r="34" spans="1:29" s="452" customFormat="1" ht="15">
      <c r="A34" s="449"/>
      <c r="B34" s="402" t="s">
        <v>2359</v>
      </c>
      <c r="C34" s="450">
        <f>'数据-取费表'!E5</f>
        <v>194.17</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1"/>
      <c r="Q34" s="754" t="str">
        <f t="shared" si="11"/>
        <v>项目建筑规模</v>
      </c>
      <c r="R34" s="755" t="s">
        <v>25</v>
      </c>
      <c r="S34" s="756">
        <f t="shared" si="12"/>
        <v>100</v>
      </c>
      <c r="T34" s="755" t="s">
        <v>25</v>
      </c>
      <c r="U34" s="756">
        <f t="shared" si="13"/>
        <v>100</v>
      </c>
      <c r="V34" s="755" t="s">
        <v>25</v>
      </c>
      <c r="W34" s="756">
        <f t="shared" si="14"/>
        <v>100</v>
      </c>
      <c r="X34" s="757"/>
      <c r="Y34" s="3045"/>
      <c r="Z34" s="758" t="str">
        <f t="shared" si="15"/>
        <v>项目建筑规模</v>
      </c>
      <c r="AA34" s="1897">
        <f t="shared" si="3"/>
        <v>1</v>
      </c>
      <c r="AB34" s="1897">
        <f t="shared" si="4"/>
        <v>1</v>
      </c>
      <c r="AC34" s="1897">
        <f t="shared" si="5"/>
        <v>1</v>
      </c>
    </row>
    <row r="35" spans="1:29" ht="15">
      <c r="A35" s="453"/>
      <c r="B35" s="402" t="s">
        <v>2360</v>
      </c>
      <c r="C35" s="441" t="s">
        <v>2907</v>
      </c>
      <c r="D35" s="415">
        <v>100</v>
      </c>
      <c r="E35" s="441" t="s">
        <v>2907</v>
      </c>
      <c r="F35" s="442">
        <f>SUMIF(106:106,E35,107:107)-SUMIF(106:106,C35,107:107)+100</f>
        <v>100</v>
      </c>
      <c r="G35" s="441" t="s">
        <v>2907</v>
      </c>
      <c r="H35" s="415">
        <f>SUMIF(106:106,G35,107:107)-SUMIF(106:106,C35,107:107)+100</f>
        <v>100</v>
      </c>
      <c r="I35" s="441" t="s">
        <v>2907</v>
      </c>
      <c r="J35" s="415">
        <f>SUMIF(106:106,I35,107:107)-SUMIF(106:106,C35,107:107)+100</f>
        <v>100</v>
      </c>
      <c r="K35" s="596">
        <v>5</v>
      </c>
      <c r="L35" s="1248"/>
      <c r="M35" s="1239"/>
      <c r="N35" s="1239"/>
      <c r="O35" s="1239"/>
      <c r="P35" s="3081"/>
      <c r="Q35" s="1893" t="str">
        <f t="shared" si="11"/>
        <v>建筑结构</v>
      </c>
      <c r="R35" s="752" t="s">
        <v>25</v>
      </c>
      <c r="S35" s="753">
        <f t="shared" si="12"/>
        <v>100</v>
      </c>
      <c r="T35" s="752" t="s">
        <v>25</v>
      </c>
      <c r="U35" s="753">
        <f t="shared" si="13"/>
        <v>100</v>
      </c>
      <c r="V35" s="752" t="s">
        <v>25</v>
      </c>
      <c r="W35" s="753">
        <f t="shared" si="14"/>
        <v>100</v>
      </c>
      <c r="X35" s="1894"/>
      <c r="Y35" s="3045"/>
      <c r="Z35" s="1896" t="str">
        <f t="shared" si="15"/>
        <v>建筑结构</v>
      </c>
      <c r="AA35" s="1897">
        <f t="shared" si="3"/>
        <v>1</v>
      </c>
      <c r="AB35" s="1897">
        <f t="shared" si="4"/>
        <v>1</v>
      </c>
      <c r="AC35" s="1897">
        <f t="shared" si="5"/>
        <v>1</v>
      </c>
    </row>
    <row r="36" spans="1:29" ht="15">
      <c r="A36" s="453"/>
      <c r="B36" s="402" t="s">
        <v>2445</v>
      </c>
      <c r="C36" s="441" t="s">
        <v>2908</v>
      </c>
      <c r="D36" s="415">
        <v>100</v>
      </c>
      <c r="E36" s="441" t="s">
        <v>2908</v>
      </c>
      <c r="F36" s="442">
        <f>SUMIF(108:108,E36,109:109)-SUMIF(108:108,C36,109:109)+100</f>
        <v>100</v>
      </c>
      <c r="G36" s="441" t="s">
        <v>2908</v>
      </c>
      <c r="H36" s="415">
        <f>SUMIF(108:108,G36,109:109)-SUMIF(108:108,C36,109:109)+100</f>
        <v>100</v>
      </c>
      <c r="I36" s="441" t="s">
        <v>2908</v>
      </c>
      <c r="J36" s="415">
        <f>SUMIF(108:108,I36,109:109)-SUMIF(108:108,C36,109:109)+100</f>
        <v>100</v>
      </c>
      <c r="K36" s="596">
        <v>2</v>
      </c>
      <c r="L36" s="1248"/>
      <c r="M36" s="1239"/>
      <c r="N36" s="1239"/>
      <c r="O36" s="1239"/>
      <c r="P36" s="3081"/>
      <c r="Q36" s="1893" t="str">
        <f t="shared" si="11"/>
        <v>公共部分装修</v>
      </c>
      <c r="R36" s="752" t="s">
        <v>25</v>
      </c>
      <c r="S36" s="753">
        <f t="shared" si="12"/>
        <v>100</v>
      </c>
      <c r="T36" s="752" t="s">
        <v>25</v>
      </c>
      <c r="U36" s="753">
        <f t="shared" si="13"/>
        <v>100</v>
      </c>
      <c r="V36" s="752" t="s">
        <v>25</v>
      </c>
      <c r="W36" s="753">
        <f t="shared" si="14"/>
        <v>100</v>
      </c>
      <c r="X36" s="1894"/>
      <c r="Y36" s="3045"/>
      <c r="Z36" s="1896" t="str">
        <f t="shared" si="15"/>
        <v>公共部分装修</v>
      </c>
      <c r="AA36" s="1897">
        <f t="shared" si="3"/>
        <v>1</v>
      </c>
      <c r="AB36" s="1897">
        <f t="shared" si="4"/>
        <v>1</v>
      </c>
      <c r="AC36" s="1897">
        <f t="shared" si="5"/>
        <v>1</v>
      </c>
    </row>
    <row r="37" spans="1:29" ht="15">
      <c r="A37" s="453"/>
      <c r="B37" s="402" t="s">
        <v>2446</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1893" t="str">
        <f t="shared" si="11"/>
        <v>成新度</v>
      </c>
      <c r="R37" s="752" t="s">
        <v>25</v>
      </c>
      <c r="S37" s="753">
        <f t="shared" si="12"/>
        <v>100</v>
      </c>
      <c r="T37" s="752" t="s">
        <v>25</v>
      </c>
      <c r="U37" s="753">
        <f t="shared" si="13"/>
        <v>100</v>
      </c>
      <c r="V37" s="752" t="s">
        <v>25</v>
      </c>
      <c r="W37" s="753">
        <f t="shared" si="14"/>
        <v>100</v>
      </c>
      <c r="X37" s="1894"/>
      <c r="Y37" s="3045"/>
      <c r="Z37" s="1896" t="str">
        <f t="shared" si="15"/>
        <v>成新度</v>
      </c>
      <c r="AA37" s="1897">
        <f t="shared" si="3"/>
        <v>1</v>
      </c>
      <c r="AB37" s="1897">
        <f t="shared" si="4"/>
        <v>1</v>
      </c>
      <c r="AC37" s="1897">
        <f t="shared" si="5"/>
        <v>1</v>
      </c>
    </row>
    <row r="38" spans="1:29" s="35" customFormat="1" ht="15">
      <c r="A38" s="454"/>
      <c r="B38" s="402" t="s">
        <v>2473</v>
      </c>
      <c r="C38" s="441" t="s">
        <v>2909</v>
      </c>
      <c r="D38" s="52">
        <v>100</v>
      </c>
      <c r="E38" s="441" t="s">
        <v>2909</v>
      </c>
      <c r="F38" s="442">
        <f>SUMIF(113:113,E38,114:114)-SUMIF(113:113,C38,114:114)+100</f>
        <v>100</v>
      </c>
      <c r="G38" s="441" t="s">
        <v>2909</v>
      </c>
      <c r="H38" s="415">
        <f>SUMIF(113:113,G38,114:114)-SUMIF(113:113,C38,114:114)+100</f>
        <v>100</v>
      </c>
      <c r="I38" s="441" t="s">
        <v>2909</v>
      </c>
      <c r="J38" s="415">
        <f>SUMIF(113:113,I38,114:114)-SUMIF(113:113,C38,114:114)+100</f>
        <v>100</v>
      </c>
      <c r="K38" s="596">
        <v>5</v>
      </c>
      <c r="L38" s="1240"/>
      <c r="M38" s="1241"/>
      <c r="N38" s="1241"/>
      <c r="O38" s="1241"/>
      <c r="P38" s="3081"/>
      <c r="Q38" s="1881"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402" t="s">
        <v>2474</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2</v>
      </c>
      <c r="L39" s="1248"/>
      <c r="M39" s="1239"/>
      <c r="N39" s="1239"/>
      <c r="O39" s="1239"/>
      <c r="P39" s="3081" t="s">
        <v>2358</v>
      </c>
      <c r="Q39" s="1893" t="str">
        <f t="shared" si="11"/>
        <v>物业管理</v>
      </c>
      <c r="R39" s="752" t="s">
        <v>25</v>
      </c>
      <c r="S39" s="753">
        <f t="shared" si="12"/>
        <v>100</v>
      </c>
      <c r="T39" s="752" t="s">
        <v>25</v>
      </c>
      <c r="U39" s="753">
        <f t="shared" si="13"/>
        <v>100</v>
      </c>
      <c r="V39" s="752" t="s">
        <v>25</v>
      </c>
      <c r="W39" s="753">
        <f t="shared" si="14"/>
        <v>100</v>
      </c>
      <c r="X39" s="1894"/>
      <c r="Y39" s="3045" t="s">
        <v>2358</v>
      </c>
      <c r="Z39" s="1896" t="str">
        <f t="shared" si="15"/>
        <v>物业管理</v>
      </c>
      <c r="AA39" s="1897">
        <f t="shared" si="3"/>
        <v>1</v>
      </c>
      <c r="AB39" s="1897">
        <f t="shared" si="4"/>
        <v>1</v>
      </c>
      <c r="AC39" s="1897">
        <f t="shared" si="5"/>
        <v>1</v>
      </c>
    </row>
    <row r="40" spans="1:29" ht="15">
      <c r="A40" s="453"/>
      <c r="B40" s="402" t="s">
        <v>2447</v>
      </c>
      <c r="C40" s="441" t="s">
        <v>2911</v>
      </c>
      <c r="D40" s="415">
        <v>100</v>
      </c>
      <c r="E40" s="441" t="s">
        <v>2911</v>
      </c>
      <c r="F40" s="442">
        <f>SUMIF(117:117,E40,118:118)-SUMIF(117:117,C40,118:118)+100</f>
        <v>100</v>
      </c>
      <c r="G40" s="441" t="s">
        <v>2911</v>
      </c>
      <c r="H40" s="415">
        <f>SUMIF(117:117,G40,118:118)-SUMIF(117:117,C40,118:118)+100</f>
        <v>100</v>
      </c>
      <c r="I40" s="441" t="s">
        <v>2911</v>
      </c>
      <c r="J40" s="415">
        <f>SUMIF(117:117,I40,118:118)-SUMIF(117:117,C40,118:118)+100</f>
        <v>100</v>
      </c>
      <c r="K40" s="596">
        <v>1</v>
      </c>
      <c r="L40" s="1248"/>
      <c r="M40" s="1239"/>
      <c r="N40" s="1239"/>
      <c r="O40" s="1239"/>
      <c r="P40" s="3081"/>
      <c r="Q40" s="1893" t="str">
        <f t="shared" si="11"/>
        <v>市政基础设施</v>
      </c>
      <c r="R40" s="752" t="s">
        <v>25</v>
      </c>
      <c r="S40" s="753">
        <f t="shared" si="12"/>
        <v>100</v>
      </c>
      <c r="T40" s="752" t="s">
        <v>25</v>
      </c>
      <c r="U40" s="753">
        <f t="shared" si="13"/>
        <v>100</v>
      </c>
      <c r="V40" s="752" t="s">
        <v>25</v>
      </c>
      <c r="W40" s="753">
        <f t="shared" si="14"/>
        <v>100</v>
      </c>
      <c r="X40" s="1894"/>
      <c r="Y40" s="3045"/>
      <c r="Z40" s="1896" t="str">
        <f t="shared" si="15"/>
        <v>市政基础设施</v>
      </c>
      <c r="AA40" s="1897">
        <f t="shared" si="3"/>
        <v>1</v>
      </c>
      <c r="AB40" s="1897">
        <f t="shared" si="4"/>
        <v>1</v>
      </c>
      <c r="AC40" s="1897">
        <f t="shared" si="5"/>
        <v>1</v>
      </c>
    </row>
    <row r="41" spans="1:29" ht="15">
      <c r="A41" s="453"/>
      <c r="B41" s="402" t="s">
        <v>2449</v>
      </c>
      <c r="C41" s="600" t="s">
        <v>2912</v>
      </c>
      <c r="D41" s="415">
        <v>100</v>
      </c>
      <c r="E41" s="600" t="s">
        <v>2912</v>
      </c>
      <c r="F41" s="442">
        <f>SUMIF(119:119,E41,120:120)-SUMIF(119:119,C41,120:120)+100</f>
        <v>100</v>
      </c>
      <c r="G41" s="600" t="s">
        <v>2912</v>
      </c>
      <c r="H41" s="415">
        <f>SUMIF(119:119,G41,120:120)-SUMIF(119:119,C41,120:120)+100</f>
        <v>100</v>
      </c>
      <c r="I41" s="600" t="s">
        <v>2912</v>
      </c>
      <c r="J41" s="415">
        <f>SUMIF(119:119,I41,120:120)-SUMIF(119:119,C41,120:120)+100</f>
        <v>100</v>
      </c>
      <c r="K41" s="596">
        <v>5</v>
      </c>
      <c r="L41" s="1248"/>
      <c r="M41" s="1239"/>
      <c r="N41" s="1239"/>
      <c r="O41" s="1239"/>
      <c r="P41" s="3081"/>
      <c r="Q41" s="1893" t="str">
        <f t="shared" si="11"/>
        <v>层高</v>
      </c>
      <c r="R41" s="752" t="s">
        <v>25</v>
      </c>
      <c r="S41" s="753">
        <f t="shared" si="12"/>
        <v>100</v>
      </c>
      <c r="T41" s="752" t="s">
        <v>25</v>
      </c>
      <c r="U41" s="753">
        <f t="shared" si="13"/>
        <v>100</v>
      </c>
      <c r="V41" s="752" t="s">
        <v>25</v>
      </c>
      <c r="W41" s="753">
        <f t="shared" si="14"/>
        <v>100</v>
      </c>
      <c r="X41" s="1894"/>
      <c r="Y41" s="3045"/>
      <c r="Z41" s="1896" t="str">
        <f t="shared" si="15"/>
        <v>层高</v>
      </c>
      <c r="AA41" s="1897">
        <f t="shared" si="3"/>
        <v>1</v>
      </c>
      <c r="AB41" s="1897">
        <f t="shared" si="4"/>
        <v>1</v>
      </c>
      <c r="AC41" s="1897">
        <f t="shared" si="5"/>
        <v>1</v>
      </c>
    </row>
    <row r="42" spans="1:29" s="452" customFormat="1" ht="15" hidden="1">
      <c r="A42" s="449"/>
      <c r="B42" s="1898" t="s">
        <v>2475</v>
      </c>
      <c r="C42" s="414">
        <f>'数据-取费表'!E5</f>
        <v>194.17</v>
      </c>
      <c r="D42" s="415">
        <v>100</v>
      </c>
      <c r="E42" s="414">
        <f>E34</f>
        <v>188.15</v>
      </c>
      <c r="F42" s="442">
        <f>SUMIF(121:121,E42,122:122)-SUMIF(121:121,C42,122:122)+100</f>
        <v>100</v>
      </c>
      <c r="G42" s="414">
        <f>G34</f>
        <v>178.87</v>
      </c>
      <c r="H42" s="415">
        <f>SUMIF(121:121,G42,122:122)-SUMIF(121:121,C42,122:122)+100</f>
        <v>100</v>
      </c>
      <c r="I42" s="414">
        <f>I34</f>
        <v>138.41999999999999</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1897">
        <f t="shared" si="3"/>
        <v>1</v>
      </c>
      <c r="AB42" s="1897">
        <f t="shared" si="4"/>
        <v>1</v>
      </c>
      <c r="AC42" s="1897">
        <f t="shared" si="5"/>
        <v>1</v>
      </c>
    </row>
    <row r="43" spans="1:29" ht="15">
      <c r="A43" s="453"/>
      <c r="B43" s="402" t="s">
        <v>2452</v>
      </c>
      <c r="C43" s="441" t="s">
        <v>2914</v>
      </c>
      <c r="D43" s="415">
        <v>100</v>
      </c>
      <c r="E43" s="441" t="s">
        <v>2914</v>
      </c>
      <c r="F43" s="442">
        <f>SUMIF(123:123,E43,124:124)-SUMIF(123:123,C43,124:124)+100</f>
        <v>100</v>
      </c>
      <c r="G43" s="441" t="s">
        <v>2914</v>
      </c>
      <c r="H43" s="415">
        <f>SUMIF(123:123,G43,124:124)-SUMIF(123:123,C43,124:124)+100</f>
        <v>100</v>
      </c>
      <c r="I43" s="441" t="s">
        <v>2914</v>
      </c>
      <c r="J43" s="415">
        <f>SUMIF(123:123,I43,124:124)-SUMIF(123:123,C43,124:124)+100</f>
        <v>100</v>
      </c>
      <c r="K43" s="596">
        <v>3</v>
      </c>
      <c r="L43" s="1248"/>
      <c r="M43" s="1239"/>
      <c r="N43" s="1239"/>
      <c r="O43" s="1239"/>
      <c r="P43" s="3081"/>
      <c r="Q43" s="1893" t="str">
        <f t="shared" si="11"/>
        <v>内部装修</v>
      </c>
      <c r="R43" s="752" t="s">
        <v>25</v>
      </c>
      <c r="S43" s="753">
        <f t="shared" si="12"/>
        <v>100</v>
      </c>
      <c r="T43" s="752" t="s">
        <v>25</v>
      </c>
      <c r="U43" s="753">
        <f t="shared" si="13"/>
        <v>100</v>
      </c>
      <c r="V43" s="752" t="s">
        <v>25</v>
      </c>
      <c r="W43" s="753">
        <f t="shared" si="14"/>
        <v>100</v>
      </c>
      <c r="X43" s="1894"/>
      <c r="Y43" s="3045"/>
      <c r="Z43" s="1896" t="str">
        <f t="shared" si="15"/>
        <v>内部装修</v>
      </c>
      <c r="AA43" s="1897">
        <f t="shared" si="3"/>
        <v>1</v>
      </c>
      <c r="AB43" s="1897">
        <f t="shared" si="4"/>
        <v>1</v>
      </c>
      <c r="AC43" s="1897">
        <f t="shared" si="5"/>
        <v>1</v>
      </c>
    </row>
    <row r="44" spans="1:29" ht="15.75" thickBot="1">
      <c r="A44" s="453"/>
      <c r="B44" s="402" t="s">
        <v>2369</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1893" t="str">
        <f t="shared" si="11"/>
        <v>内部装修维护情况</v>
      </c>
      <c r="R44" s="752" t="s">
        <v>25</v>
      </c>
      <c r="S44" s="753">
        <f t="shared" si="12"/>
        <v>100</v>
      </c>
      <c r="T44" s="752" t="s">
        <v>25</v>
      </c>
      <c r="U44" s="753">
        <f t="shared" si="13"/>
        <v>100</v>
      </c>
      <c r="V44" s="752" t="s">
        <v>25</v>
      </c>
      <c r="W44" s="753">
        <f t="shared" si="14"/>
        <v>100</v>
      </c>
      <c r="X44" s="1894"/>
      <c r="Y44" s="3045"/>
      <c r="Z44" s="1896" t="str">
        <f t="shared" si="15"/>
        <v>内部装修维护情况</v>
      </c>
      <c r="AA44" s="1897">
        <f t="shared" si="3"/>
        <v>1</v>
      </c>
      <c r="AB44" s="1897">
        <f t="shared" si="4"/>
        <v>1</v>
      </c>
      <c r="AC44" s="1897">
        <f t="shared" si="5"/>
        <v>1</v>
      </c>
    </row>
    <row r="45" spans="1:29" s="35" customFormat="1" ht="15" hidden="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1881">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 hidden="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1893">
        <f t="shared" si="11"/>
        <v>111</v>
      </c>
      <c r="R46" s="752" t="s">
        <v>25</v>
      </c>
      <c r="S46" s="753">
        <f t="shared" si="12"/>
        <v>100</v>
      </c>
      <c r="T46" s="752" t="s">
        <v>25</v>
      </c>
      <c r="U46" s="753">
        <f t="shared" si="13"/>
        <v>100</v>
      </c>
      <c r="V46" s="752" t="s">
        <v>25</v>
      </c>
      <c r="W46" s="753">
        <f t="shared" si="14"/>
        <v>100</v>
      </c>
      <c r="X46" s="1894"/>
      <c r="Y46" s="3045"/>
      <c r="Z46" s="1896">
        <f t="shared" si="15"/>
        <v>111</v>
      </c>
      <c r="AA46" s="1897">
        <f t="shared" si="3"/>
        <v>1</v>
      </c>
      <c r="AB46" s="1897">
        <f t="shared" si="4"/>
        <v>1</v>
      </c>
      <c r="AC46" s="1897">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1893">
        <f t="shared" si="11"/>
        <v>111</v>
      </c>
      <c r="R47" s="752" t="s">
        <v>25</v>
      </c>
      <c r="S47" s="753">
        <f t="shared" si="12"/>
        <v>100</v>
      </c>
      <c r="T47" s="752" t="s">
        <v>25</v>
      </c>
      <c r="U47" s="753">
        <f t="shared" si="13"/>
        <v>100</v>
      </c>
      <c r="V47" s="752" t="s">
        <v>25</v>
      </c>
      <c r="W47" s="753">
        <f t="shared" si="14"/>
        <v>100</v>
      </c>
      <c r="X47" s="1894"/>
      <c r="Y47" s="3046"/>
      <c r="Z47" s="1896">
        <f t="shared" si="15"/>
        <v>111</v>
      </c>
      <c r="AA47" s="1897">
        <f t="shared" si="3"/>
        <v>1</v>
      </c>
      <c r="AB47" s="1897">
        <f t="shared" si="4"/>
        <v>1</v>
      </c>
      <c r="AC47" s="1897">
        <f t="shared" si="5"/>
        <v>1</v>
      </c>
    </row>
    <row r="48" spans="1:29" ht="15">
      <c r="A48" s="460" t="s">
        <v>2370</v>
      </c>
      <c r="B48" s="461"/>
      <c r="C48" s="1497" t="s">
        <v>1</v>
      </c>
      <c r="D48" s="1498"/>
      <c r="E48" s="1499">
        <f>ROUND(42000*C51,0)</f>
        <v>40740</v>
      </c>
      <c r="F48" s="1500"/>
      <c r="G48" s="1501">
        <f>ROUND(44700*C51,0)</f>
        <v>43359</v>
      </c>
      <c r="H48" s="1502"/>
      <c r="I48" s="1499">
        <f>ROUND(48400*C51,0)</f>
        <v>46948</v>
      </c>
      <c r="J48" s="1502"/>
      <c r="K48" s="761"/>
      <c r="L48" s="1251"/>
      <c r="M48" s="1239"/>
      <c r="N48" s="1239"/>
      <c r="O48" s="1239"/>
      <c r="P48" s="3035" t="str">
        <f>A48</f>
        <v>成交单价（元/平方米）</v>
      </c>
      <c r="Q48" s="3037"/>
      <c r="R48" s="3033">
        <f>E48</f>
        <v>40740</v>
      </c>
      <c r="S48" s="3033"/>
      <c r="T48" s="3033">
        <f>G48</f>
        <v>43359</v>
      </c>
      <c r="U48" s="3033"/>
      <c r="V48" s="3033">
        <f>I48</f>
        <v>46948</v>
      </c>
      <c r="W48" s="3033"/>
      <c r="X48" s="737"/>
      <c r="Y48" s="759"/>
      <c r="Z48" s="737"/>
      <c r="AA48" s="737"/>
      <c r="AB48" s="737"/>
      <c r="AC48" s="737"/>
    </row>
    <row r="49" spans="1:29" ht="15.75" thickBot="1">
      <c r="A49" s="467" t="s">
        <v>2453</v>
      </c>
      <c r="B49" s="468"/>
      <c r="C49" s="1503">
        <f>R50</f>
        <v>42966</v>
      </c>
      <c r="D49" s="1504"/>
      <c r="E49" s="1505">
        <f>R49</f>
        <v>39941</v>
      </c>
      <c r="F49" s="1505"/>
      <c r="G49" s="1503">
        <f>T49</f>
        <v>42930</v>
      </c>
      <c r="H49" s="1504"/>
      <c r="I49" s="1505">
        <f>V49</f>
        <v>46027</v>
      </c>
      <c r="J49" s="1504"/>
      <c r="K49" s="762"/>
      <c r="L49" s="1251"/>
      <c r="M49" s="1239"/>
      <c r="N49" s="1239"/>
      <c r="O49" s="1239"/>
      <c r="P49" s="3035" t="str">
        <f>A49</f>
        <v>比较价值（元/平方米）</v>
      </c>
      <c r="Q49" s="3037"/>
      <c r="R49" s="3033">
        <f>IF(E1="售价",ROUND(PRODUCT(R48,AA7:AA47),0),ROUND(PRODUCT(R48,AA7:AA47),1))</f>
        <v>39941</v>
      </c>
      <c r="S49" s="3033"/>
      <c r="T49" s="3033">
        <f>IF(E1="售价",ROUND(PRODUCT(T48,AB7:AB47),0),ROUND(PRODUCT(T48,AB7:AB47),1))</f>
        <v>42930</v>
      </c>
      <c r="U49" s="3033"/>
      <c r="V49" s="3033">
        <f>IF(E1="售价",ROUND(PRODUCT(V48,AC7:AC47),0),ROUND(PRODUCT(V48,AC7:AC47),1))</f>
        <v>46027</v>
      </c>
      <c r="W49" s="3033"/>
      <c r="X49" s="737"/>
      <c r="Y49" s="737"/>
      <c r="Z49" s="737"/>
      <c r="AA49" s="737"/>
      <c r="AB49" s="737"/>
      <c r="AC49" s="737"/>
    </row>
    <row r="50" spans="1:29" ht="15.75" thickBot="1">
      <c r="A50" s="473" t="s">
        <v>2476</v>
      </c>
      <c r="B50" s="474"/>
      <c r="C50" s="1507">
        <f>R50</f>
        <v>42966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42966</v>
      </c>
      <c r="S50" s="3036"/>
      <c r="T50" s="3036"/>
      <c r="U50" s="3036"/>
      <c r="V50" s="3036"/>
      <c r="W50" s="3036"/>
      <c r="X50" s="737"/>
      <c r="Y50" s="737"/>
      <c r="Z50" s="737"/>
      <c r="AA50" s="737"/>
      <c r="AB50" s="737"/>
      <c r="AC50" s="737"/>
    </row>
    <row r="51" spans="1:29">
      <c r="A51" s="1252"/>
      <c r="B51" s="1252"/>
      <c r="C51" s="1252">
        <v>0.97</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2455</v>
      </c>
      <c r="D53" s="479"/>
      <c r="E53" s="480">
        <f>IF(E48&lt;E49,E49/E48-1,E48/E49-1)</f>
        <v>2.0004506647304687E-2</v>
      </c>
      <c r="F53" s="481" t="str">
        <f>IF(OR(E53&gt;=0.3,E53&lt;=-0.3),"超过30%","")</f>
        <v/>
      </c>
      <c r="G53" s="480">
        <f>IF(G48&lt;G49,G49/G48-1,G48/G49-1)</f>
        <v>9.9930118798043921E-3</v>
      </c>
      <c r="H53" s="481" t="str">
        <f>IF(OR(G53&gt;=0.3,G53&lt;=-0.3),"超过30%","")</f>
        <v/>
      </c>
      <c r="I53" s="480">
        <f>IF(I48&lt;I49,I49/I48-1,I48/I49-1)</f>
        <v>2.0009994133878051E-2</v>
      </c>
      <c r="J53" s="481" t="str">
        <f>IF(OR(I53&gt;=0.3,I53&lt;=-0.3),"超过30%","")</f>
        <v/>
      </c>
      <c r="K53" s="1257"/>
      <c r="L53" s="1253"/>
      <c r="M53" s="1252"/>
      <c r="N53" s="1252"/>
      <c r="O53" s="1252"/>
    </row>
    <row r="54" spans="1:29" ht="13.5" customHeight="1">
      <c r="A54" s="1252"/>
      <c r="B54" s="1252"/>
      <c r="C54" s="478" t="s">
        <v>2456</v>
      </c>
      <c r="D54" s="482"/>
      <c r="E54" s="480">
        <f>IF(E49&lt;G49,G49/E49-1,E49/G49-1)</f>
        <v>7.4835382188728428E-2</v>
      </c>
      <c r="F54" s="481" t="str">
        <f>IF(OR(E54&gt;=0.2,E54&lt;=-0.2),"超过20%","")</f>
        <v/>
      </c>
      <c r="G54" s="480">
        <f>IF(G49&lt;I49,I49/G49-1,G49/I49-1)</f>
        <v>7.2140694153272733E-2</v>
      </c>
      <c r="H54" s="481" t="str">
        <f>IF(OR(G54&gt;=0.2,G54&lt;=-0.2),"超过20%","")</f>
        <v/>
      </c>
      <c r="I54" s="480">
        <f>IF(I49&lt;E49,E49/I49-1,I49/E49-1)</f>
        <v>0.15237475276032142</v>
      </c>
      <c r="J54" s="481" t="str">
        <f>IF(OR(I54&gt;=0.2,I54&lt;=-0.2),"超过20%","")</f>
        <v/>
      </c>
      <c r="K54" s="1257"/>
      <c r="L54" s="1253"/>
      <c r="M54" s="1252"/>
      <c r="N54" s="1252"/>
      <c r="O54" s="1252"/>
    </row>
    <row r="55" spans="1:29" s="483" customFormat="1" ht="13.5" customHeight="1">
      <c r="A55" s="1254"/>
      <c r="B55" s="1254"/>
      <c r="C55" s="478" t="s">
        <v>2457</v>
      </c>
      <c r="D55" s="482"/>
      <c r="E55" s="480">
        <f>IF(E48&lt;G48,G48/E48-1,E48/G48-1)</f>
        <v>6.4285714285714279E-2</v>
      </c>
      <c r="F55" s="481" t="str">
        <f>IF(OR(E55&gt;=0.3,E55&lt;=-0.3),"超过30%","")</f>
        <v/>
      </c>
      <c r="G55" s="480">
        <f>IF(G48&lt;I48,I48/G48-1,G48/I48-1)</f>
        <v>8.2774049217002155E-2</v>
      </c>
      <c r="H55" s="481" t="str">
        <f>IF(OR(G55&gt;=0.3,G55&lt;=-0.3),"超过30%","")</f>
        <v/>
      </c>
      <c r="I55" s="480">
        <f>IF(I48&lt;E48,E48/I48-1,I48/E48-1)</f>
        <v>0.15238095238095228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2458</v>
      </c>
      <c r="B58" s="737"/>
      <c r="C58" s="742"/>
      <c r="D58" s="742"/>
      <c r="E58" s="742"/>
      <c r="F58" s="743"/>
      <c r="G58" s="743"/>
      <c r="H58" s="742"/>
      <c r="I58" s="742"/>
      <c r="J58" s="742"/>
      <c r="K58" s="744"/>
      <c r="L58" s="745"/>
      <c r="M58" s="742"/>
      <c r="N58" s="742"/>
      <c r="O58" s="742"/>
      <c r="P58" s="484"/>
      <c r="Q58" s="485"/>
    </row>
    <row r="59" spans="1:29" s="489" customFormat="1" ht="15">
      <c r="A59" s="486" t="s">
        <v>2340</v>
      </c>
      <c r="B59" s="487"/>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2381</v>
      </c>
      <c r="B64" s="509" t="s">
        <v>2346</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2350</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2479</v>
      </c>
      <c r="C87" s="2768" t="s">
        <v>2867</v>
      </c>
      <c r="D87" s="2768" t="s">
        <v>2868</v>
      </c>
      <c r="E87" s="2768" t="s">
        <v>2869</v>
      </c>
      <c r="F87" s="2768" t="s">
        <v>2870</v>
      </c>
      <c r="G87" s="2768" t="s">
        <v>2871</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2872</v>
      </c>
      <c r="D89" s="2768" t="s">
        <v>2873</v>
      </c>
      <c r="E89" s="2768" t="s">
        <v>2874</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2875</v>
      </c>
      <c r="D91" s="2768" t="s">
        <v>2876</v>
      </c>
      <c r="E91" s="2768" t="s">
        <v>2877</v>
      </c>
      <c r="F91" s="2768" t="s">
        <v>2878</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2356</v>
      </c>
      <c r="B101" s="509" t="s">
        <v>2405</v>
      </c>
      <c r="C101" s="2769" t="s">
        <v>2879</v>
      </c>
      <c r="D101" s="2769" t="s">
        <v>2880</v>
      </c>
      <c r="E101" s="2769" t="s">
        <v>2881</v>
      </c>
      <c r="F101" s="2769" t="s">
        <v>2882</v>
      </c>
      <c r="G101" s="2769" t="s">
        <v>2883</v>
      </c>
      <c r="H101" s="2769" t="s">
        <v>2884</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2406</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2407</v>
      </c>
      <c r="C106" s="2768" t="s">
        <v>2885</v>
      </c>
      <c r="D106" s="2768" t="s">
        <v>2886</v>
      </c>
      <c r="E106" s="2770" t="s">
        <v>2887</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2409</v>
      </c>
      <c r="C108" s="2768" t="s">
        <v>2888</v>
      </c>
      <c r="D108" s="2768" t="s">
        <v>2889</v>
      </c>
      <c r="E108" s="2768" t="s">
        <v>2890</v>
      </c>
      <c r="F108" s="2770" t="s">
        <v>2891</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2480</v>
      </c>
      <c r="C113" s="2768" t="s">
        <v>2892</v>
      </c>
      <c r="D113" s="2768" t="s">
        <v>2893</v>
      </c>
      <c r="E113" s="2768" t="s">
        <v>2894</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2411</v>
      </c>
      <c r="C115" s="2768" t="s">
        <v>2895</v>
      </c>
      <c r="D115" s="2768" t="s">
        <v>2896</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2412</v>
      </c>
      <c r="C117" s="2768" t="s">
        <v>2897</v>
      </c>
      <c r="D117" s="2768" t="s">
        <v>2898</v>
      </c>
      <c r="E117" s="2768" t="s">
        <v>2899</v>
      </c>
      <c r="F117" s="2768" t="s">
        <v>2900</v>
      </c>
      <c r="G117" s="2768" t="s">
        <v>2901</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2481</v>
      </c>
      <c r="C119" s="2770" t="s">
        <v>2902</v>
      </c>
      <c r="D119" s="2770" t="s">
        <v>2903</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2463</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2414</v>
      </c>
      <c r="C123" s="2768" t="s">
        <v>2888</v>
      </c>
      <c r="D123" s="2768" t="s">
        <v>2889</v>
      </c>
      <c r="E123" s="2768" t="s">
        <v>2890</v>
      </c>
      <c r="F123" s="2770" t="s">
        <v>2891</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2323</v>
      </c>
      <c r="B1" s="1729" t="s">
        <v>2482</v>
      </c>
      <c r="C1" s="1721"/>
      <c r="D1" s="1734"/>
      <c r="E1" s="2374"/>
      <c r="F1" s="1735" t="s">
        <v>2325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1996</v>
      </c>
      <c r="B3" s="593" t="e">
        <f ca="1">ROUND(IF(D2="——",C43,IF(C2="万元",B2*10000/D3,B2/D3)),0)</f>
        <v>#DIV/0!</v>
      </c>
      <c r="C3" s="379" t="s">
        <v>2326</v>
      </c>
      <c r="D3" s="378">
        <f>IF(C1="仅计算典型户型",'数据-取费表'!E5,'数据-取费表'!B5)</f>
        <v>194.17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1" t="s">
        <v>2344</v>
      </c>
      <c r="Q8" s="3052"/>
      <c r="R8" s="748" t="s">
        <v>25</v>
      </c>
      <c r="S8" s="749">
        <f t="shared" si="0"/>
        <v>100</v>
      </c>
      <c r="T8" s="748" t="s">
        <v>25</v>
      </c>
      <c r="U8" s="749">
        <f t="shared" si="1"/>
        <v>100</v>
      </c>
      <c r="V8" s="748" t="s">
        <v>25</v>
      </c>
      <c r="W8" s="749">
        <f t="shared" si="2"/>
        <v>100</v>
      </c>
      <c r="X8" s="750"/>
      <c r="Y8" s="3051" t="s">
        <v>2344</v>
      </c>
      <c r="Z8" s="3052"/>
      <c r="AA8" s="751">
        <f t="shared" ref="AA8:AA40" si="3">D8/F8</f>
        <v>1</v>
      </c>
      <c r="AB8" s="751">
        <f t="shared" ref="AB8:AB40" si="4">D8/H8</f>
        <v>1</v>
      </c>
      <c r="AC8" s="751">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2351</v>
      </c>
      <c r="B15" s="26" t="s">
        <v>2483</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0" t="s">
        <v>2352</v>
      </c>
      <c r="Q15" s="1893" t="str">
        <f t="shared" si="6"/>
        <v>产业集聚程度</v>
      </c>
      <c r="R15" s="752" t="s">
        <v>25</v>
      </c>
      <c r="S15" s="753">
        <f t="shared" si="0"/>
        <v>100</v>
      </c>
      <c r="T15" s="752" t="s">
        <v>25</v>
      </c>
      <c r="U15" s="753">
        <f t="shared" si="1"/>
        <v>100</v>
      </c>
      <c r="V15" s="752" t="s">
        <v>25</v>
      </c>
      <c r="W15" s="753">
        <f t="shared" si="2"/>
        <v>100</v>
      </c>
      <c r="X15" s="1894"/>
      <c r="Y15" s="3040" t="s">
        <v>2352</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431" t="s">
        <v>1742</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47"/>
      <c r="P18" s="3041"/>
      <c r="Q18" s="1893"/>
      <c r="R18" s="752"/>
      <c r="S18" s="753"/>
      <c r="T18" s="752"/>
      <c r="U18" s="753"/>
      <c r="V18" s="752"/>
      <c r="W18" s="753"/>
      <c r="X18" s="1894"/>
      <c r="Y18" s="3041"/>
      <c r="Z18" s="1896"/>
      <c r="AA18" s="1897">
        <v>1</v>
      </c>
      <c r="AB18" s="1897">
        <v>1</v>
      </c>
      <c r="AC18" s="1897">
        <v>1</v>
      </c>
    </row>
    <row r="19" spans="1:29" ht="42.75">
      <c r="A19" s="408"/>
      <c r="B19" s="615" t="s">
        <v>2467</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8"/>
      <c r="M20" s="1239"/>
      <c r="N20" s="1239"/>
      <c r="O20" s="1247"/>
      <c r="P20" s="3041"/>
      <c r="Q20" s="1893"/>
      <c r="R20" s="752"/>
      <c r="S20" s="753"/>
      <c r="T20" s="752"/>
      <c r="U20" s="753"/>
      <c r="V20" s="752"/>
      <c r="W20" s="753"/>
      <c r="X20" s="1894"/>
      <c r="Y20" s="3041"/>
      <c r="Z20" s="1896"/>
      <c r="AA20" s="1897">
        <v>1</v>
      </c>
      <c r="AB20" s="1897">
        <v>1</v>
      </c>
      <c r="AC20" s="1897">
        <v>1</v>
      </c>
    </row>
    <row r="21" spans="1:29" ht="28.5">
      <c r="A21" s="408"/>
      <c r="B21" s="617" t="s">
        <v>2468</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47"/>
      <c r="P22" s="3041"/>
      <c r="Q22" s="1893"/>
      <c r="R22" s="752"/>
      <c r="S22" s="753"/>
      <c r="T22" s="752"/>
      <c r="U22" s="753"/>
      <c r="V22" s="752"/>
      <c r="W22" s="753"/>
      <c r="X22" s="1894"/>
      <c r="Y22" s="3041"/>
      <c r="Z22" s="1896"/>
      <c r="AA22" s="1897">
        <v>1</v>
      </c>
      <c r="AB22" s="1897">
        <v>1</v>
      </c>
      <c r="AC22" s="1897">
        <v>1</v>
      </c>
    </row>
    <row r="23" spans="1:29" ht="71.25">
      <c r="A23" s="408"/>
      <c r="B23" s="431" t="s">
        <v>2469</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8"/>
      <c r="M24" s="1239"/>
      <c r="N24" s="1239"/>
      <c r="O24" s="1247"/>
      <c r="P24" s="3041"/>
      <c r="Q24" s="1893"/>
      <c r="R24" s="752"/>
      <c r="S24" s="753"/>
      <c r="T24" s="752"/>
      <c r="U24" s="753"/>
      <c r="V24" s="752"/>
      <c r="W24" s="753"/>
      <c r="X24" s="1894"/>
      <c r="Y24" s="3041"/>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1"/>
      <c r="Q25" s="1893">
        <f>B25</f>
        <v>111</v>
      </c>
      <c r="R25" s="752" t="s">
        <v>25</v>
      </c>
      <c r="S25" s="753">
        <f>F25</f>
        <v>100</v>
      </c>
      <c r="T25" s="752" t="s">
        <v>25</v>
      </c>
      <c r="U25" s="753">
        <f>H25</f>
        <v>100</v>
      </c>
      <c r="V25" s="752" t="s">
        <v>25</v>
      </c>
      <c r="W25" s="753">
        <f>J25</f>
        <v>100</v>
      </c>
      <c r="X25" s="1894"/>
      <c r="Y25" s="3041"/>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1"/>
      <c r="Q26" s="1893">
        <f t="shared" ref="Q26:Q40" si="11">B26</f>
        <v>111</v>
      </c>
      <c r="R26" s="752" t="s">
        <v>25</v>
      </c>
      <c r="S26" s="753">
        <f>F26</f>
        <v>100</v>
      </c>
      <c r="T26" s="752" t="s">
        <v>25</v>
      </c>
      <c r="U26" s="753">
        <f>H26</f>
        <v>100</v>
      </c>
      <c r="V26" s="752" t="s">
        <v>25</v>
      </c>
      <c r="W26" s="753">
        <f>J26</f>
        <v>100</v>
      </c>
      <c r="X26" s="1894"/>
      <c r="Y26" s="3041"/>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1"/>
      <c r="Q27" s="1881">
        <f t="shared" si="11"/>
        <v>111</v>
      </c>
      <c r="R27" s="748" t="s">
        <v>25</v>
      </c>
      <c r="S27" s="749">
        <f>F27</f>
        <v>100</v>
      </c>
      <c r="T27" s="748" t="s">
        <v>25</v>
      </c>
      <c r="U27" s="749">
        <f>H27</f>
        <v>100</v>
      </c>
      <c r="V27" s="748" t="s">
        <v>25</v>
      </c>
      <c r="W27" s="749">
        <f>J27</f>
        <v>100</v>
      </c>
      <c r="X27" s="750"/>
      <c r="Y27" s="3041"/>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1"/>
      <c r="Q28" s="1893">
        <f t="shared" si="11"/>
        <v>111</v>
      </c>
      <c r="R28" s="752" t="s">
        <v>25</v>
      </c>
      <c r="S28" s="753">
        <f t="shared" ref="S28:S40" si="12">F28</f>
        <v>100</v>
      </c>
      <c r="T28" s="752" t="s">
        <v>25</v>
      </c>
      <c r="U28" s="753">
        <f t="shared" ref="U28:U40" si="13">H28</f>
        <v>100</v>
      </c>
      <c r="V28" s="752" t="s">
        <v>25</v>
      </c>
      <c r="W28" s="753">
        <f t="shared" ref="W28:W40" si="14">J28</f>
        <v>100</v>
      </c>
      <c r="X28" s="1894"/>
      <c r="Y28" s="3041"/>
      <c r="Z28" s="1896">
        <f t="shared" ref="Z28:Z40" si="15">Q28</f>
        <v>111</v>
      </c>
      <c r="AA28" s="1897">
        <f t="shared" si="3"/>
        <v>1</v>
      </c>
      <c r="AB28" s="1897">
        <f t="shared" si="4"/>
        <v>1</v>
      </c>
      <c r="AC28" s="1897">
        <f t="shared" si="5"/>
        <v>1</v>
      </c>
    </row>
    <row r="29" spans="1:29" ht="28.5">
      <c r="A29" s="447" t="s">
        <v>2356</v>
      </c>
      <c r="B29" s="28" t="s">
        <v>2472</v>
      </c>
      <c r="C29" s="2465" t="s">
        <v>2484</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88" t="s">
        <v>2358</v>
      </c>
      <c r="Q29" s="1893" t="str">
        <f t="shared" si="11"/>
        <v>建筑类型</v>
      </c>
      <c r="R29" s="752" t="s">
        <v>25</v>
      </c>
      <c r="S29" s="753">
        <f t="shared" si="12"/>
        <v>100</v>
      </c>
      <c r="T29" s="752" t="s">
        <v>25</v>
      </c>
      <c r="U29" s="753">
        <f t="shared" si="13"/>
        <v>100</v>
      </c>
      <c r="V29" s="752" t="s">
        <v>25</v>
      </c>
      <c r="W29" s="753">
        <f t="shared" si="14"/>
        <v>100</v>
      </c>
      <c r="X29" s="1894"/>
      <c r="Y29" s="3045" t="s">
        <v>2358</v>
      </c>
      <c r="Z29" s="1896" t="str">
        <f t="shared" si="15"/>
        <v>建筑类型</v>
      </c>
      <c r="AA29" s="1897">
        <f t="shared" si="3"/>
        <v>1</v>
      </c>
      <c r="AB29" s="1897">
        <f t="shared" si="4"/>
        <v>1</v>
      </c>
      <c r="AC29" s="1897">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5"/>
      <c r="Q30" s="754" t="str">
        <f t="shared" si="11"/>
        <v>项目建筑规模</v>
      </c>
      <c r="R30" s="755" t="s">
        <v>25</v>
      </c>
      <c r="S30" s="756" t="e">
        <f t="shared" si="12"/>
        <v>#N/A</v>
      </c>
      <c r="T30" s="755" t="s">
        <v>25</v>
      </c>
      <c r="U30" s="756" t="e">
        <f t="shared" si="13"/>
        <v>#N/A</v>
      </c>
      <c r="V30" s="755" t="s">
        <v>25</v>
      </c>
      <c r="W30" s="756" t="e">
        <f t="shared" si="14"/>
        <v>#N/A</v>
      </c>
      <c r="X30" s="757"/>
      <c r="Y30" s="3045"/>
      <c r="Z30" s="758" t="str">
        <f t="shared" si="15"/>
        <v>项目建筑规模</v>
      </c>
      <c r="AA30" s="1897" t="e">
        <f t="shared" si="3"/>
        <v>#N/A</v>
      </c>
      <c r="AB30" s="1897" t="e">
        <f t="shared" si="4"/>
        <v>#N/A</v>
      </c>
      <c r="AC30" s="1897"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5"/>
      <c r="Q31" s="1893" t="str">
        <f t="shared" si="11"/>
        <v>建筑结构</v>
      </c>
      <c r="R31" s="752" t="s">
        <v>25</v>
      </c>
      <c r="S31" s="753">
        <f t="shared" si="12"/>
        <v>100</v>
      </c>
      <c r="T31" s="752" t="s">
        <v>25</v>
      </c>
      <c r="U31" s="753">
        <f t="shared" si="13"/>
        <v>100</v>
      </c>
      <c r="V31" s="752" t="s">
        <v>25</v>
      </c>
      <c r="W31" s="753">
        <f t="shared" si="14"/>
        <v>100</v>
      </c>
      <c r="X31" s="1894"/>
      <c r="Y31" s="3045"/>
      <c r="Z31" s="1896" t="str">
        <f t="shared" si="15"/>
        <v>建筑结构</v>
      </c>
      <c r="AA31" s="1897">
        <f t="shared" si="3"/>
        <v>1</v>
      </c>
      <c r="AB31" s="1897">
        <f t="shared" si="4"/>
        <v>1</v>
      </c>
      <c r="AC31" s="1897">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5"/>
      <c r="Q32" s="1893" t="str">
        <f t="shared" si="11"/>
        <v>公共部分装修</v>
      </c>
      <c r="R32" s="752" t="s">
        <v>25</v>
      </c>
      <c r="S32" s="753">
        <f t="shared" si="12"/>
        <v>100</v>
      </c>
      <c r="T32" s="752" t="s">
        <v>25</v>
      </c>
      <c r="U32" s="753">
        <f t="shared" si="13"/>
        <v>100</v>
      </c>
      <c r="V32" s="752" t="s">
        <v>25</v>
      </c>
      <c r="W32" s="753">
        <f t="shared" si="14"/>
        <v>100</v>
      </c>
      <c r="X32" s="1894"/>
      <c r="Y32" s="3045"/>
      <c r="Z32" s="1896" t="str">
        <f t="shared" si="15"/>
        <v>公共部分装修</v>
      </c>
      <c r="AA32" s="1897">
        <f t="shared" si="3"/>
        <v>1</v>
      </c>
      <c r="AB32" s="1897">
        <f t="shared" si="4"/>
        <v>1</v>
      </c>
      <c r="AC32" s="1897">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5"/>
      <c r="Q33" s="1893" t="str">
        <f t="shared" si="11"/>
        <v>成新度</v>
      </c>
      <c r="R33" s="752" t="s">
        <v>25</v>
      </c>
      <c r="S33" s="753" t="e">
        <f t="shared" si="12"/>
        <v>#N/A</v>
      </c>
      <c r="T33" s="752" t="s">
        <v>25</v>
      </c>
      <c r="U33" s="753" t="e">
        <f t="shared" si="13"/>
        <v>#N/A</v>
      </c>
      <c r="V33" s="752" t="s">
        <v>25</v>
      </c>
      <c r="W33" s="753" t="e">
        <f t="shared" si="14"/>
        <v>#N/A</v>
      </c>
      <c r="X33" s="1894"/>
      <c r="Y33" s="3045"/>
      <c r="Z33" s="1896" t="str">
        <f t="shared" si="15"/>
        <v>成新度</v>
      </c>
      <c r="AA33" s="1897" t="e">
        <f t="shared" si="3"/>
        <v>#N/A</v>
      </c>
      <c r="AB33" s="1897" t="e">
        <f t="shared" si="4"/>
        <v>#N/A</v>
      </c>
      <c r="AC33" s="1897"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5"/>
      <c r="Q34" s="1881" t="str">
        <f t="shared" si="11"/>
        <v>物业管理</v>
      </c>
      <c r="R34" s="748" t="s">
        <v>25</v>
      </c>
      <c r="S34" s="749">
        <f t="shared" si="12"/>
        <v>100</v>
      </c>
      <c r="T34" s="748" t="s">
        <v>25</v>
      </c>
      <c r="U34" s="749">
        <f t="shared" si="13"/>
        <v>100</v>
      </c>
      <c r="V34" s="748" t="s">
        <v>25</v>
      </c>
      <c r="W34" s="749">
        <f t="shared" si="14"/>
        <v>100</v>
      </c>
      <c r="X34" s="750"/>
      <c r="Y34" s="3045"/>
      <c r="Z34" s="23" t="str">
        <f t="shared" si="15"/>
        <v>物业管理</v>
      </c>
      <c r="AA34" s="751">
        <f t="shared" si="3"/>
        <v>1</v>
      </c>
      <c r="AB34" s="751">
        <f t="shared" si="4"/>
        <v>1</v>
      </c>
      <c r="AC34" s="751">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5" t="s">
        <v>2358</v>
      </c>
      <c r="Q35" s="1893" t="str">
        <f t="shared" si="11"/>
        <v>市政基础设施</v>
      </c>
      <c r="R35" s="752" t="s">
        <v>25</v>
      </c>
      <c r="S35" s="753">
        <f t="shared" si="12"/>
        <v>100</v>
      </c>
      <c r="T35" s="752" t="s">
        <v>25</v>
      </c>
      <c r="U35" s="753">
        <f t="shared" si="13"/>
        <v>100</v>
      </c>
      <c r="V35" s="752" t="s">
        <v>25</v>
      </c>
      <c r="W35" s="753">
        <f t="shared" si="14"/>
        <v>100</v>
      </c>
      <c r="X35" s="1894"/>
      <c r="Y35" s="3045" t="s">
        <v>2358</v>
      </c>
      <c r="Z35" s="1896" t="str">
        <f t="shared" si="15"/>
        <v>市政基础设施</v>
      </c>
      <c r="AA35" s="1897">
        <f t="shared" si="3"/>
        <v>1</v>
      </c>
      <c r="AB35" s="1897">
        <f t="shared" si="4"/>
        <v>1</v>
      </c>
      <c r="AC35" s="1897">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5"/>
      <c r="Q36" s="1893" t="str">
        <f t="shared" si="11"/>
        <v>内部装修</v>
      </c>
      <c r="R36" s="752" t="s">
        <v>25</v>
      </c>
      <c r="S36" s="753">
        <f t="shared" si="12"/>
        <v>100</v>
      </c>
      <c r="T36" s="752" t="s">
        <v>25</v>
      </c>
      <c r="U36" s="753">
        <f t="shared" si="13"/>
        <v>100</v>
      </c>
      <c r="V36" s="752" t="s">
        <v>25</v>
      </c>
      <c r="W36" s="753">
        <f t="shared" si="14"/>
        <v>100</v>
      </c>
      <c r="X36" s="1894"/>
      <c r="Y36" s="3045"/>
      <c r="Z36" s="1896" t="str">
        <f t="shared" si="15"/>
        <v>内部装修</v>
      </c>
      <c r="AA36" s="1897">
        <f t="shared" si="3"/>
        <v>1</v>
      </c>
      <c r="AB36" s="1897">
        <f t="shared" si="4"/>
        <v>1</v>
      </c>
      <c r="AC36" s="1897">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5"/>
      <c r="Q37" s="1893" t="str">
        <f t="shared" si="11"/>
        <v>内部装修状况</v>
      </c>
      <c r="R37" s="752" t="s">
        <v>25</v>
      </c>
      <c r="S37" s="753">
        <f t="shared" si="12"/>
        <v>0</v>
      </c>
      <c r="T37" s="752" t="s">
        <v>25</v>
      </c>
      <c r="U37" s="753">
        <f t="shared" si="13"/>
        <v>0</v>
      </c>
      <c r="V37" s="752" t="s">
        <v>25</v>
      </c>
      <c r="W37" s="753">
        <f t="shared" si="14"/>
        <v>0</v>
      </c>
      <c r="X37" s="1894"/>
      <c r="Y37" s="3045"/>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5"/>
      <c r="Q38" s="754">
        <f t="shared" si="11"/>
        <v>111</v>
      </c>
      <c r="R38" s="755" t="s">
        <v>25</v>
      </c>
      <c r="S38" s="756">
        <f t="shared" si="12"/>
        <v>100</v>
      </c>
      <c r="T38" s="755" t="s">
        <v>25</v>
      </c>
      <c r="U38" s="756">
        <f t="shared" si="13"/>
        <v>100</v>
      </c>
      <c r="V38" s="755" t="s">
        <v>25</v>
      </c>
      <c r="W38" s="756">
        <f t="shared" si="14"/>
        <v>100</v>
      </c>
      <c r="X38" s="757"/>
      <c r="Y38" s="3045"/>
      <c r="Z38" s="758">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5"/>
      <c r="Q39" s="1893">
        <f t="shared" si="11"/>
        <v>111</v>
      </c>
      <c r="R39" s="752" t="s">
        <v>25</v>
      </c>
      <c r="S39" s="753">
        <f t="shared" si="12"/>
        <v>100</v>
      </c>
      <c r="T39" s="752" t="s">
        <v>25</v>
      </c>
      <c r="U39" s="753">
        <f t="shared" si="13"/>
        <v>100</v>
      </c>
      <c r="V39" s="752" t="s">
        <v>25</v>
      </c>
      <c r="W39" s="753">
        <f t="shared" si="14"/>
        <v>100</v>
      </c>
      <c r="X39" s="1894"/>
      <c r="Y39" s="3045"/>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46"/>
      <c r="Q40" s="1893">
        <f t="shared" si="11"/>
        <v>111</v>
      </c>
      <c r="R40" s="752" t="s">
        <v>25</v>
      </c>
      <c r="S40" s="753">
        <f t="shared" si="12"/>
        <v>100</v>
      </c>
      <c r="T40" s="752" t="s">
        <v>25</v>
      </c>
      <c r="U40" s="753">
        <f t="shared" si="13"/>
        <v>100</v>
      </c>
      <c r="V40" s="752" t="s">
        <v>25</v>
      </c>
      <c r="W40" s="753">
        <f t="shared" si="14"/>
        <v>100</v>
      </c>
      <c r="X40" s="1894"/>
      <c r="Y40" s="3046"/>
      <c r="Z40" s="1896">
        <f t="shared" si="15"/>
        <v>111</v>
      </c>
      <c r="AA40" s="1897">
        <f t="shared" si="3"/>
        <v>1</v>
      </c>
      <c r="AB40" s="1897">
        <f t="shared" si="4"/>
        <v>1</v>
      </c>
      <c r="AC40" s="1897">
        <f t="shared" si="5"/>
        <v>1</v>
      </c>
    </row>
    <row r="41" spans="1:29" ht="15">
      <c r="A41" s="460" t="s">
        <v>2370</v>
      </c>
      <c r="B41" s="461"/>
      <c r="C41" s="1497" t="s">
        <v>1</v>
      </c>
      <c r="D41" s="1498"/>
      <c r="E41" s="1499"/>
      <c r="F41" s="1500"/>
      <c r="G41" s="1501"/>
      <c r="H41" s="1502"/>
      <c r="I41" s="1499"/>
      <c r="J41" s="1502"/>
      <c r="K41" s="761"/>
      <c r="L41" s="1251"/>
      <c r="M41" s="1252"/>
      <c r="N41" s="1239"/>
      <c r="O41" s="1252"/>
      <c r="P41" s="3037" t="str">
        <f>A41</f>
        <v>成交单价（元/平方米）</v>
      </c>
      <c r="Q41" s="3037"/>
      <c r="R41" s="3033">
        <f>E41</f>
        <v>0</v>
      </c>
      <c r="S41" s="3033"/>
      <c r="T41" s="3033">
        <f>G41</f>
        <v>0</v>
      </c>
      <c r="U41" s="3033"/>
      <c r="V41" s="3033">
        <f>I41</f>
        <v>0</v>
      </c>
      <c r="W41" s="3033"/>
      <c r="X41" s="737"/>
      <c r="Y41" s="759"/>
      <c r="Z41" s="737"/>
      <c r="AA41" s="737"/>
      <c r="AB41" s="737"/>
      <c r="AC41" s="737"/>
    </row>
    <row r="42" spans="1:29" ht="15.75" thickBot="1">
      <c r="A42" s="467" t="s">
        <v>2453</v>
      </c>
      <c r="B42" s="468"/>
      <c r="C42" s="1503" t="e">
        <f>R43</f>
        <v>#DIV/0!</v>
      </c>
      <c r="D42" s="1504"/>
      <c r="E42" s="1505" t="e">
        <f>R42</f>
        <v>#DIV/0!</v>
      </c>
      <c r="F42" s="1505"/>
      <c r="G42" s="1503" t="e">
        <f>T42</f>
        <v>#DIV/0!</v>
      </c>
      <c r="H42" s="1504"/>
      <c r="I42" s="1505" t="e">
        <f>V42</f>
        <v>#DIV/0!</v>
      </c>
      <c r="J42" s="1504"/>
      <c r="K42" s="762"/>
      <c r="L42" s="1251"/>
      <c r="M42" s="1252"/>
      <c r="N42" s="1239"/>
      <c r="O42" s="1252"/>
      <c r="P42" s="3037" t="str">
        <f>A42</f>
        <v>比较价值（元/平方米）</v>
      </c>
      <c r="Q42" s="3037"/>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7"/>
      <c r="Y42" s="737"/>
      <c r="Z42" s="737"/>
      <c r="AA42" s="737"/>
      <c r="AB42" s="737"/>
      <c r="AC42" s="737"/>
    </row>
    <row r="43" spans="1:29" ht="15.75" thickBot="1">
      <c r="A43" s="473" t="s">
        <v>2476</v>
      </c>
      <c r="B43" s="474"/>
      <c r="C43" s="1507" t="e">
        <f>R43</f>
        <v>#DIV/0!</v>
      </c>
      <c r="D43" s="1507"/>
      <c r="E43" s="1507"/>
      <c r="F43" s="1507"/>
      <c r="G43" s="1507"/>
      <c r="H43" s="1507"/>
      <c r="I43" s="1507"/>
      <c r="J43" s="1507"/>
      <c r="K43" s="763"/>
      <c r="L43" s="1251"/>
      <c r="M43" s="1252"/>
      <c r="N43" s="1252"/>
      <c r="O43" s="1252"/>
      <c r="P43" s="3034" t="str">
        <f>A43</f>
        <v>估价对象XX用房的比较价值（楼面单价，元/平方米）</v>
      </c>
      <c r="Q43" s="3035"/>
      <c r="R43" s="3036" t="e">
        <f>IF(E1="售价",ROUND(AVERAGE(R42:V42),0),ROUND(AVERAGE(R42:V42),1))</f>
        <v>#DIV/0!</v>
      </c>
      <c r="S43" s="3036"/>
      <c r="T43" s="3036"/>
      <c r="U43" s="3036"/>
      <c r="V43" s="3036"/>
      <c r="W43" s="3036"/>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2458</v>
      </c>
      <c r="B51" s="737"/>
      <c r="C51" s="742"/>
      <c r="D51" s="742"/>
      <c r="E51" s="742"/>
      <c r="F51" s="743"/>
      <c r="G51" s="743"/>
      <c r="H51" s="742"/>
      <c r="I51" s="742"/>
      <c r="J51" s="742"/>
      <c r="K51" s="744"/>
      <c r="L51" s="745"/>
      <c r="M51" s="742"/>
      <c r="N51" s="742"/>
      <c r="O51" s="742"/>
      <c r="P51" s="484"/>
      <c r="Q51" s="485"/>
    </row>
    <row r="52" spans="1:17" s="489" customFormat="1" ht="15">
      <c r="A52" s="486" t="s">
        <v>2340</v>
      </c>
      <c r="B52" s="487"/>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2381</v>
      </c>
      <c r="B57" s="509" t="s">
        <v>2346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4"/>
      <c r="B87" s="553"/>
      <c r="C87" s="554"/>
      <c r="D87" s="554"/>
      <c r="E87" s="554"/>
      <c r="F87" s="554"/>
      <c r="G87" s="575"/>
      <c r="H87" s="575"/>
      <c r="I87" s="575"/>
      <c r="J87" s="575"/>
      <c r="K87" s="575"/>
      <c r="L87" s="575"/>
      <c r="M87" s="576"/>
      <c r="N87" s="1263"/>
      <c r="O87" s="1263"/>
      <c r="P87" s="22"/>
      <c r="Q87" s="485"/>
    </row>
    <row r="88" spans="1:17">
      <c r="A88" s="508" t="s">
        <v>2356</v>
      </c>
      <c r="B88" s="509" t="s">
        <v>2405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2409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2493</v>
      </c>
      <c r="B1" s="2472"/>
      <c r="C1" s="1724"/>
      <c r="D1" s="1725"/>
      <c r="E1" s="2374"/>
      <c r="F1" s="1726" t="s">
        <v>2325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1996</v>
      </c>
      <c r="B3" s="593" t="e">
        <f>IF(AND(D2="——",B37="元/平方米"),C39,ROUND(F3*C39/D3,0))</f>
        <v>#DIV/0!</v>
      </c>
      <c r="C3" s="379" t="s">
        <v>2326</v>
      </c>
      <c r="D3" s="378">
        <f>IF(C1="仅计算典型户型",'数据-取费表'!E5,'数据-取费表'!B5)</f>
        <v>194.17</v>
      </c>
      <c r="E3" s="1087" t="s">
        <v>2494</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509"/>
      <c r="M4" s="425"/>
      <c r="N4" s="425"/>
      <c r="O4" s="425"/>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509"/>
      <c r="M5" s="425"/>
      <c r="N5" s="425"/>
      <c r="O5" s="425"/>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509"/>
      <c r="M6" s="425"/>
      <c r="N6" s="425"/>
      <c r="O6" s="425"/>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51" t="s">
        <v>2341</v>
      </c>
      <c r="Q7" s="3059"/>
      <c r="R7" s="748" t="s">
        <v>25</v>
      </c>
      <c r="S7" s="749">
        <f t="shared" ref="S7:S14" si="0">F7</f>
        <v>0</v>
      </c>
      <c r="T7" s="748" t="s">
        <v>25</v>
      </c>
      <c r="U7" s="749">
        <f t="shared" ref="U7:U14" si="1">H7</f>
        <v>0</v>
      </c>
      <c r="V7" s="748" t="s">
        <v>25</v>
      </c>
      <c r="W7" s="749">
        <f t="shared" ref="W7:W14"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51" t="s">
        <v>2344</v>
      </c>
      <c r="Q8" s="3052"/>
      <c r="R8" s="748" t="s">
        <v>25</v>
      </c>
      <c r="S8" s="749">
        <f t="shared" si="0"/>
        <v>0</v>
      </c>
      <c r="T8" s="748" t="s">
        <v>25</v>
      </c>
      <c r="U8" s="749">
        <f t="shared" si="1"/>
        <v>0</v>
      </c>
      <c r="V8" s="748" t="s">
        <v>25</v>
      </c>
      <c r="W8" s="749">
        <f t="shared" si="2"/>
        <v>0</v>
      </c>
      <c r="X8" s="750"/>
      <c r="Y8" s="3051" t="s">
        <v>2344</v>
      </c>
      <c r="Z8" s="3052"/>
      <c r="AA8" s="751" t="e">
        <f t="shared" ref="AA8:AA36" si="3">D8/F8</f>
        <v>#DIV/0!</v>
      </c>
      <c r="AB8" s="751" t="e">
        <f t="shared" ref="AB8:AB36" si="4">D8/H8</f>
        <v>#DIV/0!</v>
      </c>
      <c r="AC8" s="751"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37" t="s">
        <v>2347</v>
      </c>
      <c r="Q9" s="1881" t="str">
        <f t="shared" ref="Q9:Q14" si="6">B9</f>
        <v>用途</v>
      </c>
      <c r="R9" s="748" t="s">
        <v>25</v>
      </c>
      <c r="S9" s="749">
        <f t="shared" si="0"/>
        <v>100</v>
      </c>
      <c r="T9" s="748" t="s">
        <v>25</v>
      </c>
      <c r="U9" s="749">
        <f t="shared" si="1"/>
        <v>100</v>
      </c>
      <c r="V9" s="748" t="s">
        <v>25</v>
      </c>
      <c r="W9" s="749">
        <f t="shared" si="2"/>
        <v>100</v>
      </c>
      <c r="X9" s="750"/>
      <c r="Y9" s="2875" t="s">
        <v>2348</v>
      </c>
      <c r="Z9" s="23" t="str">
        <f t="shared" ref="Z9:Z14" si="7">Q9</f>
        <v>用途</v>
      </c>
      <c r="AA9" s="751">
        <f t="shared" si="3"/>
        <v>1</v>
      </c>
      <c r="AB9" s="751">
        <f t="shared" si="4"/>
        <v>1</v>
      </c>
      <c r="AC9" s="751">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380" t="s">
        <v>2351</v>
      </c>
      <c r="B14" s="613" t="s">
        <v>2495</v>
      </c>
      <c r="C14" s="1475" t="str">
        <f>IF(B1="工业",估价对象房地状况!G4,估价对象房地状况!C6)</f>
        <v>估价对象周边道路状况较好、公共交通通达情况较好、有304路、386路、549路及地铁10号线、4号线等经过并设站、停车便捷程度较好，综合评价交通便捷度较好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0" t="s">
        <v>2352</v>
      </c>
      <c r="Q14" s="1893" t="str">
        <f t="shared" si="6"/>
        <v>交通便捷度</v>
      </c>
      <c r="R14" s="752" t="s">
        <v>25</v>
      </c>
      <c r="S14" s="753">
        <f t="shared" si="0"/>
        <v>100</v>
      </c>
      <c r="T14" s="752" t="s">
        <v>25</v>
      </c>
      <c r="U14" s="753">
        <f t="shared" si="1"/>
        <v>100</v>
      </c>
      <c r="V14" s="752" t="s">
        <v>25</v>
      </c>
      <c r="W14" s="753">
        <f t="shared" si="2"/>
        <v>100</v>
      </c>
      <c r="X14" s="1894"/>
      <c r="Y14" s="3040" t="s">
        <v>2352</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1"/>
      <c r="Q15" s="1893"/>
      <c r="R15" s="752"/>
      <c r="S15" s="753"/>
      <c r="T15" s="752"/>
      <c r="U15" s="753"/>
      <c r="V15" s="752"/>
      <c r="W15" s="753"/>
      <c r="X15" s="1894"/>
      <c r="Y15" s="3041"/>
      <c r="Z15" s="1896"/>
      <c r="AA15" s="1897">
        <v>1</v>
      </c>
      <c r="AB15" s="1897">
        <v>1</v>
      </c>
      <c r="AC15" s="1897">
        <v>1</v>
      </c>
    </row>
    <row r="16" spans="1:29" ht="42.75">
      <c r="A16" s="383"/>
      <c r="B16" s="615" t="s">
        <v>2467</v>
      </c>
      <c r="C16" s="1477" t="str">
        <f>IF(B1="工业",估价对象房地状况!G5,估价对象房地状况!C7)</f>
        <v>估价对象所在区域公共配套设施齐备情况较齐全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1"/>
      <c r="Q17" s="1893"/>
      <c r="R17" s="752"/>
      <c r="S17" s="753"/>
      <c r="T17" s="752"/>
      <c r="U17" s="753"/>
      <c r="V17" s="752"/>
      <c r="W17" s="753"/>
      <c r="X17" s="1894"/>
      <c r="Y17" s="3041"/>
      <c r="Z17" s="1896"/>
      <c r="AA17" s="1897">
        <v>1</v>
      </c>
      <c r="AB17" s="1897">
        <v>1</v>
      </c>
      <c r="AC17" s="1897">
        <v>1</v>
      </c>
    </row>
    <row r="18" spans="1:29" ht="42.75">
      <c r="A18" s="383"/>
      <c r="B18" s="617" t="s">
        <v>2468</v>
      </c>
      <c r="C18" s="1477" t="str">
        <f>IF(B1="工业",估价对象房地状况!G6,估价对象房地状况!C8)</f>
        <v>估价对象所在区域基础设施水平较高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1"/>
      <c r="Q19" s="1893"/>
      <c r="R19" s="752"/>
      <c r="S19" s="753"/>
      <c r="T19" s="752"/>
      <c r="U19" s="753"/>
      <c r="V19" s="752"/>
      <c r="W19" s="753"/>
      <c r="X19" s="1894"/>
      <c r="Y19" s="3041"/>
      <c r="Z19" s="1896"/>
      <c r="AA19" s="1897">
        <v>1</v>
      </c>
      <c r="AB19" s="1897">
        <v>1</v>
      </c>
      <c r="AC19" s="1897">
        <v>1</v>
      </c>
    </row>
    <row r="20" spans="1:29" ht="57">
      <c r="A20" s="383"/>
      <c r="B20" s="615" t="s">
        <v>2496</v>
      </c>
      <c r="C20" s="1477" t="str">
        <f>IF(B1="工业",估价对象房地状况!G7,估价对象房地状况!C9)</f>
        <v>区域自然环境：知春公园；人文环境：中国人民大学，较好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1"/>
      <c r="Q21" s="1893"/>
      <c r="R21" s="752"/>
      <c r="S21" s="753"/>
      <c r="T21" s="752"/>
      <c r="U21" s="753"/>
      <c r="V21" s="752"/>
      <c r="W21" s="753"/>
      <c r="X21" s="1894"/>
      <c r="Y21" s="3041"/>
      <c r="Z21" s="1896"/>
      <c r="AA21" s="1897">
        <v>1</v>
      </c>
      <c r="AB21" s="1897">
        <v>1</v>
      </c>
      <c r="AC21" s="1897">
        <v>1</v>
      </c>
    </row>
    <row r="22" spans="1:29" ht="15">
      <c r="A22" s="383"/>
      <c r="B22" s="615" t="s">
        <v>2497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1"/>
      <c r="Q24" s="1893">
        <f t="shared" ref="Q24:Q36"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635" t="s">
        <v>2356</v>
      </c>
      <c r="B26" s="27" t="s">
        <v>2498</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88" t="s">
        <v>2358</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45" t="s">
        <v>2358</v>
      </c>
      <c r="Z26" s="1896" t="str">
        <f t="shared" ref="Z26:Z36" si="15">Q26</f>
        <v>配套类型</v>
      </c>
      <c r="AA26" s="1897">
        <f t="shared" si="3"/>
        <v>1</v>
      </c>
      <c r="AB26" s="1897">
        <f t="shared" si="4"/>
        <v>1</v>
      </c>
      <c r="AC26" s="1897">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5"/>
      <c r="Q27" s="754" t="str">
        <f t="shared" si="11"/>
        <v>项目停车位配比</v>
      </c>
      <c r="R27" s="755" t="s">
        <v>25</v>
      </c>
      <c r="S27" s="756">
        <f t="shared" si="12"/>
        <v>100</v>
      </c>
      <c r="T27" s="755" t="s">
        <v>25</v>
      </c>
      <c r="U27" s="756">
        <f t="shared" si="13"/>
        <v>100</v>
      </c>
      <c r="V27" s="755" t="s">
        <v>25</v>
      </c>
      <c r="W27" s="756">
        <f t="shared" si="14"/>
        <v>100</v>
      </c>
      <c r="X27" s="757"/>
      <c r="Y27" s="3045"/>
      <c r="Z27" s="758" t="str">
        <f t="shared" si="15"/>
        <v>项目停车位配比</v>
      </c>
      <c r="AA27" s="1897">
        <f t="shared" si="3"/>
        <v>1</v>
      </c>
      <c r="AB27" s="1897">
        <f t="shared" si="4"/>
        <v>1</v>
      </c>
      <c r="AC27" s="1897">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5"/>
      <c r="Q28" s="1893" t="str">
        <f t="shared" si="11"/>
        <v>公共部分装修</v>
      </c>
      <c r="R28" s="752" t="s">
        <v>25</v>
      </c>
      <c r="S28" s="753">
        <f t="shared" si="12"/>
        <v>100</v>
      </c>
      <c r="T28" s="752" t="s">
        <v>25</v>
      </c>
      <c r="U28" s="753">
        <f t="shared" si="13"/>
        <v>100</v>
      </c>
      <c r="V28" s="752" t="s">
        <v>25</v>
      </c>
      <c r="W28" s="753">
        <f t="shared" si="14"/>
        <v>100</v>
      </c>
      <c r="X28" s="1894"/>
      <c r="Y28" s="3045"/>
      <c r="Z28" s="1896" t="str">
        <f t="shared" si="15"/>
        <v>公共部分装修</v>
      </c>
      <c r="AA28" s="1897">
        <f t="shared" si="3"/>
        <v>1</v>
      </c>
      <c r="AB28" s="1897">
        <f t="shared" si="4"/>
        <v>1</v>
      </c>
      <c r="AC28" s="1897">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5"/>
      <c r="Q29" s="1893" t="str">
        <f t="shared" si="11"/>
        <v>成新率</v>
      </c>
      <c r="R29" s="752" t="s">
        <v>25</v>
      </c>
      <c r="S29" s="753" t="e">
        <f t="shared" si="12"/>
        <v>#N/A</v>
      </c>
      <c r="T29" s="752" t="s">
        <v>25</v>
      </c>
      <c r="U29" s="753" t="e">
        <f t="shared" si="13"/>
        <v>#N/A</v>
      </c>
      <c r="V29" s="752" t="s">
        <v>25</v>
      </c>
      <c r="W29" s="753" t="e">
        <f t="shared" si="14"/>
        <v>#N/A</v>
      </c>
      <c r="X29" s="1894"/>
      <c r="Y29" s="3045"/>
      <c r="Z29" s="1896" t="str">
        <f t="shared" si="15"/>
        <v>成新率</v>
      </c>
      <c r="AA29" s="1897" t="e">
        <f t="shared" si="3"/>
        <v>#N/A</v>
      </c>
      <c r="AB29" s="1897" t="e">
        <f t="shared" si="4"/>
        <v>#N/A</v>
      </c>
      <c r="AC29" s="1897"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45"/>
      <c r="Q30" s="1893" t="str">
        <f t="shared" si="11"/>
        <v>物业等级</v>
      </c>
      <c r="R30" s="752" t="s">
        <v>25</v>
      </c>
      <c r="S30" s="753">
        <f t="shared" si="12"/>
        <v>100</v>
      </c>
      <c r="T30" s="752" t="s">
        <v>25</v>
      </c>
      <c r="U30" s="753">
        <f t="shared" si="13"/>
        <v>100</v>
      </c>
      <c r="V30" s="752" t="s">
        <v>25</v>
      </c>
      <c r="W30" s="753">
        <f t="shared" si="14"/>
        <v>100</v>
      </c>
      <c r="X30" s="1894"/>
      <c r="Y30" s="3045"/>
      <c r="Z30" s="1896" t="str">
        <f t="shared" si="15"/>
        <v>物业等级</v>
      </c>
      <c r="AA30" s="1897">
        <f t="shared" si="3"/>
        <v>1</v>
      </c>
      <c r="AB30" s="1897">
        <f t="shared" si="4"/>
        <v>1</v>
      </c>
      <c r="AC30" s="1897">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5"/>
      <c r="Q31" s="1881" t="str">
        <f t="shared" si="11"/>
        <v>停车位面积</v>
      </c>
      <c r="R31" s="748" t="s">
        <v>25</v>
      </c>
      <c r="S31" s="749" t="e">
        <f t="shared" si="12"/>
        <v>#N/A</v>
      </c>
      <c r="T31" s="748" t="s">
        <v>25</v>
      </c>
      <c r="U31" s="749" t="e">
        <f t="shared" si="13"/>
        <v>#N/A</v>
      </c>
      <c r="V31" s="748" t="s">
        <v>25</v>
      </c>
      <c r="W31" s="749" t="e">
        <f t="shared" si="14"/>
        <v>#N/A</v>
      </c>
      <c r="X31" s="750"/>
      <c r="Y31" s="3045"/>
      <c r="Z31" s="23" t="str">
        <f t="shared" si="15"/>
        <v>停车位面积</v>
      </c>
      <c r="AA31" s="751" t="e">
        <f t="shared" si="3"/>
        <v>#N/A</v>
      </c>
      <c r="AB31" s="751" t="e">
        <f t="shared" si="4"/>
        <v>#N/A</v>
      </c>
      <c r="AC31" s="751"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5" t="s">
        <v>2358</v>
      </c>
      <c r="Q32" s="1893" t="str">
        <f t="shared" si="11"/>
        <v>车位类型</v>
      </c>
      <c r="R32" s="752" t="s">
        <v>25</v>
      </c>
      <c r="S32" s="753">
        <f t="shared" si="12"/>
        <v>100</v>
      </c>
      <c r="T32" s="752" t="s">
        <v>25</v>
      </c>
      <c r="U32" s="753">
        <f t="shared" si="13"/>
        <v>100</v>
      </c>
      <c r="V32" s="752" t="s">
        <v>25</v>
      </c>
      <c r="W32" s="753">
        <f t="shared" si="14"/>
        <v>100</v>
      </c>
      <c r="X32" s="1894"/>
      <c r="Y32" s="3045" t="s">
        <v>2358</v>
      </c>
      <c r="Z32" s="1896" t="str">
        <f t="shared" si="15"/>
        <v>车位类型</v>
      </c>
      <c r="AA32" s="1897">
        <f t="shared" si="3"/>
        <v>1</v>
      </c>
      <c r="AB32" s="1897">
        <f t="shared" si="4"/>
        <v>1</v>
      </c>
      <c r="AC32" s="1897">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5"/>
      <c r="Q33" s="1893" t="str">
        <f t="shared" si="11"/>
        <v>是否直接入户</v>
      </c>
      <c r="R33" s="752" t="s">
        <v>25</v>
      </c>
      <c r="S33" s="753">
        <f t="shared" si="12"/>
        <v>100</v>
      </c>
      <c r="T33" s="752" t="s">
        <v>25</v>
      </c>
      <c r="U33" s="753">
        <f t="shared" si="13"/>
        <v>100</v>
      </c>
      <c r="V33" s="752" t="s">
        <v>25</v>
      </c>
      <c r="W33" s="753">
        <f t="shared" si="14"/>
        <v>100</v>
      </c>
      <c r="X33" s="1894"/>
      <c r="Y33" s="3045"/>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5"/>
      <c r="Q35" s="754">
        <f t="shared" si="11"/>
        <v>111</v>
      </c>
      <c r="R35" s="755" t="s">
        <v>25</v>
      </c>
      <c r="S35" s="756">
        <f t="shared" si="12"/>
        <v>100</v>
      </c>
      <c r="T35" s="755" t="s">
        <v>25</v>
      </c>
      <c r="U35" s="756">
        <f t="shared" si="13"/>
        <v>100</v>
      </c>
      <c r="V35" s="755" t="s">
        <v>25</v>
      </c>
      <c r="W35" s="756">
        <f t="shared" si="14"/>
        <v>100</v>
      </c>
      <c r="X35" s="757"/>
      <c r="Y35" s="3045"/>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5"/>
      <c r="Q36" s="1893">
        <f t="shared" si="11"/>
        <v>111</v>
      </c>
      <c r="R36" s="752" t="s">
        <v>25</v>
      </c>
      <c r="S36" s="753">
        <f t="shared" si="12"/>
        <v>100</v>
      </c>
      <c r="T36" s="752" t="s">
        <v>25</v>
      </c>
      <c r="U36" s="753">
        <f t="shared" si="13"/>
        <v>100</v>
      </c>
      <c r="V36" s="752" t="s">
        <v>25</v>
      </c>
      <c r="W36" s="753">
        <f t="shared" si="14"/>
        <v>100</v>
      </c>
      <c r="X36" s="1894"/>
      <c r="Y36" s="3045"/>
      <c r="Z36" s="1896">
        <f t="shared" si="15"/>
        <v>111</v>
      </c>
      <c r="AA36" s="1897">
        <f t="shared" si="3"/>
        <v>1</v>
      </c>
      <c r="AB36" s="1897">
        <f t="shared" si="4"/>
        <v>1</v>
      </c>
      <c r="AC36" s="1897">
        <f t="shared" si="5"/>
        <v>1</v>
      </c>
    </row>
    <row r="37" spans="1:29" ht="15">
      <c r="A37" s="460" t="s">
        <v>2506</v>
      </c>
      <c r="B37" s="1088" t="s">
        <v>2507</v>
      </c>
      <c r="C37" s="1497" t="s">
        <v>1</v>
      </c>
      <c r="D37" s="1498"/>
      <c r="E37" s="1499"/>
      <c r="F37" s="1500"/>
      <c r="G37" s="1501"/>
      <c r="H37" s="1502"/>
      <c r="I37" s="1499"/>
      <c r="J37" s="1502"/>
      <c r="K37" s="603"/>
      <c r="L37" s="1520"/>
      <c r="M37" s="737"/>
      <c r="N37" s="425"/>
      <c r="O37" s="737"/>
      <c r="P37" s="3037" t="str">
        <f>A37</f>
        <v>成交单价</v>
      </c>
      <c r="Q37" s="3037"/>
      <c r="R37" s="3033">
        <f>E37</f>
        <v>0</v>
      </c>
      <c r="S37" s="3033"/>
      <c r="T37" s="3033">
        <f>G37</f>
        <v>0</v>
      </c>
      <c r="U37" s="3033"/>
      <c r="V37" s="3033">
        <f>I37</f>
        <v>0</v>
      </c>
      <c r="W37" s="3033"/>
      <c r="X37" s="737"/>
      <c r="Y37" s="759"/>
      <c r="Z37" s="737"/>
      <c r="AA37" s="737"/>
      <c r="AB37" s="737"/>
      <c r="AC37" s="737"/>
    </row>
    <row r="38" spans="1:29" ht="15.75" thickBot="1">
      <c r="A38" s="467" t="s">
        <v>2508</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37" t="str">
        <f>A38</f>
        <v>比较价值</v>
      </c>
      <c r="Q38" s="3037"/>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7"/>
      <c r="Y38" s="737"/>
      <c r="Z38" s="737"/>
      <c r="AA38" s="737"/>
      <c r="AB38" s="737"/>
      <c r="AC38" s="737"/>
    </row>
    <row r="39" spans="1:29" ht="15.75" thickBot="1">
      <c r="A39" s="473" t="s">
        <v>2509</v>
      </c>
      <c r="B39" s="474"/>
      <c r="C39" s="1507" t="e">
        <f>R39</f>
        <v>#DIV/0!</v>
      </c>
      <c r="D39" s="1507"/>
      <c r="E39" s="1507"/>
      <c r="F39" s="1507"/>
      <c r="G39" s="1507"/>
      <c r="H39" s="1507"/>
      <c r="I39" s="1507"/>
      <c r="J39" s="1507"/>
      <c r="K39" s="605"/>
      <c r="L39" s="1520"/>
      <c r="M39" s="737"/>
      <c r="N39" s="737"/>
      <c r="O39" s="737"/>
      <c r="P39" s="3034" t="str">
        <f>A39</f>
        <v>估价对象XX用房的比较价值（楼面单价，元/平方米）</v>
      </c>
      <c r="Q39" s="3035"/>
      <c r="R39" s="3036" t="e">
        <f>IF(E1="售价",ROUND(AVERAGE(R38:V38),0),ROUND(AVERAGE(R38:V38),1))</f>
        <v>#DIV/0!</v>
      </c>
      <c r="S39" s="3036"/>
      <c r="T39" s="3036"/>
      <c r="U39" s="3036"/>
      <c r="V39" s="3036"/>
      <c r="W39" s="3036"/>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2513</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2514</v>
      </c>
      <c r="B48" s="487"/>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2493</v>
      </c>
      <c r="B1" s="2472"/>
      <c r="C1" s="1724"/>
      <c r="D1" s="1734"/>
      <c r="E1" s="2374"/>
      <c r="F1" s="1735" t="s">
        <v>2325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1995</v>
      </c>
      <c r="B2" s="1720" t="e">
        <f ca="1">IF(D2="——",IF(C2="元",ROUND(C37*D3,0),ROUND(C37*D3/10000,0)),IF(C2="元",ROUND(C37*D3,0),ROUND(C37*D3/10000,0))-E2)</f>
        <v>#DIV/0!</v>
      </c>
      <c r="C2" s="163" t="str">
        <f>'数据-取费表'!B3</f>
        <v>元</v>
      </c>
      <c r="D2" s="2376"/>
      <c r="E2" s="1733"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1996</v>
      </c>
      <c r="B3" s="593" t="e">
        <f ca="1">ROUND(IF(D2="——",C37,IF(C2="万元",B2*10000/D3,B2/D3)),0)</f>
        <v>#DIV/0!</v>
      </c>
      <c r="C3" s="379" t="s">
        <v>2326</v>
      </c>
      <c r="D3" s="378">
        <f>IF(C1="仅计算典型户型",'数据-取费表'!E5,'数据-取费表'!B5)</f>
        <v>194.17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51" t="s">
        <v>2341</v>
      </c>
      <c r="Q7" s="3059"/>
      <c r="R7" s="748" t="s">
        <v>25</v>
      </c>
      <c r="S7" s="749">
        <f t="shared" ref="S7:S14" si="0">F7</f>
        <v>0</v>
      </c>
      <c r="T7" s="748" t="s">
        <v>25</v>
      </c>
      <c r="U7" s="749">
        <f t="shared" ref="U7:U14" si="1">H7</f>
        <v>0</v>
      </c>
      <c r="V7" s="748" t="s">
        <v>25</v>
      </c>
      <c r="W7" s="749">
        <f t="shared" ref="W7:W14" si="2">J7</f>
        <v>0</v>
      </c>
      <c r="X7" s="750"/>
      <c r="Y7" s="3051" t="s">
        <v>2341</v>
      </c>
      <c r="Z7" s="3052"/>
      <c r="AA7" s="751" t="e">
        <f>D7/F7</f>
        <v>#DIV/0!</v>
      </c>
      <c r="AB7" s="751" t="e">
        <f>D7/H7</f>
        <v>#DIV/0!</v>
      </c>
      <c r="AC7" s="751"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34" si="3">D8/F8</f>
        <v>#DIV/0!</v>
      </c>
      <c r="AB8" s="751" t="e">
        <f t="shared" ref="AB8:AB34" si="4">D8/H8</f>
        <v>#DIV/0!</v>
      </c>
      <c r="AC8" s="751"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37" t="s">
        <v>2347</v>
      </c>
      <c r="Q9" s="1881" t="str">
        <f t="shared" ref="Q9:Q14" si="6">B9</f>
        <v>用途</v>
      </c>
      <c r="R9" s="748" t="s">
        <v>25</v>
      </c>
      <c r="S9" s="749">
        <f t="shared" si="0"/>
        <v>100</v>
      </c>
      <c r="T9" s="748" t="s">
        <v>25</v>
      </c>
      <c r="U9" s="749">
        <f t="shared" si="1"/>
        <v>100</v>
      </c>
      <c r="V9" s="748" t="s">
        <v>25</v>
      </c>
      <c r="W9" s="749">
        <f t="shared" si="2"/>
        <v>100</v>
      </c>
      <c r="X9" s="750"/>
      <c r="Y9" s="2875" t="s">
        <v>2348</v>
      </c>
      <c r="Z9" s="23" t="str">
        <f t="shared" ref="Z9:Z14" si="7">Q9</f>
        <v>用途</v>
      </c>
      <c r="AA9" s="751">
        <f t="shared" si="3"/>
        <v>1</v>
      </c>
      <c r="AB9" s="751">
        <f t="shared" si="4"/>
        <v>1</v>
      </c>
      <c r="AC9" s="751">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419" t="s">
        <v>2351</v>
      </c>
      <c r="B14" s="26" t="s">
        <v>2495</v>
      </c>
      <c r="C14" s="2471"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0" t="s">
        <v>2352</v>
      </c>
      <c r="Q14" s="1893" t="str">
        <f t="shared" si="6"/>
        <v>交通便捷度</v>
      </c>
      <c r="R14" s="752" t="s">
        <v>25</v>
      </c>
      <c r="S14" s="753">
        <f t="shared" si="0"/>
        <v>100</v>
      </c>
      <c r="T14" s="752" t="s">
        <v>25</v>
      </c>
      <c r="U14" s="753">
        <f t="shared" si="1"/>
        <v>100</v>
      </c>
      <c r="V14" s="752" t="s">
        <v>25</v>
      </c>
      <c r="W14" s="753">
        <f t="shared" si="2"/>
        <v>100</v>
      </c>
      <c r="X14" s="1894"/>
      <c r="Y14" s="3040" t="s">
        <v>2352</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1"/>
      <c r="Q15" s="1893"/>
      <c r="R15" s="752"/>
      <c r="S15" s="753"/>
      <c r="T15" s="752"/>
      <c r="U15" s="753"/>
      <c r="V15" s="752"/>
      <c r="W15" s="753"/>
      <c r="X15" s="1894"/>
      <c r="Y15" s="3041"/>
      <c r="Z15" s="1896"/>
      <c r="AA15" s="1897">
        <v>1</v>
      </c>
      <c r="AB15" s="1897">
        <v>1</v>
      </c>
      <c r="AC15" s="1897">
        <v>1</v>
      </c>
    </row>
    <row r="16" spans="1:29" ht="42.75">
      <c r="A16" s="408"/>
      <c r="B16" s="615" t="s">
        <v>2467</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1"/>
      <c r="Q17" s="1893"/>
      <c r="R17" s="752"/>
      <c r="S17" s="753"/>
      <c r="T17" s="752"/>
      <c r="U17" s="753"/>
      <c r="V17" s="752"/>
      <c r="W17" s="753"/>
      <c r="X17" s="1894"/>
      <c r="Y17" s="3041"/>
      <c r="Z17" s="1896"/>
      <c r="AA17" s="1897">
        <v>1</v>
      </c>
      <c r="AB17" s="1897">
        <v>1</v>
      </c>
      <c r="AC17" s="1897">
        <v>1</v>
      </c>
    </row>
    <row r="18" spans="1:29" ht="42.75">
      <c r="A18" s="408"/>
      <c r="B18" s="617" t="s">
        <v>2468</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1"/>
      <c r="Q19" s="1893"/>
      <c r="R19" s="752"/>
      <c r="S19" s="753"/>
      <c r="T19" s="752"/>
      <c r="U19" s="753"/>
      <c r="V19" s="752"/>
      <c r="W19" s="753"/>
      <c r="X19" s="1894"/>
      <c r="Y19" s="3041"/>
      <c r="Z19" s="1896"/>
      <c r="AA19" s="1897">
        <v>1</v>
      </c>
      <c r="AB19" s="1897">
        <v>1</v>
      </c>
      <c r="AC19" s="1897">
        <v>1</v>
      </c>
    </row>
    <row r="20" spans="1:29" ht="57">
      <c r="A20" s="408"/>
      <c r="B20" s="431" t="s">
        <v>2496</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1"/>
      <c r="Q21" s="1893"/>
      <c r="R21" s="752"/>
      <c r="S21" s="753"/>
      <c r="T21" s="752"/>
      <c r="U21" s="753"/>
      <c r="V21" s="752"/>
      <c r="W21" s="753"/>
      <c r="X21" s="1894"/>
      <c r="Y21" s="3041"/>
      <c r="Z21" s="1896"/>
      <c r="AA21" s="1897">
        <v>1</v>
      </c>
      <c r="AB21" s="1897">
        <v>1</v>
      </c>
      <c r="AC21" s="1897">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1"/>
      <c r="Q24" s="1893">
        <f t="shared" ref="Q24:Q34"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447" t="s">
        <v>2356</v>
      </c>
      <c r="B26" s="28" t="s">
        <v>2500</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88" t="s">
        <v>2358</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45" t="s">
        <v>2358</v>
      </c>
      <c r="Z26" s="1896" t="str">
        <f t="shared" ref="Z26:Z34" si="15">Q26</f>
        <v>公共部分装修</v>
      </c>
      <c r="AA26" s="1897">
        <f t="shared" si="3"/>
        <v>1</v>
      </c>
      <c r="AB26" s="1897">
        <f t="shared" si="4"/>
        <v>1</v>
      </c>
      <c r="AC26" s="1897">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5"/>
      <c r="Q27" s="754" t="str">
        <f t="shared" si="11"/>
        <v>成新率</v>
      </c>
      <c r="R27" s="755" t="s">
        <v>25</v>
      </c>
      <c r="S27" s="756" t="e">
        <f t="shared" si="12"/>
        <v>#N/A</v>
      </c>
      <c r="T27" s="755" t="s">
        <v>25</v>
      </c>
      <c r="U27" s="756" t="e">
        <f t="shared" si="13"/>
        <v>#N/A</v>
      </c>
      <c r="V27" s="755" t="s">
        <v>25</v>
      </c>
      <c r="W27" s="756" t="e">
        <f t="shared" si="14"/>
        <v>#N/A</v>
      </c>
      <c r="X27" s="757"/>
      <c r="Y27" s="3045"/>
      <c r="Z27" s="758" t="str">
        <f t="shared" si="15"/>
        <v>成新率</v>
      </c>
      <c r="AA27" s="1897" t="e">
        <f t="shared" si="3"/>
        <v>#N/A</v>
      </c>
      <c r="AB27" s="1897" t="e">
        <f t="shared" si="4"/>
        <v>#N/A</v>
      </c>
      <c r="AC27" s="1897"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5"/>
      <c r="Q28" s="1893" t="str">
        <f t="shared" si="11"/>
        <v>物业等级</v>
      </c>
      <c r="R28" s="752" t="s">
        <v>25</v>
      </c>
      <c r="S28" s="753">
        <f t="shared" si="12"/>
        <v>100</v>
      </c>
      <c r="T28" s="752" t="s">
        <v>25</v>
      </c>
      <c r="U28" s="753">
        <f t="shared" si="13"/>
        <v>100</v>
      </c>
      <c r="V28" s="752" t="s">
        <v>25</v>
      </c>
      <c r="W28" s="753">
        <f t="shared" si="14"/>
        <v>100</v>
      </c>
      <c r="X28" s="1894"/>
      <c r="Y28" s="3045"/>
      <c r="Z28" s="1896" t="str">
        <f t="shared" si="15"/>
        <v>物业等级</v>
      </c>
      <c r="AA28" s="1897">
        <f t="shared" si="3"/>
        <v>1</v>
      </c>
      <c r="AB28" s="1897">
        <f t="shared" si="4"/>
        <v>1</v>
      </c>
      <c r="AC28" s="1897">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5"/>
      <c r="Q29" s="1893" t="str">
        <f t="shared" si="11"/>
        <v>有无电梯</v>
      </c>
      <c r="R29" s="752" t="s">
        <v>25</v>
      </c>
      <c r="S29" s="753">
        <f t="shared" si="12"/>
        <v>100</v>
      </c>
      <c r="T29" s="752" t="s">
        <v>25</v>
      </c>
      <c r="U29" s="753">
        <f t="shared" si="13"/>
        <v>100</v>
      </c>
      <c r="V29" s="752" t="s">
        <v>25</v>
      </c>
      <c r="W29" s="753">
        <f t="shared" si="14"/>
        <v>100</v>
      </c>
      <c r="X29" s="1894"/>
      <c r="Y29" s="3045"/>
      <c r="Z29" s="1896" t="str">
        <f t="shared" si="15"/>
        <v>有无电梯</v>
      </c>
      <c r="AA29" s="1897">
        <f t="shared" si="3"/>
        <v>1</v>
      </c>
      <c r="AB29" s="1897">
        <f t="shared" si="4"/>
        <v>1</v>
      </c>
      <c r="AC29" s="1897">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5"/>
      <c r="Q30" s="1893" t="str">
        <f t="shared" si="11"/>
        <v>建筑面积</v>
      </c>
      <c r="R30" s="752" t="s">
        <v>25</v>
      </c>
      <c r="S30" s="753" t="e">
        <f t="shared" si="12"/>
        <v>#N/A</v>
      </c>
      <c r="T30" s="752" t="s">
        <v>25</v>
      </c>
      <c r="U30" s="753" t="e">
        <f t="shared" si="13"/>
        <v>#N/A</v>
      </c>
      <c r="V30" s="752" t="s">
        <v>25</v>
      </c>
      <c r="W30" s="753" t="e">
        <f t="shared" si="14"/>
        <v>#N/A</v>
      </c>
      <c r="X30" s="1894"/>
      <c r="Y30" s="3045"/>
      <c r="Z30" s="1896" t="str">
        <f t="shared" si="15"/>
        <v>建筑面积</v>
      </c>
      <c r="AA30" s="1897" t="e">
        <f t="shared" si="3"/>
        <v>#N/A</v>
      </c>
      <c r="AB30" s="1897" t="e">
        <f t="shared" si="4"/>
        <v>#N/A</v>
      </c>
      <c r="AC30" s="1897"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5"/>
      <c r="Q31" s="1881" t="str">
        <f t="shared" si="11"/>
        <v>是否封闭</v>
      </c>
      <c r="R31" s="748" t="s">
        <v>25</v>
      </c>
      <c r="S31" s="749">
        <f t="shared" si="12"/>
        <v>100</v>
      </c>
      <c r="T31" s="748" t="s">
        <v>25</v>
      </c>
      <c r="U31" s="749">
        <f t="shared" si="13"/>
        <v>100</v>
      </c>
      <c r="V31" s="748" t="s">
        <v>25</v>
      </c>
      <c r="W31" s="749">
        <f t="shared" si="14"/>
        <v>100</v>
      </c>
      <c r="X31" s="750"/>
      <c r="Y31" s="3045"/>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5" t="s">
        <v>2358</v>
      </c>
      <c r="Q32" s="1893">
        <f t="shared" si="11"/>
        <v>111</v>
      </c>
      <c r="R32" s="752" t="s">
        <v>25</v>
      </c>
      <c r="S32" s="753">
        <f t="shared" si="12"/>
        <v>100</v>
      </c>
      <c r="T32" s="752" t="s">
        <v>25</v>
      </c>
      <c r="U32" s="753">
        <f t="shared" si="13"/>
        <v>100</v>
      </c>
      <c r="V32" s="752" t="s">
        <v>25</v>
      </c>
      <c r="W32" s="753">
        <f t="shared" si="14"/>
        <v>100</v>
      </c>
      <c r="X32" s="1894"/>
      <c r="Y32" s="3045" t="s">
        <v>2358</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5"/>
      <c r="Q33" s="1893">
        <f t="shared" si="11"/>
        <v>111</v>
      </c>
      <c r="R33" s="752" t="s">
        <v>25</v>
      </c>
      <c r="S33" s="753">
        <f t="shared" si="12"/>
        <v>100</v>
      </c>
      <c r="T33" s="752" t="s">
        <v>25</v>
      </c>
      <c r="U33" s="753">
        <f t="shared" si="13"/>
        <v>100</v>
      </c>
      <c r="V33" s="752" t="s">
        <v>25</v>
      </c>
      <c r="W33" s="753">
        <f t="shared" si="14"/>
        <v>100</v>
      </c>
      <c r="X33" s="1894"/>
      <c r="Y33" s="3045"/>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ht="15">
      <c r="A35" s="460" t="s">
        <v>2370</v>
      </c>
      <c r="B35" s="461"/>
      <c r="C35" s="1497" t="s">
        <v>1</v>
      </c>
      <c r="D35" s="1498"/>
      <c r="E35" s="1499"/>
      <c r="F35" s="1500"/>
      <c r="G35" s="1501"/>
      <c r="H35" s="1502"/>
      <c r="I35" s="1499"/>
      <c r="J35" s="1502"/>
      <c r="K35" s="761"/>
      <c r="L35" s="1251"/>
      <c r="M35" s="1252"/>
      <c r="N35" s="1239"/>
      <c r="O35" s="1252"/>
      <c r="P35" s="3037" t="str">
        <f>A35</f>
        <v>成交单价（元/平方米）</v>
      </c>
      <c r="Q35" s="3037"/>
      <c r="R35" s="3033">
        <f>E35</f>
        <v>0</v>
      </c>
      <c r="S35" s="3033"/>
      <c r="T35" s="3033">
        <f>G35</f>
        <v>0</v>
      </c>
      <c r="U35" s="3033"/>
      <c r="V35" s="3033">
        <f>I35</f>
        <v>0</v>
      </c>
      <c r="W35" s="3033"/>
      <c r="X35" s="737"/>
      <c r="Y35" s="759"/>
      <c r="Z35" s="737"/>
      <c r="AA35" s="737"/>
      <c r="AB35" s="737"/>
      <c r="AC35" s="737"/>
    </row>
    <row r="36" spans="1:29" ht="15.75" thickBot="1">
      <c r="A36" s="467" t="s">
        <v>2453</v>
      </c>
      <c r="B36" s="468"/>
      <c r="C36" s="1503" t="e">
        <f>R37</f>
        <v>#DIV/0!</v>
      </c>
      <c r="D36" s="1504"/>
      <c r="E36" s="1505" t="e">
        <f>R36</f>
        <v>#DIV/0!</v>
      </c>
      <c r="F36" s="1505"/>
      <c r="G36" s="1503" t="e">
        <f>T36</f>
        <v>#DIV/0!</v>
      </c>
      <c r="H36" s="1504"/>
      <c r="I36" s="1505" t="e">
        <f>V36</f>
        <v>#DIV/0!</v>
      </c>
      <c r="J36" s="1504"/>
      <c r="K36" s="762"/>
      <c r="L36" s="1251"/>
      <c r="M36" s="1252"/>
      <c r="N36" s="1239"/>
      <c r="O36" s="1252"/>
      <c r="P36" s="3037" t="str">
        <f>A36</f>
        <v>比较价值（元/平方米）</v>
      </c>
      <c r="Q36" s="3037"/>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7"/>
      <c r="Y36" s="737"/>
      <c r="Z36" s="737"/>
      <c r="AA36" s="737"/>
      <c r="AB36" s="737"/>
      <c r="AC36" s="737"/>
    </row>
    <row r="37" spans="1:29" ht="15.75" thickBot="1">
      <c r="A37" s="473" t="s">
        <v>2476</v>
      </c>
      <c r="B37" s="474"/>
      <c r="C37" s="1507" t="e">
        <f>R37</f>
        <v>#DIV/0!</v>
      </c>
      <c r="D37" s="1507"/>
      <c r="E37" s="1507"/>
      <c r="F37" s="1507"/>
      <c r="G37" s="1507"/>
      <c r="H37" s="1507"/>
      <c r="I37" s="1507"/>
      <c r="J37" s="1507"/>
      <c r="K37" s="763"/>
      <c r="L37" s="1251"/>
      <c r="M37" s="1252"/>
      <c r="N37" s="1252"/>
      <c r="O37" s="1252"/>
      <c r="P37" s="3034" t="str">
        <f>A37</f>
        <v>估价对象XX用房的比较价值（楼面单价，元/平方米）</v>
      </c>
      <c r="Q37" s="3035"/>
      <c r="R37" s="3036" t="e">
        <f>IF(E1="售价",ROUND(AVERAGE(R36:V36),0),ROUND(AVERAGE(R36:V36),1))</f>
        <v>#DIV/0!</v>
      </c>
      <c r="S37" s="3036"/>
      <c r="T37" s="3036"/>
      <c r="U37" s="3036"/>
      <c r="V37" s="3036"/>
      <c r="W37" s="3036"/>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2458</v>
      </c>
      <c r="B45" s="737"/>
      <c r="C45" s="742"/>
      <c r="D45" s="742"/>
      <c r="E45" s="742"/>
      <c r="F45" s="743"/>
      <c r="G45" s="743"/>
      <c r="H45" s="742"/>
      <c r="I45" s="742"/>
      <c r="J45" s="742"/>
      <c r="K45" s="744"/>
      <c r="L45" s="745"/>
      <c r="M45" s="742"/>
      <c r="N45" s="742"/>
      <c r="O45" s="742"/>
      <c r="P45" s="484"/>
      <c r="Q45" s="485"/>
    </row>
    <row r="46" spans="1:29" s="489" customFormat="1" ht="15">
      <c r="A46" s="486" t="s">
        <v>2340</v>
      </c>
      <c r="B46" s="487"/>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2381</v>
      </c>
      <c r="B51" s="509" t="s">
        <v>2346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2356</v>
      </c>
      <c r="B77" s="509" t="s">
        <v>2409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2519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2528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3"/>
      <c r="E1" s="733"/>
      <c r="F1" s="732" t="s">
        <v>2325</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1995</v>
      </c>
      <c r="B2" s="654" t="e">
        <f>F66</f>
        <v>#DIV/0!</v>
      </c>
      <c r="C2" s="731" t="s">
        <v>2531</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1996</v>
      </c>
      <c r="B3" s="593" t="e">
        <f>ROUND(B2/'数据-取费表'!B5,0)</f>
        <v>#DIV/0!</v>
      </c>
      <c r="C3" s="731" t="s">
        <v>2532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30"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30"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30" s="35" customFormat="1" ht="15.75" thickBot="1">
      <c r="A7" s="387" t="s">
        <v>2340</v>
      </c>
      <c r="B7" s="388"/>
      <c r="C7" s="389">
        <f>'数据-取费表'!B2</f>
        <v>43916</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5" si="3">D8/F8</f>
        <v>#DIV/0!</v>
      </c>
      <c r="AB8" s="751" t="e">
        <f t="shared" ref="AB8:AB45" si="4">D8/H8</f>
        <v>#DIV/0!</v>
      </c>
      <c r="AC8" s="751" t="e">
        <f t="shared" ref="AC8:AC45" si="5">D8/J8</f>
        <v>#DIV/0!</v>
      </c>
    </row>
    <row r="9" spans="1:30" s="35" customFormat="1">
      <c r="A9" s="395" t="s">
        <v>2345</v>
      </c>
      <c r="B9" s="28" t="s">
        <v>2346</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30" s="407" customFormat="1" ht="27">
      <c r="A10" s="401"/>
      <c r="B10" s="402" t="s">
        <v>2349</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30" s="35" customFormat="1" ht="15">
      <c r="A12" s="411"/>
      <c r="B12" s="2391" t="s">
        <v>2534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37"/>
      <c r="Q12" s="1881" t="str">
        <f t="shared" si="6"/>
        <v>配建</v>
      </c>
      <c r="R12" s="748" t="s">
        <v>25</v>
      </c>
      <c r="S12" s="749">
        <f t="shared" si="0"/>
        <v>100</v>
      </c>
      <c r="T12" s="748" t="s">
        <v>25</v>
      </c>
      <c r="U12" s="749">
        <f t="shared" si="1"/>
        <v>100</v>
      </c>
      <c r="V12" s="748" t="s">
        <v>25</v>
      </c>
      <c r="W12" s="749">
        <f t="shared" si="2"/>
        <v>100</v>
      </c>
      <c r="X12" s="750"/>
      <c r="Y12" s="2875"/>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D14/F14</f>
        <v>1</v>
      </c>
      <c r="AB14" s="751">
        <f>D14/H14</f>
        <v>1</v>
      </c>
      <c r="AC14" s="751">
        <f>D14/J14</f>
        <v>1</v>
      </c>
    </row>
    <row r="15" spans="1:30" ht="99.75">
      <c r="A15" s="380" t="s">
        <v>2351</v>
      </c>
      <c r="B15" s="1482" t="s">
        <v>1731</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0" t="s">
        <v>2352</v>
      </c>
      <c r="Q15" s="1893" t="str">
        <f t="shared" si="6"/>
        <v>居住社区成熟度</v>
      </c>
      <c r="R15" s="752" t="s">
        <v>25</v>
      </c>
      <c r="S15" s="753">
        <f t="shared" si="0"/>
        <v>100</v>
      </c>
      <c r="T15" s="752" t="s">
        <v>25</v>
      </c>
      <c r="U15" s="753">
        <f t="shared" si="1"/>
        <v>100</v>
      </c>
      <c r="V15" s="752" t="s">
        <v>25</v>
      </c>
      <c r="W15" s="753">
        <f t="shared" si="2"/>
        <v>100</v>
      </c>
      <c r="X15" s="1894"/>
      <c r="Y15" s="3040" t="s">
        <v>2352</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71.25">
      <c r="A17" s="383"/>
      <c r="B17" s="1484" t="s">
        <v>2437</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1"/>
      <c r="Q17" s="1893" t="str">
        <f>B17</f>
        <v>商业繁华度</v>
      </c>
      <c r="R17" s="752" t="s">
        <v>25</v>
      </c>
      <c r="S17" s="753">
        <f>F17</f>
        <v>100</v>
      </c>
      <c r="T17" s="752" t="s">
        <v>25</v>
      </c>
      <c r="U17" s="753">
        <f>H17</f>
        <v>100</v>
      </c>
      <c r="V17" s="752" t="s">
        <v>25</v>
      </c>
      <c r="W17" s="753">
        <f>J17</f>
        <v>100</v>
      </c>
      <c r="X17" s="1894"/>
      <c r="Y17" s="3041"/>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85.5">
      <c r="A19" s="383"/>
      <c r="B19" s="1484" t="s">
        <v>2466</v>
      </c>
      <c r="C19" s="2477"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1"/>
      <c r="Q19" s="1893" t="str">
        <f>B19</f>
        <v>办公集聚程度</v>
      </c>
      <c r="R19" s="752" t="s">
        <v>25</v>
      </c>
      <c r="S19" s="753">
        <f>F19</f>
        <v>100</v>
      </c>
      <c r="T19" s="752" t="s">
        <v>25</v>
      </c>
      <c r="U19" s="753">
        <f>H19</f>
        <v>100</v>
      </c>
      <c r="V19" s="752" t="s">
        <v>25</v>
      </c>
      <c r="W19" s="753">
        <f>J19</f>
        <v>100</v>
      </c>
      <c r="X19" s="1894"/>
      <c r="Y19" s="3041"/>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8"/>
      <c r="M20" s="1239"/>
      <c r="N20" s="1239"/>
      <c r="O20" s="1247"/>
      <c r="P20" s="3041"/>
      <c r="Q20" s="1893"/>
      <c r="R20" s="752"/>
      <c r="S20" s="753"/>
      <c r="T20" s="752"/>
      <c r="U20" s="753"/>
      <c r="V20" s="752"/>
      <c r="W20" s="753"/>
      <c r="X20" s="1894"/>
      <c r="Y20" s="3041"/>
      <c r="Z20" s="1896"/>
      <c r="AA20" s="1897">
        <v>1</v>
      </c>
      <c r="AB20" s="1897">
        <v>1</v>
      </c>
      <c r="AC20" s="1897">
        <v>1</v>
      </c>
    </row>
    <row r="21" spans="1:29" ht="156.75">
      <c r="A21" s="383"/>
      <c r="B21" s="1484" t="s">
        <v>2495</v>
      </c>
      <c r="C21" s="2460"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1"/>
      <c r="Q21" s="1893" t="str">
        <f>B21</f>
        <v>交通便捷度</v>
      </c>
      <c r="R21" s="752" t="s">
        <v>25</v>
      </c>
      <c r="S21" s="753">
        <f>F21</f>
        <v>100</v>
      </c>
      <c r="T21" s="752" t="s">
        <v>25</v>
      </c>
      <c r="U21" s="753">
        <f>H21</f>
        <v>100</v>
      </c>
      <c r="V21" s="752" t="s">
        <v>25</v>
      </c>
      <c r="W21" s="753">
        <f>J21</f>
        <v>100</v>
      </c>
      <c r="X21" s="1894"/>
      <c r="Y21" s="3041"/>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ht="15">
      <c r="A23" s="383"/>
      <c r="B23" s="1487" t="s">
        <v>2535</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1"/>
      <c r="Q23" s="1893" t="str">
        <f t="shared" ref="Q23:Q37" si="8">B23</f>
        <v>区域土地利用方向</v>
      </c>
      <c r="R23" s="752" t="s">
        <v>25</v>
      </c>
      <c r="S23" s="753">
        <f>F23</f>
        <v>100</v>
      </c>
      <c r="T23" s="752" t="s">
        <v>25</v>
      </c>
      <c r="U23" s="753">
        <f>H23</f>
        <v>100</v>
      </c>
      <c r="V23" s="752" t="s">
        <v>25</v>
      </c>
      <c r="W23" s="753">
        <f>J23</f>
        <v>100</v>
      </c>
      <c r="X23" s="1894"/>
      <c r="Y23" s="3041"/>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3"/>
      <c r="L24" s="1248"/>
      <c r="M24" s="1239"/>
      <c r="N24" s="1239"/>
      <c r="O24" s="1247"/>
      <c r="P24" s="3041"/>
      <c r="Q24" s="1893"/>
      <c r="R24" s="752"/>
      <c r="S24" s="753"/>
      <c r="T24" s="752"/>
      <c r="U24" s="753"/>
      <c r="V24" s="752"/>
      <c r="W24" s="753"/>
      <c r="X24" s="1894"/>
      <c r="Y24" s="3041"/>
      <c r="Z24" s="1896"/>
      <c r="AA24" s="1897"/>
      <c r="AB24" s="1897"/>
      <c r="AC24" s="1897"/>
    </row>
    <row r="25" spans="1:29" ht="57">
      <c r="A25" s="383"/>
      <c r="B25" s="1486" t="s">
        <v>2536</v>
      </c>
      <c r="C25" s="2477"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1"/>
      <c r="Q25" s="1893" t="str">
        <f t="shared" si="8"/>
        <v>自然及人文环境状况</v>
      </c>
      <c r="R25" s="752" t="s">
        <v>25</v>
      </c>
      <c r="S25" s="753">
        <f>F25</f>
        <v>100</v>
      </c>
      <c r="T25" s="752" t="s">
        <v>25</v>
      </c>
      <c r="U25" s="753">
        <f>H25</f>
        <v>100</v>
      </c>
      <c r="V25" s="752" t="s">
        <v>25</v>
      </c>
      <c r="W25" s="753">
        <f>J25</f>
        <v>100</v>
      </c>
      <c r="X25" s="1894"/>
      <c r="Y25" s="3041"/>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1"/>
      <c r="Q26" s="1893"/>
      <c r="R26" s="752"/>
      <c r="S26" s="753"/>
      <c r="T26" s="752"/>
      <c r="U26" s="753"/>
      <c r="V26" s="752"/>
      <c r="W26" s="753"/>
      <c r="X26" s="1894"/>
      <c r="Y26" s="3041"/>
      <c r="Z26" s="1896"/>
      <c r="AA26" s="1897">
        <v>1</v>
      </c>
      <c r="AB26" s="1897">
        <v>1</v>
      </c>
      <c r="AC26" s="1897">
        <v>1</v>
      </c>
    </row>
    <row r="27" spans="1:29" ht="42.75">
      <c r="A27" s="383"/>
      <c r="B27" s="1486" t="s">
        <v>2438</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1"/>
      <c r="Q27" s="1881" t="str">
        <f t="shared" ref="Q27" si="9">B27</f>
        <v>公共配套设施</v>
      </c>
      <c r="R27" s="748" t="s">
        <v>25</v>
      </c>
      <c r="S27" s="749">
        <f>F27</f>
        <v>100</v>
      </c>
      <c r="T27" s="748" t="s">
        <v>25</v>
      </c>
      <c r="U27" s="749">
        <f>H27</f>
        <v>100</v>
      </c>
      <c r="V27" s="748" t="s">
        <v>25</v>
      </c>
      <c r="W27" s="749">
        <f>J27</f>
        <v>100</v>
      </c>
      <c r="X27" s="1894"/>
      <c r="Y27" s="3041"/>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8"/>
      <c r="M28" s="1239"/>
      <c r="N28" s="1239"/>
      <c r="O28" s="1247"/>
      <c r="P28" s="3041"/>
      <c r="Q28" s="1893"/>
      <c r="R28" s="752"/>
      <c r="S28" s="753"/>
      <c r="T28" s="752"/>
      <c r="U28" s="753"/>
      <c r="V28" s="752"/>
      <c r="W28" s="753"/>
      <c r="X28" s="1894"/>
      <c r="Y28" s="3041"/>
      <c r="Z28" s="23"/>
      <c r="AA28" s="1897">
        <v>1</v>
      </c>
      <c r="AB28" s="1897">
        <v>1</v>
      </c>
      <c r="AC28" s="1897">
        <v>1</v>
      </c>
    </row>
    <row r="29" spans="1:29" s="35" customFormat="1" ht="42.75">
      <c r="A29" s="633"/>
      <c r="B29" s="1486" t="s">
        <v>2439</v>
      </c>
      <c r="C29" s="2480"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1"/>
      <c r="Q29" s="1881" t="str">
        <f t="shared" si="8"/>
        <v>基础设施水平</v>
      </c>
      <c r="R29" s="748" t="s">
        <v>25</v>
      </c>
      <c r="S29" s="749">
        <f>F29</f>
        <v>100</v>
      </c>
      <c r="T29" s="748" t="s">
        <v>25</v>
      </c>
      <c r="U29" s="749">
        <f>H29</f>
        <v>100</v>
      </c>
      <c r="V29" s="748" t="s">
        <v>25</v>
      </c>
      <c r="W29" s="749">
        <f>J29</f>
        <v>100</v>
      </c>
      <c r="X29" s="750"/>
      <c r="Y29" s="3041"/>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0"/>
      <c r="M30" s="1241"/>
      <c r="N30" s="1241"/>
      <c r="O30" s="1242"/>
      <c r="P30" s="3041"/>
      <c r="Q30" s="1881"/>
      <c r="R30" s="748"/>
      <c r="S30" s="749"/>
      <c r="T30" s="748"/>
      <c r="U30" s="749"/>
      <c r="V30" s="748"/>
      <c r="W30" s="749"/>
      <c r="X30" s="750"/>
      <c r="Y30" s="3041"/>
      <c r="Z30" s="23"/>
      <c r="AA30" s="1897">
        <v>1</v>
      </c>
      <c r="AB30" s="1897">
        <v>1</v>
      </c>
      <c r="AC30" s="1897">
        <v>1</v>
      </c>
    </row>
    <row r="31" spans="1:29" ht="15">
      <c r="A31" s="383"/>
      <c r="B31" s="1485"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1"/>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41"/>
      <c r="Z31" s="1896" t="str">
        <f t="shared" ref="Z31:Z45" si="13">Q31</f>
        <v>临街状况</v>
      </c>
      <c r="AA31" s="1897">
        <f t="shared" si="3"/>
        <v>1</v>
      </c>
      <c r="AB31" s="1897">
        <f t="shared" si="4"/>
        <v>1</v>
      </c>
      <c r="AC31" s="1897">
        <f t="shared" si="5"/>
        <v>1</v>
      </c>
    </row>
    <row r="32" spans="1:29" ht="27">
      <c r="A32" s="383"/>
      <c r="B32" s="1486"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1"/>
      <c r="Q32" s="1893" t="str">
        <f t="shared" si="8"/>
        <v>毗邻道路的类型与等级</v>
      </c>
      <c r="R32" s="752" t="s">
        <v>25</v>
      </c>
      <c r="S32" s="753">
        <f t="shared" si="10"/>
        <v>100</v>
      </c>
      <c r="T32" s="752" t="s">
        <v>25</v>
      </c>
      <c r="U32" s="753">
        <f t="shared" si="11"/>
        <v>100</v>
      </c>
      <c r="V32" s="752" t="s">
        <v>25</v>
      </c>
      <c r="W32" s="753">
        <f t="shared" si="12"/>
        <v>100</v>
      </c>
      <c r="X32" s="1894"/>
      <c r="Y32" s="3041"/>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1"/>
      <c r="Q33" s="1893"/>
      <c r="R33" s="752"/>
      <c r="S33" s="753"/>
      <c r="T33" s="752"/>
      <c r="U33" s="753"/>
      <c r="V33" s="752"/>
      <c r="W33" s="753"/>
      <c r="X33" s="1894"/>
      <c r="Y33" s="3041"/>
      <c r="Z33" s="1896"/>
      <c r="AA33" s="1897">
        <v>1</v>
      </c>
      <c r="AB33" s="1897">
        <v>1</v>
      </c>
      <c r="AC33" s="1897">
        <v>1</v>
      </c>
    </row>
    <row r="34" spans="1:29" ht="15">
      <c r="A34" s="383"/>
      <c r="B34" s="1489"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1"/>
      <c r="Q34" s="1893" t="str">
        <f t="shared" si="8"/>
        <v>土地级别</v>
      </c>
      <c r="R34" s="752" t="s">
        <v>25</v>
      </c>
      <c r="S34" s="753">
        <f t="shared" si="10"/>
        <v>100</v>
      </c>
      <c r="T34" s="752" t="s">
        <v>25</v>
      </c>
      <c r="U34" s="753">
        <f t="shared" si="11"/>
        <v>100</v>
      </c>
      <c r="V34" s="752" t="s">
        <v>25</v>
      </c>
      <c r="W34" s="753">
        <f t="shared" si="12"/>
        <v>100</v>
      </c>
      <c r="X34" s="1894"/>
      <c r="Y34" s="3041"/>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1"/>
      <c r="Q35" s="1893">
        <f t="shared" si="8"/>
        <v>111</v>
      </c>
      <c r="R35" s="752" t="s">
        <v>25</v>
      </c>
      <c r="S35" s="753">
        <f t="shared" si="10"/>
        <v>100</v>
      </c>
      <c r="T35" s="752" t="s">
        <v>25</v>
      </c>
      <c r="U35" s="753">
        <f t="shared" si="11"/>
        <v>100</v>
      </c>
      <c r="V35" s="752" t="s">
        <v>25</v>
      </c>
      <c r="W35" s="753">
        <f t="shared" si="12"/>
        <v>100</v>
      </c>
      <c r="X35" s="1894"/>
      <c r="Y35" s="3041"/>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88" t="s">
        <v>2358</v>
      </c>
      <c r="Q36" s="1893">
        <f t="shared" si="8"/>
        <v>111</v>
      </c>
      <c r="R36" s="752" t="s">
        <v>25</v>
      </c>
      <c r="S36" s="753">
        <f t="shared" si="10"/>
        <v>100</v>
      </c>
      <c r="T36" s="752" t="s">
        <v>25</v>
      </c>
      <c r="U36" s="753">
        <f t="shared" si="11"/>
        <v>100</v>
      </c>
      <c r="V36" s="752" t="s">
        <v>25</v>
      </c>
      <c r="W36" s="753">
        <f t="shared" si="12"/>
        <v>100</v>
      </c>
      <c r="X36" s="1894"/>
      <c r="Y36" s="3045" t="s">
        <v>2358</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5"/>
      <c r="Q37" s="1893">
        <f t="shared" si="8"/>
        <v>111</v>
      </c>
      <c r="R37" s="755" t="s">
        <v>25</v>
      </c>
      <c r="S37" s="756">
        <f t="shared" si="10"/>
        <v>100</v>
      </c>
      <c r="T37" s="755" t="s">
        <v>25</v>
      </c>
      <c r="U37" s="756">
        <f t="shared" si="11"/>
        <v>100</v>
      </c>
      <c r="V37" s="755" t="s">
        <v>25</v>
      </c>
      <c r="W37" s="756">
        <f t="shared" si="12"/>
        <v>100</v>
      </c>
      <c r="X37" s="757"/>
      <c r="Y37" s="3045"/>
      <c r="Z37" s="758">
        <f t="shared" si="13"/>
        <v>111</v>
      </c>
      <c r="AA37" s="1897">
        <f t="shared" si="3"/>
        <v>1</v>
      </c>
      <c r="AB37" s="1897">
        <f t="shared" si="4"/>
        <v>1</v>
      </c>
      <c r="AC37" s="1897">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5"/>
      <c r="Q38" s="1893" t="str">
        <f>B38</f>
        <v>宗地面积</v>
      </c>
      <c r="R38" s="752" t="s">
        <v>25</v>
      </c>
      <c r="S38" s="753" t="e">
        <f t="shared" si="10"/>
        <v>#N/A</v>
      </c>
      <c r="T38" s="752" t="s">
        <v>25</v>
      </c>
      <c r="U38" s="753" t="e">
        <f t="shared" si="11"/>
        <v>#N/A</v>
      </c>
      <c r="V38" s="752" t="s">
        <v>25</v>
      </c>
      <c r="W38" s="753" t="e">
        <f t="shared" si="12"/>
        <v>#N/A</v>
      </c>
      <c r="X38" s="1894"/>
      <c r="Y38" s="3045"/>
      <c r="Z38" s="1896" t="str">
        <f t="shared" si="13"/>
        <v>宗地面积</v>
      </c>
      <c r="AA38" s="1897" t="e">
        <f t="shared" si="3"/>
        <v>#N/A</v>
      </c>
      <c r="AB38" s="1897" t="e">
        <f t="shared" si="4"/>
        <v>#N/A</v>
      </c>
      <c r="AC38" s="1897" t="e">
        <f t="shared" si="5"/>
        <v>#N/A</v>
      </c>
    </row>
    <row r="39" spans="1:29" ht="15">
      <c r="A39" s="453"/>
      <c r="B39" s="402" t="s">
        <v>2539</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45"/>
      <c r="Q39" s="1893" t="str">
        <f t="shared" ref="Q39:Q45" si="14">B39</f>
        <v>宗地形状</v>
      </c>
      <c r="R39" s="752" t="s">
        <v>25</v>
      </c>
      <c r="S39" s="753">
        <f t="shared" si="10"/>
        <v>100</v>
      </c>
      <c r="T39" s="752" t="s">
        <v>25</v>
      </c>
      <c r="U39" s="753">
        <f t="shared" si="11"/>
        <v>100</v>
      </c>
      <c r="V39" s="752" t="s">
        <v>25</v>
      </c>
      <c r="W39" s="753">
        <f t="shared" si="12"/>
        <v>100</v>
      </c>
      <c r="X39" s="1894"/>
      <c r="Y39" s="3045"/>
      <c r="Z39" s="1896" t="str">
        <f t="shared" si="13"/>
        <v>宗地形状</v>
      </c>
      <c r="AA39" s="1897">
        <f t="shared" si="3"/>
        <v>1</v>
      </c>
      <c r="AB39" s="1897">
        <f t="shared" si="4"/>
        <v>1</v>
      </c>
      <c r="AC39" s="1897">
        <f t="shared" si="5"/>
        <v>1</v>
      </c>
    </row>
    <row r="40" spans="1:29" ht="15">
      <c r="A40" s="453"/>
      <c r="B40" s="402" t="s">
        <v>2540</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45"/>
      <c r="Q40" s="1893" t="str">
        <f t="shared" si="14"/>
        <v>临街宽度及深度</v>
      </c>
      <c r="R40" s="752" t="s">
        <v>25</v>
      </c>
      <c r="S40" s="753">
        <f t="shared" si="10"/>
        <v>100</v>
      </c>
      <c r="T40" s="752" t="s">
        <v>25</v>
      </c>
      <c r="U40" s="753">
        <f t="shared" si="11"/>
        <v>100</v>
      </c>
      <c r="V40" s="752" t="s">
        <v>25</v>
      </c>
      <c r="W40" s="753">
        <f t="shared" si="12"/>
        <v>100</v>
      </c>
      <c r="X40" s="1894"/>
      <c r="Y40" s="3045"/>
      <c r="Z40" s="1896" t="str">
        <f t="shared" si="13"/>
        <v>临街宽度及深度</v>
      </c>
      <c r="AA40" s="1897">
        <f t="shared" si="3"/>
        <v>1</v>
      </c>
      <c r="AB40" s="1897">
        <f t="shared" si="4"/>
        <v>1</v>
      </c>
      <c r="AC40" s="1897">
        <f t="shared" si="5"/>
        <v>1</v>
      </c>
    </row>
    <row r="41" spans="1:29" s="35" customFormat="1" ht="15">
      <c r="A41" s="454"/>
      <c r="B41" s="402" t="s">
        <v>2541</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45"/>
      <c r="Q41" s="1893" t="str">
        <f t="shared" si="14"/>
        <v>宗地开发程度</v>
      </c>
      <c r="R41" s="748" t="s">
        <v>25</v>
      </c>
      <c r="S41" s="749">
        <f t="shared" si="10"/>
        <v>100</v>
      </c>
      <c r="T41" s="748" t="s">
        <v>25</v>
      </c>
      <c r="U41" s="749">
        <f t="shared" si="11"/>
        <v>100</v>
      </c>
      <c r="V41" s="748" t="s">
        <v>25</v>
      </c>
      <c r="W41" s="749">
        <f t="shared" si="12"/>
        <v>100</v>
      </c>
      <c r="X41" s="750"/>
      <c r="Y41" s="3045"/>
      <c r="Z41" s="23" t="str">
        <f t="shared" si="13"/>
        <v>宗地开发程度</v>
      </c>
      <c r="AA41" s="751">
        <f t="shared" si="3"/>
        <v>1</v>
      </c>
      <c r="AB41" s="751">
        <f t="shared" si="4"/>
        <v>1</v>
      </c>
      <c r="AC41" s="751">
        <f t="shared" si="5"/>
        <v>1</v>
      </c>
    </row>
    <row r="42" spans="1:29" ht="15">
      <c r="A42" s="453"/>
      <c r="B42" s="402" t="s">
        <v>2542</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45" t="s">
        <v>2358</v>
      </c>
      <c r="Q42" s="1893" t="str">
        <f t="shared" si="14"/>
        <v>工程地质条件</v>
      </c>
      <c r="R42" s="752" t="s">
        <v>25</v>
      </c>
      <c r="S42" s="753">
        <f t="shared" si="10"/>
        <v>100</v>
      </c>
      <c r="T42" s="752" t="s">
        <v>25</v>
      </c>
      <c r="U42" s="753">
        <f t="shared" si="11"/>
        <v>100</v>
      </c>
      <c r="V42" s="752" t="s">
        <v>25</v>
      </c>
      <c r="W42" s="753">
        <f t="shared" si="12"/>
        <v>100</v>
      </c>
      <c r="X42" s="1894"/>
      <c r="Y42" s="3045" t="s">
        <v>2358</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5"/>
      <c r="Q43" s="1893">
        <f t="shared" si="14"/>
        <v>111</v>
      </c>
      <c r="R43" s="752" t="s">
        <v>25</v>
      </c>
      <c r="S43" s="753">
        <f t="shared" si="10"/>
        <v>100</v>
      </c>
      <c r="T43" s="752" t="s">
        <v>25</v>
      </c>
      <c r="U43" s="753">
        <f t="shared" si="11"/>
        <v>100</v>
      </c>
      <c r="V43" s="752" t="s">
        <v>25</v>
      </c>
      <c r="W43" s="753">
        <f t="shared" si="12"/>
        <v>100</v>
      </c>
      <c r="X43" s="1894"/>
      <c r="Y43" s="3045"/>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5"/>
      <c r="Q44" s="1893">
        <f t="shared" si="14"/>
        <v>111</v>
      </c>
      <c r="R44" s="752" t="s">
        <v>25</v>
      </c>
      <c r="S44" s="753">
        <f t="shared" si="10"/>
        <v>100</v>
      </c>
      <c r="T44" s="752" t="s">
        <v>25</v>
      </c>
      <c r="U44" s="753">
        <f t="shared" si="11"/>
        <v>100</v>
      </c>
      <c r="V44" s="752" t="s">
        <v>25</v>
      </c>
      <c r="W44" s="753">
        <f t="shared" si="12"/>
        <v>100</v>
      </c>
      <c r="X44" s="1894"/>
      <c r="Y44" s="3045"/>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5"/>
      <c r="Q45" s="1893">
        <f t="shared" si="14"/>
        <v>111</v>
      </c>
      <c r="R45" s="755" t="s">
        <v>25</v>
      </c>
      <c r="S45" s="756">
        <f t="shared" si="10"/>
        <v>100</v>
      </c>
      <c r="T45" s="755" t="s">
        <v>25</v>
      </c>
      <c r="U45" s="756">
        <f t="shared" si="11"/>
        <v>100</v>
      </c>
      <c r="V45" s="755" t="s">
        <v>25</v>
      </c>
      <c r="W45" s="756">
        <f t="shared" si="12"/>
        <v>100</v>
      </c>
      <c r="X45" s="757"/>
      <c r="Y45" s="3045"/>
      <c r="Z45" s="758">
        <f t="shared" si="13"/>
        <v>111</v>
      </c>
      <c r="AA45" s="1897">
        <f t="shared" si="3"/>
        <v>1</v>
      </c>
      <c r="AB45" s="1897">
        <f t="shared" si="4"/>
        <v>1</v>
      </c>
      <c r="AC45" s="1897">
        <f t="shared" si="5"/>
        <v>1</v>
      </c>
    </row>
    <row r="46" spans="1:29" ht="15">
      <c r="A46" s="460" t="s">
        <v>2506</v>
      </c>
      <c r="B46" s="2484" t="s">
        <v>2543</v>
      </c>
      <c r="C46" s="665" t="s">
        <v>1</v>
      </c>
      <c r="D46" s="462"/>
      <c r="E46" s="463"/>
      <c r="F46" s="464"/>
      <c r="G46" s="465"/>
      <c r="H46" s="466"/>
      <c r="I46" s="463"/>
      <c r="J46" s="466"/>
      <c r="K46" s="761"/>
      <c r="L46" s="1251"/>
      <c r="M46" s="1252"/>
      <c r="N46" s="1239"/>
      <c r="O46" s="1252"/>
      <c r="P46" s="3037" t="str">
        <f>A46</f>
        <v>成交单价</v>
      </c>
      <c r="Q46" s="3037"/>
      <c r="R46" s="3074">
        <f>E46</f>
        <v>0</v>
      </c>
      <c r="S46" s="3074"/>
      <c r="T46" s="3074">
        <f>G46</f>
        <v>0</v>
      </c>
      <c r="U46" s="3074"/>
      <c r="V46" s="3074">
        <f>I46</f>
        <v>0</v>
      </c>
      <c r="W46" s="3074"/>
      <c r="X46" s="737"/>
      <c r="Y46" s="759"/>
      <c r="Z46" s="737"/>
      <c r="AA46" s="737"/>
      <c r="AB46" s="737"/>
      <c r="AC46" s="737"/>
    </row>
    <row r="47" spans="1:29" ht="15.75" thickBot="1">
      <c r="A47" s="467" t="s">
        <v>2453</v>
      </c>
      <c r="B47" s="666"/>
      <c r="C47" s="471" t="e">
        <f>R48</f>
        <v>#DIV/0!</v>
      </c>
      <c r="D47" s="470"/>
      <c r="E47" s="471" t="e">
        <f>R47</f>
        <v>#DIV/0!</v>
      </c>
      <c r="F47" s="472"/>
      <c r="G47" s="469" t="e">
        <f>T47</f>
        <v>#DIV/0!</v>
      </c>
      <c r="H47" s="470"/>
      <c r="I47" s="471" t="e">
        <f>V47</f>
        <v>#DIV/0!</v>
      </c>
      <c r="J47" s="470"/>
      <c r="K47" s="762"/>
      <c r="L47" s="1251"/>
      <c r="M47" s="1252"/>
      <c r="N47" s="1252"/>
      <c r="O47" s="1252"/>
      <c r="P47" s="3037" t="str">
        <f>A47</f>
        <v>比较价值（元/平方米）</v>
      </c>
      <c r="Q47" s="3037"/>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3" t="s">
        <v>2476</v>
      </c>
      <c r="B48" s="474"/>
      <c r="C48" s="475" t="e">
        <f>R48</f>
        <v>#DIV/0!</v>
      </c>
      <c r="D48" s="475"/>
      <c r="E48" s="475"/>
      <c r="F48" s="475"/>
      <c r="G48" s="475"/>
      <c r="H48" s="475"/>
      <c r="I48" s="475"/>
      <c r="J48" s="475"/>
      <c r="K48" s="763"/>
      <c r="L48" s="1251"/>
      <c r="M48" s="1252"/>
      <c r="N48" s="1252"/>
      <c r="O48" s="1252"/>
      <c r="P48" s="3034" t="str">
        <f>A48</f>
        <v>估价对象XX用房的比较价值（楼面单价，元/平方米）</v>
      </c>
      <c r="Q48" s="3035"/>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2544</v>
      </c>
      <c r="B55" s="668" t="s">
        <v>2545</v>
      </c>
      <c r="C55" s="2485" t="s">
        <v>2546</v>
      </c>
      <c r="D55" s="2486" t="s">
        <v>2547</v>
      </c>
      <c r="E55" s="669" t="s">
        <v>2548</v>
      </c>
      <c r="F55" s="670" t="s">
        <v>2549</v>
      </c>
      <c r="G55" s="62" t="s">
        <v>2550</v>
      </c>
      <c r="H55" s="62" t="str">
        <f>项目基本情况!G8</f>
        <v>XX</v>
      </c>
      <c r="I55" s="2487" t="s">
        <v>2551</v>
      </c>
      <c r="J55" s="738"/>
      <c r="K55" s="1253"/>
      <c r="L55" s="1253"/>
      <c r="M55" s="1252"/>
      <c r="N55" s="1252"/>
      <c r="O55" s="1252"/>
    </row>
    <row r="56" spans="1:15" s="675" customFormat="1">
      <c r="A56" s="671" t="s">
        <v>2552</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2553</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2554</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2555</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2556</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2557</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2558</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2559</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2560</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2561</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2562</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1.75" thickBot="1">
      <c r="A69" s="741" t="s">
        <v>2458</v>
      </c>
      <c r="B69" s="737"/>
      <c r="C69" s="742"/>
      <c r="D69" s="742"/>
      <c r="E69" s="742"/>
      <c r="F69" s="743"/>
      <c r="G69" s="743"/>
      <c r="H69" s="742"/>
      <c r="I69" s="1268"/>
      <c r="J69" s="1268"/>
      <c r="K69" s="1266"/>
      <c r="L69" s="1267"/>
      <c r="M69" s="1268"/>
      <c r="N69" s="1268"/>
      <c r="O69" s="1268"/>
      <c r="P69" s="484"/>
      <c r="Q69" s="485"/>
    </row>
    <row r="70" spans="1:17" s="1669" customFormat="1" ht="15">
      <c r="A70" s="2488" t="s">
        <v>2563</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2564</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2378</v>
      </c>
      <c r="B72" s="497"/>
      <c r="C72" s="498"/>
      <c r="D72" s="499"/>
      <c r="E72" s="499"/>
      <c r="F72" s="499"/>
      <c r="G72" s="499"/>
      <c r="H72" s="499"/>
      <c r="I72" s="499"/>
      <c r="J72" s="499"/>
      <c r="K72" s="499"/>
      <c r="L72" s="499"/>
      <c r="M72" s="500"/>
      <c r="N72" s="499"/>
      <c r="O72" s="1671"/>
      <c r="P72" s="485"/>
      <c r="Q72" s="485"/>
    </row>
    <row r="73" spans="1:17" s="35" customFormat="1" ht="15">
      <c r="A73" s="502" t="s">
        <v>2342</v>
      </c>
      <c r="B73" s="491"/>
      <c r="C73" s="503" t="s">
        <v>2343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2381</v>
      </c>
      <c r="B75" s="509" t="s">
        <v>2346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2349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2356</v>
      </c>
      <c r="B116" s="509" t="s">
        <v>2572</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估价对象为北京市房地产，为李涛所有。根据《不动产权证书》[]，估价对象建筑面积为194.17平方米，（分摊）出让国有建设用地使用权面积为平方米。估价对象用途为。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2020年3月26日（评估专业人员实地查勘之日）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本次估价的“房地产价值”是指在正常市场情况下，在价值时点2020年3月26日，估价对象规划用途为，假定未设立法定优先受偿款下的房地产市场价值。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3"/>
      <c r="E1" s="733"/>
      <c r="F1" s="732" t="s">
        <v>2325</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1995</v>
      </c>
      <c r="B2" s="654" t="e">
        <f>F61</f>
        <v>#DIV/0!</v>
      </c>
      <c r="C2" s="731" t="s">
        <v>2531</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1996</v>
      </c>
      <c r="B3" s="593" t="e">
        <f>ROUND(B2/'数据-取费表'!B5,0)</f>
        <v>#DIV/0!</v>
      </c>
      <c r="C3" s="731" t="s">
        <v>2532</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2327</v>
      </c>
      <c r="B4" s="381"/>
      <c r="C4" s="3064" t="s">
        <v>2328</v>
      </c>
      <c r="D4" s="3065"/>
      <c r="E4" s="3066" t="s">
        <v>2329</v>
      </c>
      <c r="F4" s="3067"/>
      <c r="G4" s="3064" t="s">
        <v>2330</v>
      </c>
      <c r="H4" s="3065"/>
      <c r="I4" s="3064" t="s">
        <v>2331</v>
      </c>
      <c r="J4" s="3065"/>
      <c r="K4" s="594" t="s">
        <v>2332</v>
      </c>
      <c r="L4" s="1238"/>
      <c r="M4" s="1239"/>
      <c r="N4" s="1239"/>
      <c r="O4" s="1239"/>
      <c r="P4" s="3068" t="s">
        <v>2333</v>
      </c>
      <c r="Q4" s="3069"/>
      <c r="R4" s="3053" t="s">
        <v>2329</v>
      </c>
      <c r="S4" s="3054"/>
      <c r="T4" s="3053" t="s">
        <v>2330</v>
      </c>
      <c r="U4" s="3054"/>
      <c r="V4" s="3074" t="s">
        <v>2331</v>
      </c>
      <c r="W4" s="3074"/>
      <c r="X4" s="1894"/>
      <c r="Y4" s="3053" t="s">
        <v>2333</v>
      </c>
      <c r="Z4" s="3054"/>
      <c r="AA4" s="3061" t="s">
        <v>2329</v>
      </c>
      <c r="AB4" s="3062" t="s">
        <v>2330</v>
      </c>
      <c r="AC4" s="3061" t="s">
        <v>2331</v>
      </c>
    </row>
    <row r="5" spans="1:29" ht="15">
      <c r="A5" s="383"/>
      <c r="B5" s="384"/>
      <c r="C5" s="3049" t="s">
        <v>2334</v>
      </c>
      <c r="D5" s="3050"/>
      <c r="E5" s="3075" t="s">
        <v>2335</v>
      </c>
      <c r="F5" s="3076"/>
      <c r="G5" s="3049" t="s">
        <v>2336</v>
      </c>
      <c r="H5" s="3050"/>
      <c r="I5" s="3049" t="s">
        <v>2337</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2338</v>
      </c>
      <c r="D6" s="3048"/>
      <c r="E6" s="3077" t="s">
        <v>2338</v>
      </c>
      <c r="F6" s="3078"/>
      <c r="G6" s="3047" t="s">
        <v>2338</v>
      </c>
      <c r="H6" s="3048"/>
      <c r="I6" s="3047" t="s">
        <v>2338</v>
      </c>
      <c r="J6" s="3048"/>
      <c r="K6" s="594" t="s">
        <v>2339</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2340</v>
      </c>
      <c r="B7" s="388"/>
      <c r="C7" s="389">
        <f>'数据-取费表'!B2</f>
        <v>43916</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51" t="s">
        <v>2341</v>
      </c>
      <c r="Q7" s="3059"/>
      <c r="R7" s="748" t="s">
        <v>25</v>
      </c>
      <c r="S7" s="749">
        <f t="shared" ref="S7:S15" si="0">F7</f>
        <v>0</v>
      </c>
      <c r="T7" s="748" t="s">
        <v>25</v>
      </c>
      <c r="U7" s="749">
        <f t="shared" ref="U7:U15" si="1">H7</f>
        <v>0</v>
      </c>
      <c r="V7" s="748" t="s">
        <v>25</v>
      </c>
      <c r="W7" s="749">
        <f t="shared" ref="W7:W15" si="2">J7</f>
        <v>0</v>
      </c>
      <c r="X7" s="750"/>
      <c r="Y7" s="3051" t="s">
        <v>2341</v>
      </c>
      <c r="Z7" s="3052"/>
      <c r="AA7" s="751" t="e">
        <f>D7/F7</f>
        <v>#DIV/0!</v>
      </c>
      <c r="AB7" s="751" t="e">
        <f>D7/H7</f>
        <v>#DIV/0!</v>
      </c>
      <c r="AC7" s="751"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1" t="s">
        <v>2344</v>
      </c>
      <c r="Q8" s="3052"/>
      <c r="R8" s="748" t="s">
        <v>25</v>
      </c>
      <c r="S8" s="749">
        <f t="shared" si="0"/>
        <v>0</v>
      </c>
      <c r="T8" s="748" t="s">
        <v>25</v>
      </c>
      <c r="U8" s="749">
        <f t="shared" si="1"/>
        <v>0</v>
      </c>
      <c r="V8" s="748" t="s">
        <v>25</v>
      </c>
      <c r="W8" s="749">
        <f t="shared" si="2"/>
        <v>0</v>
      </c>
      <c r="X8" s="750"/>
      <c r="Y8" s="3051" t="s">
        <v>2344</v>
      </c>
      <c r="Z8" s="3052"/>
      <c r="AA8" s="751" t="e">
        <f t="shared" ref="AA8:AA40" si="3">D8/F8</f>
        <v>#DIV/0!</v>
      </c>
      <c r="AB8" s="751" t="e">
        <f t="shared" ref="AB8:AB40" si="4">D8/H8</f>
        <v>#DIV/0!</v>
      </c>
      <c r="AC8" s="751" t="e">
        <f t="shared" ref="AC8:AC40" si="5">D8/J8</f>
        <v>#DIV/0!</v>
      </c>
    </row>
    <row r="9" spans="1:29" s="35" customFormat="1">
      <c r="A9" s="395" t="s">
        <v>2345</v>
      </c>
      <c r="B9" s="28" t="s">
        <v>2346</v>
      </c>
      <c r="C9" s="2476" t="s">
        <v>2578</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37" t="s">
        <v>2347</v>
      </c>
      <c r="Q9" s="1881" t="str">
        <f t="shared" ref="Q9:Q15" si="6">B9</f>
        <v>用途</v>
      </c>
      <c r="R9" s="748" t="s">
        <v>25</v>
      </c>
      <c r="S9" s="749">
        <f t="shared" si="0"/>
        <v>100</v>
      </c>
      <c r="T9" s="748" t="s">
        <v>25</v>
      </c>
      <c r="U9" s="749">
        <f t="shared" si="1"/>
        <v>100</v>
      </c>
      <c r="V9" s="748" t="s">
        <v>25</v>
      </c>
      <c r="W9" s="749">
        <f t="shared" si="2"/>
        <v>100</v>
      </c>
      <c r="X9" s="750"/>
      <c r="Y9" s="2875" t="s">
        <v>2348</v>
      </c>
      <c r="Z9" s="23" t="str">
        <f t="shared" ref="Z9:Z15" si="7">Q9</f>
        <v>用途</v>
      </c>
      <c r="AA9" s="751">
        <f t="shared" si="3"/>
        <v>1</v>
      </c>
      <c r="AB9" s="751">
        <f t="shared" si="4"/>
        <v>1</v>
      </c>
      <c r="AC9" s="751">
        <f t="shared" si="5"/>
        <v>1</v>
      </c>
    </row>
    <row r="10" spans="1:29" s="407" customFormat="1" ht="27">
      <c r="A10" s="401"/>
      <c r="B10" s="402" t="s">
        <v>2349</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2351</v>
      </c>
      <c r="B15" s="613" t="s">
        <v>2579</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0" t="s">
        <v>2352</v>
      </c>
      <c r="Q15" s="1893" t="str">
        <f t="shared" si="6"/>
        <v>产业集聚程度</v>
      </c>
      <c r="R15" s="752" t="s">
        <v>25</v>
      </c>
      <c r="S15" s="753">
        <f t="shared" si="0"/>
        <v>100</v>
      </c>
      <c r="T15" s="752" t="s">
        <v>25</v>
      </c>
      <c r="U15" s="753">
        <f t="shared" si="1"/>
        <v>100</v>
      </c>
      <c r="V15" s="752" t="s">
        <v>25</v>
      </c>
      <c r="W15" s="753">
        <f t="shared" si="2"/>
        <v>100</v>
      </c>
      <c r="X15" s="1894"/>
      <c r="Y15" s="3040" t="s">
        <v>2352</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615" t="s">
        <v>2495</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15">
      <c r="A19" s="408"/>
      <c r="B19" s="615" t="s">
        <v>2535</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1"/>
      <c r="Q19" s="1893" t="str">
        <f t="shared" ref="Q19:Q33" si="8">B19</f>
        <v>区域土地利用方向</v>
      </c>
      <c r="R19" s="752" t="s">
        <v>25</v>
      </c>
      <c r="S19" s="753">
        <f>F19</f>
        <v>100</v>
      </c>
      <c r="T19" s="752" t="s">
        <v>25</v>
      </c>
      <c r="U19" s="753">
        <f>H19</f>
        <v>100</v>
      </c>
      <c r="V19" s="752" t="s">
        <v>25</v>
      </c>
      <c r="W19" s="753">
        <f>J19</f>
        <v>100</v>
      </c>
      <c r="X19" s="1894"/>
      <c r="Y19" s="3041"/>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41"/>
      <c r="Q20" s="1893"/>
      <c r="R20" s="752"/>
      <c r="S20" s="753"/>
      <c r="T20" s="752"/>
      <c r="U20" s="753"/>
      <c r="V20" s="752"/>
      <c r="W20" s="753"/>
      <c r="X20" s="1894"/>
      <c r="Y20" s="3041"/>
      <c r="Z20" s="1896"/>
      <c r="AA20" s="1897"/>
      <c r="AB20" s="1897"/>
      <c r="AC20" s="1897"/>
    </row>
    <row r="21" spans="1:29" ht="71.25">
      <c r="A21" s="383"/>
      <c r="B21" s="615" t="s">
        <v>2580</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1"/>
      <c r="Q21" s="1893" t="str">
        <f t="shared" si="8"/>
        <v>环境状况</v>
      </c>
      <c r="R21" s="752" t="s">
        <v>25</v>
      </c>
      <c r="S21" s="753">
        <f>F21</f>
        <v>100</v>
      </c>
      <c r="T21" s="752" t="s">
        <v>25</v>
      </c>
      <c r="U21" s="753">
        <f>H21</f>
        <v>100</v>
      </c>
      <c r="V21" s="752" t="s">
        <v>25</v>
      </c>
      <c r="W21" s="753">
        <f>J21</f>
        <v>100</v>
      </c>
      <c r="X21" s="1894"/>
      <c r="Y21" s="3041"/>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s="35" customFormat="1" ht="42.75">
      <c r="A23" s="633"/>
      <c r="B23" s="615" t="s">
        <v>2438</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1"/>
      <c r="Q23" s="1881" t="str">
        <f t="shared" si="8"/>
        <v>公共配套设施</v>
      </c>
      <c r="R23" s="748" t="s">
        <v>25</v>
      </c>
      <c r="S23" s="749">
        <f>F23</f>
        <v>100</v>
      </c>
      <c r="T23" s="748" t="s">
        <v>25</v>
      </c>
      <c r="U23" s="749">
        <f>H23</f>
        <v>100</v>
      </c>
      <c r="V23" s="748" t="s">
        <v>25</v>
      </c>
      <c r="W23" s="749">
        <f>J23</f>
        <v>100</v>
      </c>
      <c r="X23" s="750"/>
      <c r="Y23" s="3041"/>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0"/>
      <c r="M24" s="1241"/>
      <c r="N24" s="1241"/>
      <c r="O24" s="1242"/>
      <c r="P24" s="3041"/>
      <c r="Q24" s="1881"/>
      <c r="R24" s="748"/>
      <c r="S24" s="749"/>
      <c r="T24" s="748"/>
      <c r="U24" s="749"/>
      <c r="V24" s="748"/>
      <c r="W24" s="749"/>
      <c r="X24" s="750"/>
      <c r="Y24" s="3041"/>
      <c r="Z24" s="23"/>
      <c r="AA24" s="751">
        <v>1</v>
      </c>
      <c r="AB24" s="751">
        <v>1</v>
      </c>
      <c r="AC24" s="751">
        <v>1</v>
      </c>
    </row>
    <row r="25" spans="1:29" s="35" customFormat="1" ht="28.5">
      <c r="A25" s="633"/>
      <c r="B25" s="617" t="s">
        <v>2439</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1"/>
      <c r="Q25" s="1881" t="str">
        <f t="shared" ref="Q25" si="9">B25</f>
        <v>基础设施水平</v>
      </c>
      <c r="R25" s="748" t="s">
        <v>25</v>
      </c>
      <c r="S25" s="749">
        <f>F25</f>
        <v>100</v>
      </c>
      <c r="T25" s="748" t="s">
        <v>25</v>
      </c>
      <c r="U25" s="749">
        <f>H25</f>
        <v>100</v>
      </c>
      <c r="V25" s="748" t="s">
        <v>25</v>
      </c>
      <c r="W25" s="749">
        <f>J25</f>
        <v>100</v>
      </c>
      <c r="X25" s="750"/>
      <c r="Y25" s="3041"/>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0"/>
      <c r="M26" s="1241"/>
      <c r="N26" s="1241"/>
      <c r="O26" s="1242"/>
      <c r="P26" s="3041"/>
      <c r="Q26" s="1881"/>
      <c r="R26" s="748"/>
      <c r="S26" s="749"/>
      <c r="T26" s="748"/>
      <c r="U26" s="749"/>
      <c r="V26" s="748"/>
      <c r="W26" s="749"/>
      <c r="X26" s="750"/>
      <c r="Y26" s="3041"/>
      <c r="Z26" s="23"/>
      <c r="AA26" s="751">
        <v>1</v>
      </c>
      <c r="AB26" s="751">
        <v>1</v>
      </c>
      <c r="AC26" s="751">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1"/>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41"/>
      <c r="Z27" s="1896" t="str">
        <f t="shared" ref="Z27:Z40" si="13">Q27</f>
        <v>临街状况</v>
      </c>
      <c r="AA27" s="1897">
        <f t="shared" si="3"/>
        <v>1</v>
      </c>
      <c r="AB27" s="1897">
        <f t="shared" si="4"/>
        <v>1</v>
      </c>
      <c r="AC27" s="1897">
        <f t="shared" si="5"/>
        <v>1</v>
      </c>
    </row>
    <row r="28" spans="1:29" ht="27">
      <c r="A28" s="408"/>
      <c r="B28" s="617" t="s">
        <v>2470</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1"/>
      <c r="Q28" s="1893" t="str">
        <f t="shared" si="8"/>
        <v>毗邻道路的类型与等级</v>
      </c>
      <c r="R28" s="752" t="s">
        <v>25</v>
      </c>
      <c r="S28" s="753">
        <f t="shared" si="10"/>
        <v>100</v>
      </c>
      <c r="T28" s="752" t="s">
        <v>25</v>
      </c>
      <c r="U28" s="753">
        <f t="shared" si="11"/>
        <v>100</v>
      </c>
      <c r="V28" s="752" t="s">
        <v>25</v>
      </c>
      <c r="W28" s="753">
        <f t="shared" si="12"/>
        <v>100</v>
      </c>
      <c r="X28" s="1894"/>
      <c r="Y28" s="3041"/>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1"/>
      <c r="Q29" s="1893"/>
      <c r="R29" s="752"/>
      <c r="S29" s="753"/>
      <c r="T29" s="752"/>
      <c r="U29" s="753"/>
      <c r="V29" s="752"/>
      <c r="W29" s="753"/>
      <c r="X29" s="1894"/>
      <c r="Y29" s="3041"/>
      <c r="Z29" s="1896"/>
      <c r="AA29" s="1897">
        <v>1</v>
      </c>
      <c r="AB29" s="1897">
        <v>1</v>
      </c>
      <c r="AC29" s="1897">
        <v>1</v>
      </c>
    </row>
    <row r="30" spans="1:29" ht="15">
      <c r="A30" s="408"/>
      <c r="B30" s="637" t="s">
        <v>2537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1"/>
      <c r="Q30" s="1893" t="str">
        <f t="shared" si="8"/>
        <v>土地级别</v>
      </c>
      <c r="R30" s="752" t="s">
        <v>25</v>
      </c>
      <c r="S30" s="753">
        <f t="shared" si="10"/>
        <v>100</v>
      </c>
      <c r="T30" s="752" t="s">
        <v>25</v>
      </c>
      <c r="U30" s="753">
        <f t="shared" si="11"/>
        <v>100</v>
      </c>
      <c r="V30" s="752" t="s">
        <v>25</v>
      </c>
      <c r="W30" s="753">
        <f t="shared" si="12"/>
        <v>100</v>
      </c>
      <c r="X30" s="1894"/>
      <c r="Y30" s="3041"/>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1"/>
      <c r="Q31" s="1893">
        <f t="shared" si="8"/>
        <v>111</v>
      </c>
      <c r="R31" s="752" t="s">
        <v>25</v>
      </c>
      <c r="S31" s="753">
        <f t="shared" si="10"/>
        <v>100</v>
      </c>
      <c r="T31" s="752" t="s">
        <v>25</v>
      </c>
      <c r="U31" s="753">
        <f t="shared" si="11"/>
        <v>100</v>
      </c>
      <c r="V31" s="752" t="s">
        <v>25</v>
      </c>
      <c r="W31" s="753">
        <f t="shared" si="12"/>
        <v>100</v>
      </c>
      <c r="X31" s="1894"/>
      <c r="Y31" s="3041"/>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88" t="s">
        <v>2358</v>
      </c>
      <c r="Q32" s="1893">
        <f t="shared" si="8"/>
        <v>111</v>
      </c>
      <c r="R32" s="752" t="s">
        <v>25</v>
      </c>
      <c r="S32" s="753">
        <f t="shared" si="10"/>
        <v>100</v>
      </c>
      <c r="T32" s="752" t="s">
        <v>25</v>
      </c>
      <c r="U32" s="753">
        <f t="shared" si="11"/>
        <v>100</v>
      </c>
      <c r="V32" s="752" t="s">
        <v>25</v>
      </c>
      <c r="W32" s="753">
        <f t="shared" si="12"/>
        <v>100</v>
      </c>
      <c r="X32" s="1894"/>
      <c r="Y32" s="3045" t="s">
        <v>2358</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5"/>
      <c r="Q33" s="1893">
        <f t="shared" si="8"/>
        <v>111</v>
      </c>
      <c r="R33" s="755" t="s">
        <v>25</v>
      </c>
      <c r="S33" s="756">
        <f t="shared" si="10"/>
        <v>100</v>
      </c>
      <c r="T33" s="755" t="s">
        <v>25</v>
      </c>
      <c r="U33" s="756">
        <f t="shared" si="11"/>
        <v>100</v>
      </c>
      <c r="V33" s="755" t="s">
        <v>25</v>
      </c>
      <c r="W33" s="756">
        <f t="shared" si="12"/>
        <v>100</v>
      </c>
      <c r="X33" s="757"/>
      <c r="Y33" s="3045"/>
      <c r="Z33" s="758">
        <f t="shared" si="13"/>
        <v>111</v>
      </c>
      <c r="AA33" s="1897">
        <f t="shared" si="3"/>
        <v>1</v>
      </c>
      <c r="AB33" s="1897">
        <f t="shared" si="4"/>
        <v>1</v>
      </c>
      <c r="AC33" s="1897">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5"/>
      <c r="Q34" s="1893" t="str">
        <f>B34</f>
        <v>宗地面积</v>
      </c>
      <c r="R34" s="752" t="s">
        <v>25</v>
      </c>
      <c r="S34" s="753" t="e">
        <f t="shared" si="10"/>
        <v>#N/A</v>
      </c>
      <c r="T34" s="752" t="s">
        <v>25</v>
      </c>
      <c r="U34" s="753" t="e">
        <f t="shared" si="11"/>
        <v>#N/A</v>
      </c>
      <c r="V34" s="752" t="s">
        <v>25</v>
      </c>
      <c r="W34" s="753" t="e">
        <f t="shared" si="12"/>
        <v>#N/A</v>
      </c>
      <c r="X34" s="1894"/>
      <c r="Y34" s="3045"/>
      <c r="Z34" s="1896" t="str">
        <f t="shared" si="13"/>
        <v>宗地面积</v>
      </c>
      <c r="AA34" s="1897" t="e">
        <f t="shared" si="3"/>
        <v>#N/A</v>
      </c>
      <c r="AB34" s="1897" t="e">
        <f t="shared" si="4"/>
        <v>#N/A</v>
      </c>
      <c r="AC34" s="1897" t="e">
        <f t="shared" si="5"/>
        <v>#N/A</v>
      </c>
    </row>
    <row r="35" spans="1:29" ht="15">
      <c r="A35" s="453"/>
      <c r="B35" s="402" t="s">
        <v>2539</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45"/>
      <c r="Q35" s="1893" t="str">
        <f t="shared" ref="Q35:Q40" si="14">B35</f>
        <v>宗地形状</v>
      </c>
      <c r="R35" s="752" t="s">
        <v>25</v>
      </c>
      <c r="S35" s="753">
        <f t="shared" si="10"/>
        <v>100</v>
      </c>
      <c r="T35" s="752" t="s">
        <v>25</v>
      </c>
      <c r="U35" s="753">
        <f t="shared" si="11"/>
        <v>100</v>
      </c>
      <c r="V35" s="752" t="s">
        <v>25</v>
      </c>
      <c r="W35" s="753">
        <f t="shared" si="12"/>
        <v>100</v>
      </c>
      <c r="X35" s="1894"/>
      <c r="Y35" s="3045"/>
      <c r="Z35" s="1896" t="str">
        <f t="shared" si="13"/>
        <v>宗地形状</v>
      </c>
      <c r="AA35" s="1897">
        <f t="shared" si="3"/>
        <v>1</v>
      </c>
      <c r="AB35" s="1897">
        <f t="shared" si="4"/>
        <v>1</v>
      </c>
      <c r="AC35" s="1897">
        <f t="shared" si="5"/>
        <v>1</v>
      </c>
    </row>
    <row r="36" spans="1:29" s="35" customFormat="1" ht="15">
      <c r="A36" s="454"/>
      <c r="B36" s="402" t="s">
        <v>2541</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45"/>
      <c r="Q36" s="1893" t="str">
        <f t="shared" si="14"/>
        <v>宗地开发程度</v>
      </c>
      <c r="R36" s="748" t="s">
        <v>25</v>
      </c>
      <c r="S36" s="749">
        <f t="shared" si="10"/>
        <v>100</v>
      </c>
      <c r="T36" s="748" t="s">
        <v>25</v>
      </c>
      <c r="U36" s="749">
        <f t="shared" si="11"/>
        <v>100</v>
      </c>
      <c r="V36" s="748" t="s">
        <v>25</v>
      </c>
      <c r="W36" s="749">
        <f t="shared" si="12"/>
        <v>100</v>
      </c>
      <c r="X36" s="750"/>
      <c r="Y36" s="3045"/>
      <c r="Z36" s="23" t="str">
        <f t="shared" si="13"/>
        <v>宗地开发程度</v>
      </c>
      <c r="AA36" s="751">
        <f t="shared" si="3"/>
        <v>1</v>
      </c>
      <c r="AB36" s="751">
        <f t="shared" si="4"/>
        <v>1</v>
      </c>
      <c r="AC36" s="751">
        <f t="shared" si="5"/>
        <v>1</v>
      </c>
    </row>
    <row r="37" spans="1:29" ht="15">
      <c r="A37" s="453"/>
      <c r="B37" s="402" t="s">
        <v>2542</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45" t="s">
        <v>2358</v>
      </c>
      <c r="Q37" s="1893" t="str">
        <f t="shared" si="14"/>
        <v>工程地质条件</v>
      </c>
      <c r="R37" s="752" t="s">
        <v>25</v>
      </c>
      <c r="S37" s="753">
        <f t="shared" si="10"/>
        <v>100</v>
      </c>
      <c r="T37" s="752" t="s">
        <v>25</v>
      </c>
      <c r="U37" s="753">
        <f t="shared" si="11"/>
        <v>100</v>
      </c>
      <c r="V37" s="752" t="s">
        <v>25</v>
      </c>
      <c r="W37" s="753">
        <f t="shared" si="12"/>
        <v>100</v>
      </c>
      <c r="X37" s="1894"/>
      <c r="Y37" s="3045" t="s">
        <v>2358</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5"/>
      <c r="Q38" s="1893">
        <f t="shared" si="14"/>
        <v>111</v>
      </c>
      <c r="R38" s="752" t="s">
        <v>25</v>
      </c>
      <c r="S38" s="753">
        <f t="shared" si="10"/>
        <v>100</v>
      </c>
      <c r="T38" s="752" t="s">
        <v>25</v>
      </c>
      <c r="U38" s="753">
        <f t="shared" si="11"/>
        <v>100</v>
      </c>
      <c r="V38" s="752" t="s">
        <v>25</v>
      </c>
      <c r="W38" s="753">
        <f t="shared" si="12"/>
        <v>100</v>
      </c>
      <c r="X38" s="1894"/>
      <c r="Y38" s="3045"/>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5"/>
      <c r="Q39" s="1893">
        <f t="shared" si="14"/>
        <v>111</v>
      </c>
      <c r="R39" s="752" t="s">
        <v>25</v>
      </c>
      <c r="S39" s="753">
        <f t="shared" si="10"/>
        <v>100</v>
      </c>
      <c r="T39" s="752" t="s">
        <v>25</v>
      </c>
      <c r="U39" s="753">
        <f t="shared" si="11"/>
        <v>100</v>
      </c>
      <c r="V39" s="752" t="s">
        <v>25</v>
      </c>
      <c r="W39" s="753">
        <f t="shared" si="12"/>
        <v>100</v>
      </c>
      <c r="X39" s="1894"/>
      <c r="Y39" s="3045"/>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5"/>
      <c r="Q40" s="1893">
        <f t="shared" si="14"/>
        <v>111</v>
      </c>
      <c r="R40" s="755" t="s">
        <v>25</v>
      </c>
      <c r="S40" s="756">
        <f t="shared" si="10"/>
        <v>100</v>
      </c>
      <c r="T40" s="755" t="s">
        <v>25</v>
      </c>
      <c r="U40" s="756">
        <f t="shared" si="11"/>
        <v>100</v>
      </c>
      <c r="V40" s="755" t="s">
        <v>25</v>
      </c>
      <c r="W40" s="756">
        <f t="shared" si="12"/>
        <v>100</v>
      </c>
      <c r="X40" s="757"/>
      <c r="Y40" s="3045"/>
      <c r="Z40" s="758">
        <f t="shared" si="13"/>
        <v>111</v>
      </c>
      <c r="AA40" s="1897">
        <f t="shared" si="3"/>
        <v>1</v>
      </c>
      <c r="AB40" s="1897">
        <f t="shared" si="4"/>
        <v>1</v>
      </c>
      <c r="AC40" s="1897">
        <f t="shared" si="5"/>
        <v>1</v>
      </c>
    </row>
    <row r="41" spans="1:29" ht="15">
      <c r="A41" s="460" t="s">
        <v>2506</v>
      </c>
      <c r="B41" s="2484" t="s">
        <v>2581</v>
      </c>
      <c r="C41" s="665" t="s">
        <v>1</v>
      </c>
      <c r="D41" s="462"/>
      <c r="E41" s="463"/>
      <c r="F41" s="464"/>
      <c r="G41" s="465"/>
      <c r="H41" s="466"/>
      <c r="I41" s="463"/>
      <c r="J41" s="466"/>
      <c r="K41" s="761"/>
      <c r="L41" s="1251"/>
      <c r="M41" s="1239"/>
      <c r="N41" s="1239"/>
      <c r="O41" s="1252"/>
      <c r="P41" s="3037" t="str">
        <f>A41</f>
        <v>成交单价</v>
      </c>
      <c r="Q41" s="3037"/>
      <c r="R41" s="3074">
        <f>E41</f>
        <v>0</v>
      </c>
      <c r="S41" s="3074"/>
      <c r="T41" s="3074">
        <f>G41</f>
        <v>0</v>
      </c>
      <c r="U41" s="3074"/>
      <c r="V41" s="3074">
        <f>I41</f>
        <v>0</v>
      </c>
      <c r="W41" s="3074"/>
      <c r="X41" s="737"/>
      <c r="Y41" s="759"/>
      <c r="Z41" s="737"/>
      <c r="AA41" s="737"/>
      <c r="AB41" s="737"/>
      <c r="AC41" s="737"/>
    </row>
    <row r="42" spans="1:29" ht="15.75" thickBot="1">
      <c r="A42" s="467" t="s">
        <v>2453</v>
      </c>
      <c r="B42" s="666"/>
      <c r="C42" s="471" t="e">
        <f>R43</f>
        <v>#DIV/0!</v>
      </c>
      <c r="D42" s="470"/>
      <c r="E42" s="471" t="e">
        <f>R42</f>
        <v>#DIV/0!</v>
      </c>
      <c r="F42" s="472"/>
      <c r="G42" s="469" t="e">
        <f>T42</f>
        <v>#DIV/0!</v>
      </c>
      <c r="H42" s="470"/>
      <c r="I42" s="471" t="e">
        <f>V42</f>
        <v>#DIV/0!</v>
      </c>
      <c r="J42" s="470"/>
      <c r="K42" s="762"/>
      <c r="L42" s="1251"/>
      <c r="M42" s="1239"/>
      <c r="N42" s="1239"/>
      <c r="O42" s="1252"/>
      <c r="P42" s="3037" t="str">
        <f>A42</f>
        <v>比较价值（元/平方米）</v>
      </c>
      <c r="Q42" s="3037"/>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3" t="s">
        <v>2476</v>
      </c>
      <c r="B43" s="474"/>
      <c r="C43" s="475" t="e">
        <f>R43</f>
        <v>#DIV/0!</v>
      </c>
      <c r="D43" s="475"/>
      <c r="E43" s="475"/>
      <c r="F43" s="475"/>
      <c r="G43" s="475"/>
      <c r="H43" s="475"/>
      <c r="I43" s="475"/>
      <c r="J43" s="475"/>
      <c r="K43" s="763"/>
      <c r="L43" s="1251"/>
      <c r="M43" s="1239"/>
      <c r="N43" s="1239"/>
      <c r="O43" s="1252"/>
      <c r="P43" s="3034" t="str">
        <f>A43</f>
        <v>估价对象XX用房的比较价值（楼面单价，元/平方米）</v>
      </c>
      <c r="Q43" s="3035"/>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2544</v>
      </c>
      <c r="B50" s="668" t="s">
        <v>2545</v>
      </c>
      <c r="C50" s="2485" t="s">
        <v>2546</v>
      </c>
      <c r="D50" s="2486" t="s">
        <v>2547</v>
      </c>
      <c r="E50" s="669" t="s">
        <v>2548</v>
      </c>
      <c r="F50" s="670" t="s">
        <v>2549</v>
      </c>
      <c r="G50" s="1896" t="s">
        <v>2582</v>
      </c>
      <c r="H50" s="1896" t="str">
        <f>项目基本情况!G8</f>
        <v>XX</v>
      </c>
      <c r="I50" s="1844" t="s">
        <v>2551</v>
      </c>
      <c r="J50" s="1257"/>
      <c r="K50" s="1253"/>
      <c r="L50" s="1253"/>
      <c r="M50" s="1252"/>
      <c r="N50" s="1252"/>
      <c r="O50" s="1252"/>
    </row>
    <row r="51" spans="1:17" s="675" customFormat="1">
      <c r="A51" s="671" t="s">
        <v>2552</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2553</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2554</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2555</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2556</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2557</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2558</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2559</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2560</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2561</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1.75" thickBot="1">
      <c r="A64" s="741" t="s">
        <v>2458</v>
      </c>
      <c r="B64" s="737"/>
      <c r="C64" s="742"/>
      <c r="D64" s="742"/>
      <c r="E64" s="742"/>
      <c r="F64" s="743"/>
      <c r="G64" s="743"/>
      <c r="H64" s="742"/>
      <c r="I64" s="1268"/>
      <c r="J64" s="1268"/>
      <c r="K64" s="1266"/>
      <c r="L64" s="1267"/>
      <c r="M64" s="1268"/>
      <c r="N64" s="1268"/>
      <c r="O64" s="1268"/>
      <c r="P64" s="484"/>
      <c r="Q64" s="485"/>
    </row>
    <row r="65" spans="1:17" s="489" customFormat="1" ht="15">
      <c r="A65" s="2488" t="s">
        <v>2563</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2583</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2378</v>
      </c>
      <c r="B67" s="497"/>
      <c r="C67" s="498"/>
      <c r="D67" s="499"/>
      <c r="E67" s="499"/>
      <c r="F67" s="499"/>
      <c r="G67" s="499"/>
      <c r="H67" s="499"/>
      <c r="I67" s="499"/>
      <c r="J67" s="499"/>
      <c r="K67" s="499"/>
      <c r="L67" s="499"/>
      <c r="M67" s="500"/>
      <c r="N67" s="499"/>
      <c r="O67" s="1671"/>
      <c r="P67" s="485"/>
      <c r="Q67" s="485"/>
    </row>
    <row r="68" spans="1:17" s="35" customFormat="1" ht="15">
      <c r="A68" s="502" t="s">
        <v>2342</v>
      </c>
      <c r="B68" s="491"/>
      <c r="C68" s="503" t="s">
        <v>2343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2381</v>
      </c>
      <c r="B70" s="509" t="s">
        <v>2346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2349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2356</v>
      </c>
      <c r="B107" s="509" t="s">
        <v>2572</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2584</v>
      </c>
      <c r="B1" s="2496"/>
      <c r="C1" s="162" t="s">
        <v>2585</v>
      </c>
      <c r="D1" s="2497">
        <f>SUM(D29:D30,D33:D39)</f>
        <v>0</v>
      </c>
      <c r="E1" s="2497"/>
      <c r="F1" s="2497"/>
      <c r="G1" s="2497"/>
      <c r="H1" s="2497"/>
      <c r="I1" s="2497"/>
      <c r="J1" s="2497"/>
      <c r="L1" s="2498" t="s">
        <v>2586</v>
      </c>
      <c r="M1" s="1114">
        <f>SUMPRODUCT((区片价!B5:B9=I2)*(区片价!C3:F3=E2)*(区片价!C5:F9))</f>
        <v>0</v>
      </c>
      <c r="N1" s="1117">
        <f>SUMPRODUCT((因素修正幅度!B5:B9=I2)*(因素修正幅度!C3:F3=E2)*(因素修正幅度!C5:F9))</f>
        <v>0</v>
      </c>
      <c r="O1" s="1457"/>
      <c r="P1" s="1457"/>
      <c r="Q1" s="1457"/>
      <c r="R1" s="1704" t="s">
        <v>2587</v>
      </c>
      <c r="S1" s="1704" t="s">
        <v>2588</v>
      </c>
      <c r="T1" s="1704" t="s">
        <v>2589</v>
      </c>
      <c r="U1" s="1704" t="s">
        <v>2590</v>
      </c>
      <c r="V1" s="1704" t="s">
        <v>2591</v>
      </c>
      <c r="W1" s="1708"/>
      <c r="X1" s="1708"/>
      <c r="Y1" s="1708"/>
      <c r="Z1" s="1708"/>
      <c r="AA1" s="1708"/>
      <c r="AB1" s="1708"/>
      <c r="AC1" s="1709"/>
      <c r="AD1" s="1710"/>
      <c r="AE1" s="1710"/>
      <c r="AF1" s="1710"/>
      <c r="AG1" s="1710"/>
      <c r="AH1" s="1710"/>
      <c r="AI1" s="1710"/>
      <c r="AJ1" s="1711"/>
    </row>
    <row r="2" spans="1:36" ht="24.75">
      <c r="A2" s="165" t="s">
        <v>2592</v>
      </c>
      <c r="B2" s="168" t="e">
        <f>C26</f>
        <v>#DIV/0!</v>
      </c>
      <c r="C2" s="2500" t="s">
        <v>2593</v>
      </c>
      <c r="D2" s="2501" t="s">
        <v>2594</v>
      </c>
      <c r="E2" s="2502"/>
      <c r="F2" s="2501" t="s">
        <v>2595</v>
      </c>
      <c r="G2" s="2503" t="str">
        <f>项目基本情况!F9</f>
        <v>二级</v>
      </c>
      <c r="H2" s="2504" t="s">
        <v>2596</v>
      </c>
      <c r="I2" s="2503" t="str">
        <f>项目基本情况!F10</f>
        <v>Ⅱ—03</v>
      </c>
      <c r="J2" s="2505"/>
      <c r="L2" s="2506" t="s">
        <v>2597</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2598</v>
      </c>
      <c r="B3" s="168" t="e">
        <f>ROUND(B2/D1,0)</f>
        <v>#DIV/0!</v>
      </c>
      <c r="C3" s="2500" t="s">
        <v>2599</v>
      </c>
      <c r="D3" s="2501" t="s">
        <v>2600</v>
      </c>
      <c r="E3" s="2507"/>
      <c r="F3" s="2508" t="s">
        <v>2601</v>
      </c>
      <c r="G3" s="940">
        <f>项目基本情况!C15</f>
        <v>0</v>
      </c>
      <c r="H3" s="115" t="s">
        <v>2602</v>
      </c>
      <c r="I3" s="969"/>
      <c r="J3" s="2505" t="s">
        <v>2603</v>
      </c>
      <c r="L3" s="2506" t="s">
        <v>2604</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4"/>
      <c r="B4" s="3095"/>
      <c r="C4" s="3095"/>
      <c r="D4" s="3096"/>
      <c r="E4" s="3096"/>
      <c r="F4" s="3096"/>
      <c r="G4" s="3096"/>
      <c r="H4" s="3096"/>
      <c r="I4" s="3096"/>
      <c r="J4" s="3097"/>
      <c r="L4" s="2506" t="s">
        <v>2605</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2606</v>
      </c>
      <c r="B5" s="2510" t="s">
        <v>2607</v>
      </c>
      <c r="C5" s="2716" t="e">
        <f>ROUND(IF(E2="商业",C6*C7+C16,(IF(E2="住宅",C6*C12+C16,C6+C16))),0)</f>
        <v>#DIV/0!</v>
      </c>
      <c r="D5" s="2717" t="e">
        <f>ROUND(C6+C16,0)</f>
        <v>#DIV/0!</v>
      </c>
      <c r="E5" s="2717"/>
      <c r="F5" s="2718"/>
      <c r="G5" s="2511"/>
      <c r="H5" s="2511"/>
      <c r="I5" s="2511"/>
      <c r="J5" s="2512"/>
      <c r="K5" s="2513"/>
      <c r="L5" s="2506" t="s">
        <v>2608</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2609</v>
      </c>
      <c r="C6" s="941">
        <f>SUMIF(L1:L12,G2,M1:M12)</f>
        <v>0</v>
      </c>
      <c r="D6" s="2520" t="s">
        <v>2610</v>
      </c>
      <c r="E6" s="2521"/>
      <c r="F6" s="2521"/>
      <c r="G6" s="2522"/>
      <c r="H6" s="2522"/>
      <c r="I6" s="2522"/>
      <c r="J6" s="2523"/>
      <c r="K6" s="2524"/>
      <c r="L6" s="2506" t="s">
        <v>2611</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98" t="str">
        <f>IF(E2="商业",IF(C8="不临58条商业街","",2),"")</f>
        <v/>
      </c>
      <c r="B7" s="2525" t="s">
        <v>2612</v>
      </c>
      <c r="C7" s="942" t="e">
        <f>IF(C8="不临58条商业街",1,ROUND(1+(1.6*E8+1.2*E9+0.8*E10+0.4*E11)*C9,4))</f>
        <v>#DIV/0!</v>
      </c>
      <c r="D7" s="2526" t="s">
        <v>2613</v>
      </c>
      <c r="E7" s="970"/>
      <c r="F7" s="2527"/>
      <c r="G7" s="2528"/>
      <c r="H7" s="2528"/>
      <c r="I7" s="2528"/>
      <c r="J7" s="2529"/>
      <c r="K7" s="2524"/>
      <c r="L7" s="2506" t="s">
        <v>2614</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2615</v>
      </c>
      <c r="X7" s="1706" t="str">
        <f>G2</f>
        <v>二级</v>
      </c>
      <c r="Y7" s="1706" t="s">
        <v>2616</v>
      </c>
      <c r="Z7" s="1707">
        <f>G3</f>
        <v>0</v>
      </c>
      <c r="AA7" s="1708"/>
      <c r="AB7" s="1708"/>
      <c r="AC7" s="1709"/>
      <c r="AD7" s="1710"/>
      <c r="AE7" s="1710"/>
      <c r="AF7" s="1710"/>
      <c r="AG7" s="1710"/>
      <c r="AH7" s="1710"/>
      <c r="AI7" s="1710"/>
      <c r="AJ7" s="1711"/>
    </row>
    <row r="8" spans="1:36" ht="15">
      <c r="A8" s="3099"/>
      <c r="B8" s="115" t="s">
        <v>2617</v>
      </c>
      <c r="C8" s="2530"/>
      <c r="D8" s="943" t="s">
        <v>89</v>
      </c>
      <c r="E8" s="944" t="e">
        <f>ROUND(C11/E7,4)</f>
        <v>#DIV/0!</v>
      </c>
      <c r="F8" s="2531" t="s">
        <v>2618</v>
      </c>
      <c r="G8" s="2532"/>
      <c r="H8" s="2532"/>
      <c r="I8" s="2532"/>
      <c r="J8" s="2533"/>
      <c r="L8" s="2506" t="s">
        <v>2619</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1" t="s">
        <v>2620</v>
      </c>
      <c r="X8" s="3092"/>
      <c r="Y8" s="1712" t="s">
        <v>2621</v>
      </c>
      <c r="Z8" s="1712" t="s">
        <v>2622</v>
      </c>
      <c r="AA8" s="1712" t="s">
        <v>2623</v>
      </c>
      <c r="AB8" s="1712" t="s">
        <v>2624</v>
      </c>
      <c r="AC8" s="1712" t="s">
        <v>2625</v>
      </c>
      <c r="AD8" s="1712" t="s">
        <v>2626</v>
      </c>
      <c r="AE8" s="1712" t="s">
        <v>2627</v>
      </c>
      <c r="AF8" s="1712" t="s">
        <v>2628</v>
      </c>
      <c r="AG8" s="1712" t="s">
        <v>2629</v>
      </c>
      <c r="AH8" s="1712" t="s">
        <v>2630</v>
      </c>
      <c r="AI8" s="1712" t="s">
        <v>2631</v>
      </c>
      <c r="AJ8" s="1712" t="s">
        <v>2632</v>
      </c>
    </row>
    <row r="9" spans="1:36" ht="15">
      <c r="A9" s="3099"/>
      <c r="B9" s="115" t="s">
        <v>2633</v>
      </c>
      <c r="C9" s="945">
        <f>SUMIF(修正!C59:C119,C8,修正!E59:E119)</f>
        <v>0</v>
      </c>
      <c r="D9" s="117" t="s">
        <v>90</v>
      </c>
      <c r="E9" s="117" t="e">
        <f>ROUND(C11/E7,4)</f>
        <v>#DIV/0!</v>
      </c>
      <c r="F9" s="2531" t="s">
        <v>2634</v>
      </c>
      <c r="G9" s="2532"/>
      <c r="H9" s="2532"/>
      <c r="I9" s="2532"/>
      <c r="J9" s="2533"/>
      <c r="L9" s="2506" t="s">
        <v>2635</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3" t="s">
        <v>2636</v>
      </c>
      <c r="X9" s="1713" t="s">
        <v>2637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99"/>
      <c r="B10" s="115" t="s">
        <v>2638</v>
      </c>
      <c r="C10" s="117">
        <f>SUMIF(修正!C59:C119,C8,修正!F59:F119)</f>
        <v>0</v>
      </c>
      <c r="D10" s="117" t="s">
        <v>91</v>
      </c>
      <c r="E10" s="117" t="e">
        <f>ROUND(C11/E7,4)</f>
        <v>#DIV/0!</v>
      </c>
      <c r="F10" s="2531" t="s">
        <v>2639</v>
      </c>
      <c r="G10" s="2532"/>
      <c r="H10" s="2532"/>
      <c r="I10" s="2532"/>
      <c r="J10" s="2533"/>
      <c r="L10" s="2506" t="s">
        <v>2640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99"/>
      <c r="B11" s="2534" t="s">
        <v>2641</v>
      </c>
      <c r="C11" s="946">
        <f>C10/4</f>
        <v>0</v>
      </c>
      <c r="D11" s="946" t="s">
        <v>92</v>
      </c>
      <c r="E11" s="946" t="e">
        <f>ROUND(C11/E7,4)</f>
        <v>#DIV/0!</v>
      </c>
      <c r="F11" s="2535" t="s">
        <v>2642</v>
      </c>
      <c r="G11" s="2536"/>
      <c r="H11" s="2536"/>
      <c r="I11" s="2536"/>
      <c r="J11" s="2537"/>
      <c r="L11" s="2506" t="s">
        <v>2643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3" t="s">
        <v>2644</v>
      </c>
      <c r="X11" s="1717" t="s">
        <v>2645</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98" t="str">
        <f>IF(E2="住宅",2,"")</f>
        <v/>
      </c>
      <c r="B12" s="2538" t="s">
        <v>2646</v>
      </c>
      <c r="C12" s="942">
        <f>ROUND(C15*D15*E15*F15*G15*H15*I15*J15,4)</f>
        <v>1.32</v>
      </c>
      <c r="D12" s="2539" t="s">
        <v>2647</v>
      </c>
      <c r="E12" s="2540"/>
      <c r="F12" s="2540"/>
      <c r="G12" s="2541"/>
      <c r="H12" s="2541"/>
      <c r="I12" s="2541"/>
      <c r="J12" s="2542"/>
      <c r="L12" s="2543" t="s">
        <v>2648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3"/>
      <c r="X12" s="1719" t="s">
        <v>2649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0"/>
      <c r="B13" s="2544" t="s">
        <v>2650</v>
      </c>
      <c r="C13" s="2545" t="s">
        <v>2651</v>
      </c>
      <c r="D13" s="2546" t="s">
        <v>2652</v>
      </c>
      <c r="E13" s="2546" t="s">
        <v>2653</v>
      </c>
      <c r="F13" s="20" t="s">
        <v>2654</v>
      </c>
      <c r="G13" s="2547" t="s">
        <v>2655</v>
      </c>
      <c r="H13" s="2547" t="s">
        <v>2655</v>
      </c>
      <c r="I13" s="2547" t="s">
        <v>2655</v>
      </c>
      <c r="J13" s="2548" t="s">
        <v>2655</v>
      </c>
      <c r="L13" s="1457"/>
      <c r="M13" s="1457"/>
      <c r="N13" s="1457"/>
      <c r="O13" s="1457"/>
      <c r="P13" s="1457"/>
      <c r="Q13" s="1457"/>
      <c r="R13" s="1704">
        <v>12</v>
      </c>
      <c r="S13" s="1705"/>
      <c r="T13" s="1704" t="e">
        <f t="shared" si="0"/>
        <v>#DIV/0!</v>
      </c>
      <c r="U13" s="1705"/>
      <c r="V13" s="1704" t="e">
        <f t="shared" si="1"/>
        <v>#DIV/0!</v>
      </c>
      <c r="W13" s="309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0"/>
      <c r="B14" s="2549"/>
      <c r="C14" s="2550" t="s">
        <v>2656</v>
      </c>
      <c r="D14" s="2551" t="s">
        <v>2657</v>
      </c>
      <c r="E14" s="2551" t="s">
        <v>2657</v>
      </c>
      <c r="F14" s="2552" t="s">
        <v>2658</v>
      </c>
      <c r="G14" s="2553" t="s">
        <v>2659</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1"/>
      <c r="B15" s="2557" t="s">
        <v>2660</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2" t="b">
        <f>IF(E2="办公",2,IF(E2="工业",2,IF(E2="住宅",3,IF(E2="商业",IF(C8="不临58条商业街",2,3)))))</f>
        <v>0</v>
      </c>
      <c r="B16" s="2725" t="s">
        <v>2666</v>
      </c>
      <c r="C16" s="2719" t="e">
        <f>ROUND(IF(F17="与级别开发程度一致",0,(G17-E17)/C17),0)</f>
        <v>#DIV/0!</v>
      </c>
      <c r="D16" s="3115" t="s">
        <v>2670</v>
      </c>
      <c r="E16" s="3116"/>
      <c r="F16" s="3115" t="s">
        <v>2667</v>
      </c>
      <c r="G16" s="3116"/>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3"/>
      <c r="B17" s="2726" t="s">
        <v>2669</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2672</v>
      </c>
      <c r="B18" s="2720" t="s">
        <v>2673</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2674</v>
      </c>
      <c r="B19" s="2563" t="s">
        <v>2675</v>
      </c>
      <c r="C19" s="947">
        <f>ROUND(IF(H19="按公示增长率计算",SUMPRODUCT((地价!A3:A29=YEAR(G19)&amp;"-"&amp;ROUNDUP(MONTH(G19)/3,0))*(地价!X2:AB2=E2)*(地价!X3:AB29)),IF(H19="地价指数",M20/M19,(1+I19)^O19)),4)</f>
        <v>0</v>
      </c>
      <c r="D19" s="2567" t="s">
        <v>2676</v>
      </c>
      <c r="E19" s="948">
        <v>41640</v>
      </c>
      <c r="F19" s="2567" t="s">
        <v>2677</v>
      </c>
      <c r="G19" s="949">
        <f>'数据-取费表'!B2</f>
        <v>43916</v>
      </c>
      <c r="H19" s="2568" t="s">
        <v>2814</v>
      </c>
      <c r="I19" s="950" t="str">
        <f>IF(H19="季度增幅（自定义）",SUMIF(N21:N24,E2,O21:O24),"")</f>
        <v/>
      </c>
      <c r="J19" s="2564"/>
      <c r="K19" s="2565"/>
      <c r="L19" s="2569" t="s">
        <v>2678</v>
      </c>
      <c r="M19" s="1821">
        <f>ROUND(SUMIF(地价!B2:F2,E2,地价!B29:F29),0)</f>
        <v>0</v>
      </c>
      <c r="N19" s="1461" t="s">
        <v>2679</v>
      </c>
      <c r="O19" s="951">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2680</v>
      </c>
      <c r="B20" s="2574" t="s">
        <v>2681</v>
      </c>
      <c r="C20" s="952" t="e">
        <f>ROUND(POWER(1+G20,J20-I20)*(POWER(1+G20,I20)-1)/(POWER(1+G20,J20)-1),4)</f>
        <v>#DIV/0!</v>
      </c>
      <c r="D20" s="2575" t="s">
        <v>2682</v>
      </c>
      <c r="E20" s="1851">
        <f ca="1">存贷款利率!D4/100</f>
        <v>4.3499999999999997E-2</v>
      </c>
      <c r="F20" s="2575" t="s">
        <v>2671</v>
      </c>
      <c r="G20" s="958">
        <f>SUMIF(M26:P26,E2,M28:P28)</f>
        <v>0</v>
      </c>
      <c r="H20" s="2575" t="s">
        <v>2683</v>
      </c>
      <c r="I20" s="959">
        <f>'数据-取费表'!B13</f>
        <v>30.65</v>
      </c>
      <c r="J20" s="960">
        <f>IF(E2="住宅",70,IF(E2="商业",40,50))</f>
        <v>50</v>
      </c>
      <c r="K20" s="2565"/>
      <c r="L20" s="2576" t="s">
        <v>2684</v>
      </c>
      <c r="M20" s="1822">
        <f>ROUND(SUMPRODUCT((地价!A4:A29=YEAR(G19)&amp;"-"&amp;ROUNDUP(MONTH(G19)/3,0))*(地价!B2:F2=E2)*(地价!B4:F29)),0)</f>
        <v>0</v>
      </c>
      <c r="N20" s="2577" t="s">
        <v>2685</v>
      </c>
      <c r="O20" s="2578" t="s">
        <v>2686</v>
      </c>
      <c r="P20" s="2579" t="s">
        <v>2687</v>
      </c>
      <c r="R20" s="1457"/>
      <c r="S20" s="1457"/>
      <c r="T20" s="1457"/>
      <c r="U20" s="1457"/>
      <c r="V20" s="1457"/>
      <c r="W20" s="1457"/>
      <c r="X20" s="1457"/>
      <c r="Y20" s="1457"/>
      <c r="Z20" s="1457"/>
      <c r="AA20" s="1457"/>
      <c r="AB20" s="1457"/>
      <c r="AC20" s="1457"/>
      <c r="AD20" s="1457"/>
      <c r="AE20" s="2565"/>
      <c r="AF20" s="2565"/>
    </row>
    <row r="21" spans="1:37" s="2517" customFormat="1" ht="14.25">
      <c r="A21" s="2580" t="s">
        <v>2688</v>
      </c>
      <c r="B21" s="2581" t="s">
        <v>2689</v>
      </c>
      <c r="C21" s="961" t="b">
        <f>IF(B21="容积率修正",IF(G3&lt;=10,D22,J22),C23)</f>
        <v>0</v>
      </c>
      <c r="D21" s="2582"/>
      <c r="E21" s="2582"/>
      <c r="F21" s="2582"/>
      <c r="G21" s="2582"/>
      <c r="H21" s="2582"/>
      <c r="I21" s="2582"/>
      <c r="J21" s="2583"/>
      <c r="K21" s="2565"/>
      <c r="N21" s="2584" t="s">
        <v>2690</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2691</v>
      </c>
      <c r="C22" s="1893" t="s">
        <v>2692</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5"/>
      <c r="N22" s="2584" t="s">
        <v>2693</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2694</v>
      </c>
      <c r="C23" s="953" t="e">
        <f>ROUND(IF(G3&gt;1,IF(I3&lt;7,SUMPRODUCT((B93:B98=I3)*(C92:N92=G2)*(C93:N98)),SUMIF(C92:N92,G2,C100:N100)),IF(I3&lt;7,SUMPRODUCT((B102:B107=I3)*(C92:N92=G2)*(C102:N107)),SUMIF(C92:N92,G2,C109:N109))),4)</f>
        <v>#DIV/0!</v>
      </c>
      <c r="D23" s="2554"/>
      <c r="E23" s="2554"/>
      <c r="F23" s="2587"/>
      <c r="G23" s="2588"/>
      <c r="H23" s="2589"/>
      <c r="I23" s="2590"/>
      <c r="J23" s="2591"/>
      <c r="N23" s="2584" t="s">
        <v>2695</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2696</v>
      </c>
      <c r="B24" s="2593" t="s">
        <v>2697</v>
      </c>
      <c r="C24" s="963">
        <f>SUMIF(A46:A88,E2,B46:B88)</f>
        <v>0</v>
      </c>
      <c r="D24" s="2594"/>
      <c r="E24" s="2595"/>
      <c r="F24" s="2595"/>
      <c r="G24" s="2595"/>
      <c r="H24" s="2595"/>
      <c r="I24" s="2595"/>
      <c r="J24" s="2596"/>
      <c r="K24" s="2565"/>
      <c r="N24" s="2597" t="s">
        <v>2698</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2699</v>
      </c>
      <c r="B25" s="2598" t="s">
        <v>2700</v>
      </c>
      <c r="C25" s="954"/>
      <c r="D25" s="2528"/>
      <c r="E25" s="2528"/>
      <c r="F25" s="2599"/>
      <c r="G25" s="2528"/>
      <c r="H25" s="2528"/>
      <c r="I25" s="2528"/>
      <c r="J25" s="2529"/>
      <c r="L25" s="1457"/>
      <c r="M25" s="1457"/>
      <c r="N25" s="2600" t="s">
        <v>2701</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2702</v>
      </c>
      <c r="C26" s="123" t="e">
        <f>E29+SUM(E33:E39)</f>
        <v>#DIV/0!</v>
      </c>
      <c r="D26" s="2602"/>
      <c r="E26" s="2554"/>
      <c r="F26" s="2603"/>
      <c r="G26" s="2554"/>
      <c r="H26" s="2554"/>
      <c r="I26" s="2554"/>
      <c r="J26" s="2604"/>
      <c r="L26" s="2558" t="s">
        <v>2661</v>
      </c>
      <c r="M26" s="943" t="s">
        <v>2662</v>
      </c>
      <c r="N26" s="943" t="s">
        <v>2663</v>
      </c>
      <c r="O26" s="943" t="s">
        <v>2664</v>
      </c>
      <c r="P26" s="2559" t="s">
        <v>2665</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2703</v>
      </c>
      <c r="C27" s="955" t="e">
        <f>E30+SUM(I33:I39)</f>
        <v>#DIV/0!</v>
      </c>
      <c r="D27" s="2606"/>
      <c r="E27" s="2607"/>
      <c r="F27" s="2608"/>
      <c r="G27" s="2607"/>
      <c r="H27" s="2607"/>
      <c r="I27" s="2607"/>
      <c r="J27" s="2609"/>
      <c r="L27" s="1455" t="s">
        <v>2668</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2704</v>
      </c>
      <c r="C28" s="2611" t="s">
        <v>2705</v>
      </c>
      <c r="D28" s="2611" t="s">
        <v>2706</v>
      </c>
      <c r="E28" s="2612" t="s">
        <v>2707</v>
      </c>
      <c r="F28" s="2613"/>
      <c r="G28" s="2541"/>
      <c r="H28" s="2541"/>
      <c r="I28" s="2541"/>
      <c r="J28" s="2542"/>
      <c r="L28" s="1459" t="s">
        <v>2671</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2708</v>
      </c>
      <c r="C29" s="123" t="e">
        <f>ROUND(C5*C18*C19*C20*C21*C24,0)</f>
        <v>#DIV/0!</v>
      </c>
      <c r="D29" s="2616"/>
      <c r="E29" s="967" t="e">
        <f>ROUND(C29*D29,0)</f>
        <v>#DIV/0!</v>
      </c>
      <c r="F29" s="2617" t="s">
        <v>2709</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2710</v>
      </c>
      <c r="C30" s="150" t="e">
        <f>ROUND(IF(E2="工业",C29*M39,C29*M38),0)</f>
        <v>#DIV/0!</v>
      </c>
      <c r="D30" s="2622"/>
      <c r="E30" s="967" t="e">
        <f>ROUND(C30*D30,0)</f>
        <v>#DIV/0!</v>
      </c>
      <c r="F30" s="2623" t="s">
        <v>2711</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2712</v>
      </c>
      <c r="C31" s="2628" t="s">
        <v>2713</v>
      </c>
      <c r="D31" s="2541"/>
      <c r="E31" s="2628"/>
      <c r="F31" s="2628"/>
      <c r="G31" s="2539" t="s">
        <v>2714</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2705</v>
      </c>
      <c r="D32" s="479" t="s">
        <v>2706</v>
      </c>
      <c r="E32" s="479" t="s">
        <v>2707</v>
      </c>
      <c r="F32" s="367" t="s">
        <v>2715</v>
      </c>
      <c r="G32" s="953" t="s">
        <v>2705</v>
      </c>
      <c r="H32" s="953" t="s">
        <v>2706</v>
      </c>
      <c r="I32" s="953" t="s">
        <v>2707</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112" t="s">
        <v>2716</v>
      </c>
      <c r="B33" s="2631" t="s">
        <v>2717</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3"/>
      <c r="B34" s="2545" t="s">
        <v>2718</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3"/>
      <c r="B35" s="2545" t="s">
        <v>2719</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4"/>
      <c r="B36" s="2545" t="s">
        <v>2720</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2721</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2722</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2723</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2724</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2725</v>
      </c>
      <c r="C39" s="150" t="e">
        <f>ROUND(D5*C19*C41*C24*F39,0)</f>
        <v>#DIV/0!</v>
      </c>
      <c r="D39" s="2622"/>
      <c r="E39" s="150" t="e">
        <f t="shared" si="6"/>
        <v>#DIV/0!</v>
      </c>
      <c r="F39" s="956">
        <f>SUMIF(修正!A45:A56,G2,修正!H45:H56)</f>
        <v>0.25</v>
      </c>
      <c r="G39" s="150" t="e">
        <f>ROUND(IF(E2="工业",C39*$M$39,C39*$M$38),0)</f>
        <v>#DIV/0!</v>
      </c>
      <c r="H39" s="150">
        <f t="shared" si="9"/>
        <v>0</v>
      </c>
      <c r="I39" s="150" t="e">
        <f t="shared" si="8"/>
        <v>#DIV/0!</v>
      </c>
      <c r="J39" s="2639"/>
      <c r="L39" s="2640" t="s">
        <v>2665</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2807</v>
      </c>
      <c r="C41" s="367" t="e">
        <f>ROUND(POWER(1+E41,H41-G41)*(POWER(1+E41,G41)-1)/(POWER(1+E41,H41)-1),4)</f>
        <v>#DIV/0!</v>
      </c>
      <c r="D41" s="117" t="s">
        <v>2805</v>
      </c>
      <c r="E41" s="826">
        <f>G20</f>
        <v>0</v>
      </c>
      <c r="F41" s="117" t="s">
        <v>2806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2726</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2727</v>
      </c>
      <c r="B46" s="2648">
        <f>1+E48</f>
        <v>1</v>
      </c>
      <c r="C46" s="2649"/>
      <c r="D46" s="816"/>
      <c r="E46" s="817"/>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2728</v>
      </c>
      <c r="B47" s="822" t="s">
        <v>2729</v>
      </c>
      <c r="C47" s="822" t="s">
        <v>2730</v>
      </c>
      <c r="D47" s="822" t="s">
        <v>2731</v>
      </c>
      <c r="E47" s="823" t="s">
        <v>2732</v>
      </c>
      <c r="F47" s="2653" t="s">
        <v>2733</v>
      </c>
      <c r="G47" s="822" t="s">
        <v>2734</v>
      </c>
      <c r="H47" s="2654" t="s">
        <v>2735</v>
      </c>
      <c r="I47" s="822" t="s">
        <v>2736</v>
      </c>
      <c r="J47" s="587" t="s">
        <v>2737</v>
      </c>
      <c r="K47" s="587" t="s">
        <v>2738</v>
      </c>
      <c r="L47" s="587" t="s">
        <v>2739</v>
      </c>
      <c r="M47" s="587" t="s">
        <v>2740</v>
      </c>
      <c r="N47" s="587" t="s">
        <v>2741</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2742</v>
      </c>
      <c r="B48" s="2655" t="str">
        <f>估价对象房地状况!C16</f>
        <v>估价对象位于XX商圈，周边商业氛围成熟，人流量大，商业繁华度好</v>
      </c>
      <c r="C48" s="2551"/>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89.25">
      <c r="A49" s="2652" t="s">
        <v>2743</v>
      </c>
      <c r="B49" s="2656" t="str">
        <f>估价对象房地状况!C18</f>
        <v>估价对象周边道路状况较好、公共交通通达情况较好、有304路、386路、549路及地铁10号线、4号线等经过并设站、停车便捷程度较好，综合评价交通便捷度较好</v>
      </c>
      <c r="C49" s="2551"/>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2744</v>
      </c>
      <c r="B50" s="2656">
        <f>估价对象房地状况!C19</f>
        <v>0</v>
      </c>
      <c r="C50" s="2551"/>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2745</v>
      </c>
      <c r="B51" s="2657" t="s">
        <v>2746</v>
      </c>
      <c r="C51" s="2551"/>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2747</v>
      </c>
      <c r="B52" s="2656" t="str">
        <f>估价对象房地状况!C24</f>
        <v>城市主干道-知春路</v>
      </c>
      <c r="C52" s="2551"/>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2748</v>
      </c>
      <c r="B53" s="2658" t="s">
        <v>2749</v>
      </c>
      <c r="C53" s="2551"/>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2750</v>
      </c>
      <c r="B54" s="2660" t="str">
        <f>估价对象房地状况!C21</f>
        <v>估价对象所在区域公共配套设施齐备情况较齐全</v>
      </c>
      <c r="C54" s="2551"/>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2751</v>
      </c>
      <c r="B55" s="2656" t="str">
        <f>估价对象房地状况!C22</f>
        <v>估价对象所在区域基础设施水平较高</v>
      </c>
      <c r="C55" s="2551"/>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2752</v>
      </c>
      <c r="B56" s="2662" t="str">
        <f>估价对象房地状况!C20</f>
        <v>区域自然环境：知春公园；人文环境：中国人民大学，较好</v>
      </c>
      <c r="C56" s="2551"/>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2753</v>
      </c>
      <c r="B57" s="2663">
        <f>1+E59</f>
        <v>1</v>
      </c>
      <c r="C57" s="816"/>
      <c r="D57" s="816"/>
      <c r="E57" s="817"/>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2728</v>
      </c>
      <c r="B58" s="2656"/>
      <c r="C58" s="822" t="s">
        <v>2730</v>
      </c>
      <c r="D58" s="822" t="s">
        <v>2731</v>
      </c>
      <c r="E58" s="823" t="s">
        <v>2732</v>
      </c>
      <c r="F58" s="2653" t="s">
        <v>2733</v>
      </c>
      <c r="G58" s="822" t="s">
        <v>2754</v>
      </c>
      <c r="H58" s="2654" t="s">
        <v>2755</v>
      </c>
      <c r="I58" s="822" t="s">
        <v>2756</v>
      </c>
      <c r="J58" s="587" t="s">
        <v>2390</v>
      </c>
      <c r="K58" s="587" t="s">
        <v>2391</v>
      </c>
      <c r="L58" s="587" t="s">
        <v>2392</v>
      </c>
      <c r="M58" s="587" t="s">
        <v>2393</v>
      </c>
      <c r="N58" s="587" t="s">
        <v>2394</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1">
      <c r="A59" s="2652" t="s">
        <v>2757</v>
      </c>
      <c r="B59" s="2655" t="str">
        <f>估价对象房地状况!C17</f>
        <v>估价对象位于知春路商圈，周边办公楼项目较多，入驻率高，办公集聚程度较好</v>
      </c>
      <c r="C59" s="2551"/>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89.25">
      <c r="A60" s="2652" t="s">
        <v>2743</v>
      </c>
      <c r="B60" s="2656" t="str">
        <f>估价对象房地状况!C18</f>
        <v>估价对象周边道路状况较好、公共交通通达情况较好、有304路、386路、549路及地铁10号线、4号线等经过并设站、停车便捷程度较好，综合评价交通便捷度较好</v>
      </c>
      <c r="C60" s="2551"/>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2744</v>
      </c>
      <c r="B61" s="2656">
        <f>估价对象房地状况!C19</f>
        <v>0</v>
      </c>
      <c r="C61" s="2551"/>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2745</v>
      </c>
      <c r="B62" s="2657" t="s">
        <v>2746</v>
      </c>
      <c r="C62" s="2551"/>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2747</v>
      </c>
      <c r="B63" s="2656" t="str">
        <f>估价对象房地状况!C24</f>
        <v>城市主干道-知春路</v>
      </c>
      <c r="C63" s="2551"/>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2748</v>
      </c>
      <c r="B64" s="2658" t="s">
        <v>2749</v>
      </c>
      <c r="C64" s="2551"/>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2750</v>
      </c>
      <c r="B65" s="2660" t="str">
        <f>估价对象房地状况!C21</f>
        <v>估价对象所在区域公共配套设施齐备情况较齐全</v>
      </c>
      <c r="C65" s="2551"/>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2751</v>
      </c>
      <c r="B66" s="2660" t="str">
        <f>估价对象房地状况!C22</f>
        <v>估价对象所在区域基础设施水平较高</v>
      </c>
      <c r="C66" s="2551"/>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2752</v>
      </c>
      <c r="B67" s="2664" t="str">
        <f>估价对象房地状况!C20</f>
        <v>区域自然环境：知春公园；人文环境：中国人民大学，较好</v>
      </c>
      <c r="C67" s="2551"/>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2758</v>
      </c>
      <c r="B68" s="2663">
        <f>1+E70</f>
        <v>1</v>
      </c>
      <c r="C68" s="816"/>
      <c r="D68" s="816"/>
      <c r="E68" s="817"/>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2728</v>
      </c>
      <c r="B69" s="2656"/>
      <c r="C69" s="822" t="s">
        <v>2730</v>
      </c>
      <c r="D69" s="822" t="s">
        <v>2731</v>
      </c>
      <c r="E69" s="823" t="s">
        <v>2732</v>
      </c>
      <c r="F69" s="2653" t="s">
        <v>2733</v>
      </c>
      <c r="G69" s="822" t="s">
        <v>2754</v>
      </c>
      <c r="H69" s="2654" t="s">
        <v>2755</v>
      </c>
      <c r="I69" s="822" t="s">
        <v>2756</v>
      </c>
      <c r="J69" s="587" t="s">
        <v>2390</v>
      </c>
      <c r="K69" s="587" t="s">
        <v>2391</v>
      </c>
      <c r="L69" s="587" t="s">
        <v>2392</v>
      </c>
      <c r="M69" s="587" t="s">
        <v>2393</v>
      </c>
      <c r="N69" s="587" t="s">
        <v>2394</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2759</v>
      </c>
      <c r="B70" s="2655" t="str">
        <f>估价对象房地状况!C15</f>
        <v>估价对象周边居住用地比例、居住小区规模和社区发展完善程度，综合评价居住社区成熟度一般</v>
      </c>
      <c r="C70" s="2551"/>
      <c r="D70" s="1371">
        <f t="shared" ref="D70:D78" si="20">SUMIF($J$69:$N$69,C70,J70:N70)</f>
        <v>0</v>
      </c>
      <c r="E70" s="828">
        <f>ROUND(SUM(D70:D78),4)</f>
        <v>0</v>
      </c>
      <c r="F70" s="2269"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89.25">
      <c r="A71" s="2652" t="s">
        <v>2743</v>
      </c>
      <c r="B71" s="2656" t="str">
        <f>估价对象房地状况!C18</f>
        <v>估价对象周边道路状况较好、公共交通通达情况较好、有304路、386路、549路及地铁10号线、4号线等经过并设站、停车便捷程度较好，综合评价交通便捷度较好</v>
      </c>
      <c r="C71" s="2551"/>
      <c r="D71" s="1371">
        <f t="shared" si="20"/>
        <v>0</v>
      </c>
      <c r="E71" s="839"/>
      <c r="F71" s="2665"/>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2744</v>
      </c>
      <c r="B72" s="2656">
        <f>估价对象房地状况!C19</f>
        <v>0</v>
      </c>
      <c r="C72" s="2551"/>
      <c r="D72" s="1371">
        <f t="shared" si="20"/>
        <v>0</v>
      </c>
      <c r="E72" s="839"/>
      <c r="F72" s="2665"/>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2760</v>
      </c>
      <c r="B73" s="2656" t="str">
        <f>估价对象房地状况!C24</f>
        <v>城市主干道-知春路</v>
      </c>
      <c r="C73" s="2551"/>
      <c r="D73" s="1371">
        <f t="shared" si="20"/>
        <v>0</v>
      </c>
      <c r="E73" s="839"/>
      <c r="F73" s="2665"/>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2750</v>
      </c>
      <c r="B74" s="2660" t="str">
        <f>估价对象房地状况!C21</f>
        <v>估价对象所在区域公共配套设施齐备情况较齐全</v>
      </c>
      <c r="C74" s="2551"/>
      <c r="D74" s="1371">
        <f t="shared" si="20"/>
        <v>0</v>
      </c>
      <c r="E74" s="839"/>
      <c r="F74" s="2665"/>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2751</v>
      </c>
      <c r="B75" s="2660" t="str">
        <f>估价对象房地状况!C22</f>
        <v>估价对象所在区域基础设施水平较高</v>
      </c>
      <c r="C75" s="2551"/>
      <c r="D75" s="1371">
        <f t="shared" si="20"/>
        <v>0</v>
      </c>
      <c r="E75" s="839"/>
      <c r="F75" s="2665"/>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2748</v>
      </c>
      <c r="B76" s="2658" t="s">
        <v>2749</v>
      </c>
      <c r="C76" s="2551"/>
      <c r="D76" s="1371">
        <f t="shared" si="20"/>
        <v>0</v>
      </c>
      <c r="E76" s="839"/>
      <c r="F76" s="2665"/>
      <c r="G76" s="1372"/>
      <c r="H76" s="1376" t="str">
        <f t="shared" si="21"/>
        <v>——</v>
      </c>
      <c r="I76" s="827">
        <v>0.05</v>
      </c>
      <c r="J76" s="1373">
        <f t="shared" si="22"/>
        <v>0</v>
      </c>
      <c r="K76" s="1373">
        <f t="shared" si="23"/>
        <v>0</v>
      </c>
      <c r="L76" s="1373">
        <v>0</v>
      </c>
      <c r="M76" s="1373">
        <f t="shared" si="24"/>
        <v>0</v>
      </c>
      <c r="N76" s="1373">
        <f t="shared" si="24"/>
        <v>0</v>
      </c>
      <c r="Z76" s="2499"/>
      <c r="AA76" s="2566"/>
      <c r="AG76" s="2642"/>
      <c r="AK76" s="2566"/>
    </row>
    <row r="77" spans="1:37" ht="38.25">
      <c r="A77" s="2652" t="s">
        <v>2752</v>
      </c>
      <c r="B77" s="2655" t="str">
        <f>估价对象房地状况!C20</f>
        <v>区域自然环境：知春公园；人文环境：中国人民大学，较好</v>
      </c>
      <c r="C77" s="2551"/>
      <c r="D77" s="1371">
        <f t="shared" si="20"/>
        <v>0</v>
      </c>
      <c r="E77" s="839"/>
      <c r="F77" s="2665"/>
      <c r="G77" s="1372"/>
      <c r="H77" s="1376" t="str">
        <f t="shared" si="21"/>
        <v>——</v>
      </c>
      <c r="I77" s="827">
        <v>0.15</v>
      </c>
      <c r="J77" s="1373">
        <f t="shared" si="22"/>
        <v>0</v>
      </c>
      <c r="K77" s="1373">
        <f t="shared" si="23"/>
        <v>0</v>
      </c>
      <c r="L77" s="1373">
        <v>0</v>
      </c>
      <c r="M77" s="1373">
        <f t="shared" si="24"/>
        <v>0</v>
      </c>
      <c r="N77" s="1373">
        <f t="shared" si="24"/>
        <v>0</v>
      </c>
      <c r="Z77" s="2499"/>
      <c r="AA77" s="2566"/>
      <c r="AG77" s="2642"/>
      <c r="AK77" s="2566"/>
    </row>
    <row r="78" spans="1:37" ht="24.75" thickBot="1">
      <c r="A78" s="2661" t="s">
        <v>2761</v>
      </c>
      <c r="B78" s="2666"/>
      <c r="C78" s="2551"/>
      <c r="D78" s="1371">
        <f t="shared" si="20"/>
        <v>0</v>
      </c>
      <c r="E78" s="840"/>
      <c r="F78" s="2665"/>
      <c r="G78" s="1372"/>
      <c r="H78" s="1376" t="str">
        <f t="shared" si="21"/>
        <v>——</v>
      </c>
      <c r="I78" s="836">
        <v>0.04</v>
      </c>
      <c r="J78" s="1373">
        <f t="shared" si="22"/>
        <v>0</v>
      </c>
      <c r="K78" s="1373">
        <f t="shared" si="23"/>
        <v>0</v>
      </c>
      <c r="L78" s="1373">
        <v>0</v>
      </c>
      <c r="M78" s="1373">
        <f t="shared" si="24"/>
        <v>0</v>
      </c>
      <c r="N78" s="1373">
        <f t="shared" si="24"/>
        <v>0</v>
      </c>
      <c r="Z78" s="2499"/>
      <c r="AA78" s="2566"/>
      <c r="AG78" s="2642"/>
      <c r="AK78" s="2566"/>
    </row>
    <row r="79" spans="1:37" ht="15">
      <c r="A79" s="2647" t="s">
        <v>2762</v>
      </c>
      <c r="B79" s="2663">
        <f>1+E81</f>
        <v>1</v>
      </c>
      <c r="C79" s="816"/>
      <c r="D79" s="816"/>
      <c r="E79" s="817"/>
      <c r="F79" s="2650"/>
      <c r="G79" s="7"/>
      <c r="H79" s="7"/>
      <c r="I79" s="7"/>
      <c r="J79" s="9"/>
      <c r="K79" s="9"/>
      <c r="L79" s="9"/>
      <c r="M79" s="9"/>
      <c r="N79" s="9"/>
      <c r="Z79" s="2499"/>
      <c r="AA79" s="2566"/>
      <c r="AG79" s="2642"/>
      <c r="AK79" s="2566"/>
    </row>
    <row r="80" spans="1:37" ht="24.75">
      <c r="A80" s="2652" t="s">
        <v>2728</v>
      </c>
      <c r="B80" s="2656"/>
      <c r="C80" s="822" t="s">
        <v>2730</v>
      </c>
      <c r="D80" s="822" t="s">
        <v>2731</v>
      </c>
      <c r="E80" s="823" t="s">
        <v>2732</v>
      </c>
      <c r="F80" s="2653" t="s">
        <v>2733</v>
      </c>
      <c r="G80" s="822" t="s">
        <v>2754</v>
      </c>
      <c r="H80" s="2654" t="s">
        <v>2755</v>
      </c>
      <c r="I80" s="822" t="s">
        <v>2756</v>
      </c>
      <c r="J80" s="587" t="s">
        <v>2390</v>
      </c>
      <c r="K80" s="587" t="s">
        <v>2391</v>
      </c>
      <c r="L80" s="587" t="s">
        <v>2392</v>
      </c>
      <c r="M80" s="587" t="s">
        <v>2393</v>
      </c>
      <c r="N80" s="587" t="s">
        <v>2394</v>
      </c>
      <c r="Z80" s="2499"/>
      <c r="AA80" s="2566"/>
      <c r="AG80" s="2642"/>
      <c r="AK80" s="2566"/>
    </row>
    <row r="81" spans="1:37" ht="38.25">
      <c r="A81" s="2652" t="s">
        <v>2763</v>
      </c>
      <c r="B81" s="2656" t="str">
        <f>估价对象房地状况!G15</f>
        <v>估价对象位于XX开发区，园区建设成熟度XX，产业集聚程度XX</v>
      </c>
      <c r="C81" s="2551"/>
      <c r="D81" s="1371">
        <f t="shared" ref="D81:D88" si="25">SUMIF($J$80:$N$80,C81,J81:N81)</f>
        <v>0</v>
      </c>
      <c r="E81" s="828">
        <f>ROUND(SUM(D81:D88),4)</f>
        <v>0</v>
      </c>
      <c r="F81" s="2269"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2743</v>
      </c>
      <c r="B82" s="2656" t="str">
        <f>估价对象房地状况!G16</f>
        <v>估价对象周边道路状况、公共交通通达情况、停车便捷程度，综合评价交通便捷度较好</v>
      </c>
      <c r="C82" s="2551"/>
      <c r="D82" s="1371">
        <f t="shared" si="25"/>
        <v>0</v>
      </c>
      <c r="E82" s="839"/>
      <c r="F82" s="2665"/>
      <c r="G82" s="1372"/>
      <c r="H82" s="1376" t="str">
        <f t="shared" si="26"/>
        <v>——</v>
      </c>
      <c r="I82" s="827">
        <v>0.33</v>
      </c>
      <c r="J82" s="1373">
        <f t="shared" si="27"/>
        <v>0</v>
      </c>
      <c r="K82" s="1373">
        <f t="shared" si="28"/>
        <v>0</v>
      </c>
      <c r="L82" s="1373">
        <v>0</v>
      </c>
      <c r="M82" s="1373">
        <f t="shared" si="29"/>
        <v>0</v>
      </c>
      <c r="N82" s="1373">
        <f t="shared" si="29"/>
        <v>0</v>
      </c>
      <c r="Z82" s="2499"/>
      <c r="AA82" s="2566"/>
      <c r="AG82" s="2642"/>
      <c r="AK82" s="2566"/>
    </row>
    <row r="83" spans="1:37" ht="24">
      <c r="A83" s="2652" t="s">
        <v>2744</v>
      </c>
      <c r="B83" s="2656">
        <f>估价对象房地状况!G17</f>
        <v>0</v>
      </c>
      <c r="C83" s="2551"/>
      <c r="D83" s="1371">
        <f t="shared" si="25"/>
        <v>0</v>
      </c>
      <c r="E83" s="839"/>
      <c r="F83" s="2665"/>
      <c r="G83" s="1372"/>
      <c r="H83" s="1376" t="str">
        <f t="shared" si="26"/>
        <v>——</v>
      </c>
      <c r="I83" s="827">
        <v>0.05</v>
      </c>
      <c r="J83" s="1373">
        <f t="shared" si="27"/>
        <v>0</v>
      </c>
      <c r="K83" s="1373">
        <f t="shared" si="28"/>
        <v>0</v>
      </c>
      <c r="L83" s="1373">
        <v>0</v>
      </c>
      <c r="M83" s="1373">
        <f t="shared" si="29"/>
        <v>0</v>
      </c>
      <c r="N83" s="1373">
        <f t="shared" si="29"/>
        <v>0</v>
      </c>
      <c r="Z83" s="2499"/>
      <c r="AA83" s="2566"/>
      <c r="AG83" s="2642"/>
      <c r="AK83" s="2566"/>
    </row>
    <row r="84" spans="1:37" ht="14.25">
      <c r="A84" s="2652" t="s">
        <v>2760</v>
      </c>
      <c r="B84" s="2656">
        <f>估价对象房地状况!G22</f>
        <v>0</v>
      </c>
      <c r="C84" s="2551"/>
      <c r="D84" s="1371">
        <f t="shared" si="25"/>
        <v>0</v>
      </c>
      <c r="E84" s="839"/>
      <c r="F84" s="2665"/>
      <c r="G84" s="1372"/>
      <c r="H84" s="1376" t="str">
        <f t="shared" si="26"/>
        <v>——</v>
      </c>
      <c r="I84" s="827">
        <v>0.04</v>
      </c>
      <c r="J84" s="1373">
        <f t="shared" si="27"/>
        <v>0</v>
      </c>
      <c r="K84" s="1373">
        <f t="shared" si="28"/>
        <v>0</v>
      </c>
      <c r="L84" s="1373">
        <v>0</v>
      </c>
      <c r="M84" s="1373">
        <f t="shared" si="29"/>
        <v>0</v>
      </c>
      <c r="N84" s="1373">
        <f t="shared" si="29"/>
        <v>0</v>
      </c>
      <c r="Z84" s="2499"/>
      <c r="AA84" s="2566"/>
      <c r="AG84" s="2642"/>
      <c r="AK84" s="2566"/>
    </row>
    <row r="85" spans="1:37" ht="25.5">
      <c r="A85" s="2652" t="s">
        <v>2750</v>
      </c>
      <c r="B85" s="2660" t="str">
        <f>估价对象房地状况!G19</f>
        <v>估价对象所在区域公共配套设施齐备情况</v>
      </c>
      <c r="C85" s="2551"/>
      <c r="D85" s="1371">
        <f t="shared" si="25"/>
        <v>0</v>
      </c>
      <c r="E85" s="839"/>
      <c r="F85" s="2665"/>
      <c r="G85" s="1372"/>
      <c r="H85" s="1376" t="str">
        <f t="shared" si="26"/>
        <v>——</v>
      </c>
      <c r="I85" s="827">
        <v>0.06</v>
      </c>
      <c r="J85" s="1373">
        <f t="shared" si="27"/>
        <v>0</v>
      </c>
      <c r="K85" s="1373">
        <f t="shared" si="28"/>
        <v>0</v>
      </c>
      <c r="L85" s="1373">
        <v>0</v>
      </c>
      <c r="M85" s="1373">
        <f t="shared" si="29"/>
        <v>0</v>
      </c>
      <c r="N85" s="1373">
        <f t="shared" si="29"/>
        <v>0</v>
      </c>
      <c r="Z85" s="2499"/>
      <c r="AA85" s="2566"/>
      <c r="AG85" s="2642"/>
      <c r="AK85" s="2566"/>
    </row>
    <row r="86" spans="1:37" ht="25.5">
      <c r="A86" s="2652" t="s">
        <v>2751</v>
      </c>
      <c r="B86" s="2660" t="str">
        <f>估价对象房地状况!G20</f>
        <v>估价对象所在区域基础设施水平</v>
      </c>
      <c r="C86" s="2551"/>
      <c r="D86" s="1371">
        <f t="shared" si="25"/>
        <v>0</v>
      </c>
      <c r="E86" s="839"/>
      <c r="F86" s="2665"/>
      <c r="G86" s="1372"/>
      <c r="H86" s="1376" t="str">
        <f t="shared" si="26"/>
        <v>——</v>
      </c>
      <c r="I86" s="827">
        <v>0.15</v>
      </c>
      <c r="J86" s="1373">
        <f t="shared" si="27"/>
        <v>0</v>
      </c>
      <c r="K86" s="1373">
        <f t="shared" si="28"/>
        <v>0</v>
      </c>
      <c r="L86" s="1373">
        <v>0</v>
      </c>
      <c r="M86" s="1373">
        <f t="shared" si="29"/>
        <v>0</v>
      </c>
      <c r="N86" s="1373">
        <f t="shared" si="29"/>
        <v>0</v>
      </c>
      <c r="Z86" s="2499"/>
      <c r="AA86" s="2566"/>
      <c r="AG86" s="2642"/>
      <c r="AK86" s="2566"/>
    </row>
    <row r="87" spans="1:37" ht="24">
      <c r="A87" s="2652" t="s">
        <v>2748</v>
      </c>
      <c r="B87" s="2658" t="s">
        <v>2749</v>
      </c>
      <c r="C87" s="2551"/>
      <c r="D87" s="1371">
        <f t="shared" si="25"/>
        <v>0</v>
      </c>
      <c r="E87" s="839"/>
      <c r="F87" s="2665"/>
      <c r="G87" s="1372"/>
      <c r="H87" s="1376" t="str">
        <f t="shared" si="26"/>
        <v>——</v>
      </c>
      <c r="I87" s="827">
        <v>0.05</v>
      </c>
      <c r="J87" s="1373">
        <f t="shared" si="27"/>
        <v>0</v>
      </c>
      <c r="K87" s="1373">
        <f t="shared" si="28"/>
        <v>0</v>
      </c>
      <c r="L87" s="1373">
        <v>0</v>
      </c>
      <c r="M87" s="1373">
        <f t="shared" si="29"/>
        <v>0</v>
      </c>
      <c r="N87" s="1373">
        <f t="shared" si="29"/>
        <v>0</v>
      </c>
      <c r="Z87" s="2499"/>
      <c r="AA87" s="2566"/>
      <c r="AG87" s="2642"/>
      <c r="AK87" s="2566"/>
    </row>
    <row r="88" spans="1:37" ht="39" thickBot="1">
      <c r="A88" s="2661" t="s">
        <v>2764</v>
      </c>
      <c r="B88" s="2667" t="str">
        <f>估价对象房地状况!G18</f>
        <v>该园区内是否有污染型企业，绿化情况，卫生条件，整体环境状况判断</v>
      </c>
      <c r="C88" s="2668"/>
      <c r="D88" s="1377">
        <f t="shared" si="25"/>
        <v>0</v>
      </c>
      <c r="E88" s="840"/>
      <c r="F88" s="2665"/>
      <c r="G88" s="1372"/>
      <c r="H88" s="1376" t="str">
        <f t="shared" si="26"/>
        <v>——</v>
      </c>
      <c r="I88" s="836">
        <v>0.06</v>
      </c>
      <c r="J88" s="1373">
        <f t="shared" si="27"/>
        <v>0</v>
      </c>
      <c r="K88" s="1373">
        <f t="shared" si="28"/>
        <v>0</v>
      </c>
      <c r="L88" s="1373">
        <v>0</v>
      </c>
      <c r="M88" s="1373">
        <f t="shared" si="29"/>
        <v>0</v>
      </c>
      <c r="N88" s="1373">
        <f t="shared" si="29"/>
        <v>0</v>
      </c>
      <c r="Z88" s="2499"/>
      <c r="AA88" s="2566"/>
      <c r="AG88" s="2642"/>
      <c r="AK88" s="2566"/>
    </row>
    <row r="90" spans="1:37">
      <c r="A90" s="3104" t="s">
        <v>2765</v>
      </c>
      <c r="B90" s="3104"/>
      <c r="C90" s="3104"/>
      <c r="D90" s="3104"/>
      <c r="E90" s="3104"/>
      <c r="F90" s="3104"/>
      <c r="G90" s="3104"/>
      <c r="H90" s="3104"/>
      <c r="I90" s="3104"/>
      <c r="J90" s="3104"/>
      <c r="K90" s="2669"/>
      <c r="L90" s="2669"/>
      <c r="M90" s="2669"/>
      <c r="N90" s="2669"/>
    </row>
    <row r="91" spans="1:37">
      <c r="A91" s="3106" t="s">
        <v>2766</v>
      </c>
      <c r="B91" s="3106" t="s">
        <v>2767</v>
      </c>
      <c r="C91" s="2617" t="s">
        <v>2768</v>
      </c>
      <c r="D91" s="2618"/>
      <c r="E91" s="2618"/>
      <c r="F91" s="2618"/>
      <c r="G91" s="2618"/>
      <c r="H91" s="2618"/>
      <c r="I91" s="2618"/>
      <c r="J91" s="2670"/>
      <c r="K91" s="2671"/>
      <c r="L91" s="2671"/>
      <c r="M91" s="2671"/>
      <c r="N91" s="2671"/>
    </row>
    <row r="92" spans="1:37">
      <c r="A92" s="3106"/>
      <c r="B92" s="3106"/>
      <c r="C92" s="967" t="s">
        <v>2621</v>
      </c>
      <c r="D92" s="967" t="s">
        <v>2622</v>
      </c>
      <c r="E92" s="967" t="s">
        <v>2623</v>
      </c>
      <c r="F92" s="967" t="s">
        <v>2624</v>
      </c>
      <c r="G92" s="967" t="s">
        <v>2625</v>
      </c>
      <c r="H92" s="967" t="s">
        <v>2626</v>
      </c>
      <c r="I92" s="967" t="s">
        <v>2627</v>
      </c>
      <c r="J92" s="967" t="s">
        <v>2628</v>
      </c>
      <c r="K92" s="967" t="s">
        <v>2629</v>
      </c>
      <c r="L92" s="967" t="s">
        <v>2630</v>
      </c>
      <c r="M92" s="967" t="s">
        <v>2631</v>
      </c>
      <c r="N92" s="967" t="s">
        <v>2632</v>
      </c>
    </row>
    <row r="93" spans="1:37">
      <c r="A93" s="3107" t="s">
        <v>2769</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8"/>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8"/>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8"/>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8"/>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8"/>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8"/>
      <c r="B99" s="2672" t="s">
        <v>2637</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09"/>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07" t="s">
        <v>2770</v>
      </c>
      <c r="B101" s="2676" t="s">
        <v>2771</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08"/>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08"/>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08"/>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08"/>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08"/>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08"/>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08"/>
      <c r="B108" s="3110" t="s">
        <v>2772</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09"/>
      <c r="B109" s="3111"/>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105" t="s">
        <v>2773</v>
      </c>
      <c r="B110" s="3105"/>
      <c r="C110" s="3105"/>
      <c r="D110" s="3105"/>
      <c r="E110" s="3105"/>
      <c r="F110" s="3105"/>
      <c r="G110" s="3105"/>
      <c r="H110" s="3105"/>
      <c r="I110" s="3105"/>
      <c r="J110" s="3105"/>
      <c r="K110" s="2678"/>
      <c r="L110" s="2678"/>
      <c r="M110" s="2678"/>
      <c r="N110" s="2678"/>
    </row>
    <row r="112" spans="1:14" ht="13.5" thickBot="1"/>
    <row r="113" spans="1:13" ht="25.5" thickBot="1">
      <c r="A113" s="927" t="s">
        <v>2774</v>
      </c>
      <c r="B113" s="1374">
        <f>G3</f>
        <v>0</v>
      </c>
      <c r="C113" s="928" t="s">
        <v>2775</v>
      </c>
      <c r="D113" s="929">
        <f>SUMPRODUCT((A115:A118=F113)*(B114:M114=H113)*B115:M118)</f>
        <v>0</v>
      </c>
      <c r="E113" s="2680" t="s">
        <v>2661</v>
      </c>
      <c r="F113" s="2681">
        <f>E2</f>
        <v>0</v>
      </c>
      <c r="G113" s="2680" t="s">
        <v>2595</v>
      </c>
      <c r="H113" s="2681" t="str">
        <f>G2</f>
        <v>二级</v>
      </c>
      <c r="I113" s="2680"/>
      <c r="J113" s="2682"/>
      <c r="K113" s="2682"/>
      <c r="L113" s="2682"/>
      <c r="M113" s="2682"/>
    </row>
    <row r="114" spans="1:13">
      <c r="A114" s="932"/>
      <c r="B114" s="2683" t="s">
        <v>2776</v>
      </c>
      <c r="C114" s="2683" t="s">
        <v>2777</v>
      </c>
      <c r="D114" s="2683" t="s">
        <v>2778</v>
      </c>
      <c r="E114" s="2684" t="s">
        <v>2779</v>
      </c>
      <c r="F114" s="2684" t="s">
        <v>2780</v>
      </c>
      <c r="G114" s="2684" t="s">
        <v>2781</v>
      </c>
      <c r="H114" s="2685" t="s">
        <v>2782</v>
      </c>
      <c r="I114" s="2685" t="s">
        <v>2783</v>
      </c>
      <c r="J114" s="2686" t="s">
        <v>2784</v>
      </c>
      <c r="K114" s="2686" t="s">
        <v>2785</v>
      </c>
      <c r="L114" s="2686" t="s">
        <v>2786</v>
      </c>
      <c r="M114" s="2687" t="s">
        <v>2787</v>
      </c>
    </row>
    <row r="115" spans="1:13">
      <c r="A115" s="933" t="s">
        <v>2662</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2663</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2664</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2665</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783</v>
      </c>
      <c r="B1" s="3117"/>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估价对象所在区域公共配套设施齐备情况较齐全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估价对象所在区域公共配套设施齐备情况较齐全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估价对象所在区域公共配套设施齐备情况较齐全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2809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1027</v>
      </c>
      <c r="C1" s="3127"/>
      <c r="D1" s="3127"/>
      <c r="E1" s="3127"/>
      <c r="F1" s="3127"/>
      <c r="G1" s="3123" t="s">
        <v>1028</v>
      </c>
      <c r="H1" s="3123"/>
      <c r="I1" s="3123"/>
      <c r="J1" s="3123"/>
      <c r="K1" s="3123"/>
      <c r="L1" s="3123"/>
      <c r="N1" s="3123" t="s">
        <v>1029</v>
      </c>
      <c r="O1" s="3123"/>
      <c r="P1" s="3123"/>
      <c r="Q1" s="3123"/>
      <c r="R1" s="1543"/>
      <c r="S1" s="3123" t="s">
        <v>1030</v>
      </c>
      <c r="T1" s="3123"/>
      <c r="U1" s="3123"/>
      <c r="V1" s="3123"/>
      <c r="X1" s="3122" t="s">
        <v>1031</v>
      </c>
      <c r="Y1" s="3123"/>
      <c r="Z1" s="3123"/>
      <c r="AA1" s="3123"/>
      <c r="AB1" s="3123"/>
      <c r="AD1" s="3122" t="s">
        <v>1032</v>
      </c>
      <c r="AE1" s="3123"/>
      <c r="AF1" s="3123"/>
      <c r="AG1" s="3123"/>
      <c r="AH1" s="3123"/>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2795</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2823</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2794</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2822</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2818</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2812</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2813</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2808</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5">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2803</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5"/>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2802</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5"/>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2799</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2796</v>
      </c>
      <c r="B14" s="1567">
        <v>439</v>
      </c>
      <c r="C14" s="1567">
        <v>327</v>
      </c>
      <c r="D14" s="1567">
        <f t="shared" si="81"/>
        <v>327</v>
      </c>
      <c r="E14" s="1567">
        <v>627</v>
      </c>
      <c r="F14" s="1568">
        <v>283</v>
      </c>
      <c r="G14" s="312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2791</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5"/>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5"/>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2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5"/>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5"/>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6"/>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4">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5"/>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5"/>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6"/>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4">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5"/>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5"/>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6"/>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2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4">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5"/>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5"/>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6"/>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4">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5">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5">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6">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4">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5">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5">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6">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4">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5">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5">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6">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4">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5">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5">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6">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4">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5">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5">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6">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4">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5">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5">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6">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4">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5">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5">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6">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4">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5">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5">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6">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4">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5">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5">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6">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4">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5">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5">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6">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43916</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7"/>
  <sheetViews>
    <sheetView workbookViewId="0">
      <selection activeCell="M20" sqref="M20"/>
    </sheetView>
  </sheetViews>
  <sheetFormatPr defaultRowHeight="13.5"/>
  <sheetData>
    <row r="16"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4"/>
      <c r="B3" s="1924"/>
      <c r="C3" s="1924"/>
      <c r="D3" s="1924"/>
      <c r="E3" s="1924"/>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1"/>
      <c r="B5" s="1925" t="s">
        <v>742</v>
      </c>
      <c r="C5" s="2791" t="s">
        <v>779</v>
      </c>
      <c r="D5" s="2792"/>
      <c r="E5" s="1921"/>
    </row>
    <row r="6" spans="1:5" ht="14.25">
      <c r="A6" s="1921"/>
      <c r="B6" s="1926" t="str">
        <f>项目基本情况!I1</f>
        <v>北京市房地产</v>
      </c>
      <c r="C6" s="2793">
        <f>项目基本情况!C12</f>
        <v>194.17</v>
      </c>
      <c r="D6" s="2793"/>
      <c r="E6" s="1921"/>
    </row>
    <row r="7" spans="1:5" ht="14.25">
      <c r="A7" s="1921"/>
      <c r="B7" s="2787" t="s">
        <v>780</v>
      </c>
      <c r="C7" s="1927" t="str">
        <f>IF('数据-取费表'!B3="万元","总价（万元）","总价（元）")</f>
        <v>总价（元）</v>
      </c>
      <c r="D7" s="1928">
        <f ca="1">IF('数据-取费表'!E3="否",结果表!I102,'结果表 (1修多)'!I103)</f>
        <v>13746234</v>
      </c>
      <c r="E7" s="1921"/>
    </row>
    <row r="8" spans="1:5" ht="28.5">
      <c r="A8" s="1921"/>
      <c r="B8" s="2787"/>
      <c r="C8" s="1929" t="s">
        <v>1169</v>
      </c>
      <c r="D8" s="1930" t="str">
        <f ca="1">IF('数据-取费表'!B3="万元",NUMBERSTRING(INT(D7*10000),2)&amp;"元整",NUMBERSTRING(INT(D7),2)&amp;"元整")</f>
        <v>壹仟叁佰柒拾肆万陆仟贰佰叁拾肆元整</v>
      </c>
      <c r="E8" s="1921"/>
    </row>
    <row r="9" spans="1:5" ht="14.25">
      <c r="A9" s="1921"/>
      <c r="B9" s="2787"/>
      <c r="C9" s="1931" t="s">
        <v>1266</v>
      </c>
      <c r="D9" s="1928">
        <f ca="1">IF('数据-取费表'!E3="否",结果表!I103,'结果表 (1修多)'!I104)</f>
        <v>40169</v>
      </c>
      <c r="E9" s="1921"/>
    </row>
    <row r="10" spans="1:5" ht="14.25">
      <c r="A10" s="1921"/>
      <c r="B10" s="2794"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94"/>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94" t="str">
        <f>IF('数据-取费表'!E3="否",结果表!F110,'结果表 (1修多)'!F111)</f>
        <v>3.房地产抵押价值</v>
      </c>
      <c r="C15" s="1922" t="str">
        <f>C7</f>
        <v>总价（元）</v>
      </c>
      <c r="D15" s="1928">
        <f ca="1">IF('数据-取费表'!E3="否",结果表!I110,'结果表 (1修多)'!I111)</f>
        <v>13746234</v>
      </c>
      <c r="E15" s="1921"/>
    </row>
    <row r="16" spans="1:5" ht="28.5">
      <c r="A16" s="1921"/>
      <c r="B16" s="2794"/>
      <c r="C16" s="1929" t="s">
        <v>1169</v>
      </c>
      <c r="D16" s="1928" t="str">
        <f ca="1">IF('数据-取费表'!B3="万元",NUMBERSTRING(INT(D15*10000),2)&amp;"元整",NUMBERSTRING(INT(D15),2)&amp;"元整")</f>
        <v>壹仟叁佰柒拾肆万陆仟贰佰叁拾肆元整</v>
      </c>
      <c r="E16" s="1921"/>
    </row>
    <row r="17" spans="1:5" ht="14.25">
      <c r="A17" s="1921"/>
      <c r="B17" s="2794"/>
      <c r="C17" s="1931" t="s">
        <v>1266</v>
      </c>
      <c r="D17" s="1928">
        <f ca="1">IF('数据-取费表'!E3="否",结果表!I111,'结果表 (1修多)'!I112)</f>
        <v>40169</v>
      </c>
      <c r="E17" s="1921"/>
    </row>
    <row r="18" spans="1:5" ht="14.25">
      <c r="A18" s="1921"/>
      <c r="B18" s="2794" t="str">
        <f>IF('数据-取费表'!E3="否",结果表!F112,'结果表 (1修多)'!F113)</f>
        <v>——</v>
      </c>
      <c r="C18" s="1922" t="str">
        <f>C7</f>
        <v>总价（元）</v>
      </c>
      <c r="D18" s="1928" t="str">
        <f>IF('数据-取费表'!E3="否",结果表!I112,'结果表 (1修多)'!I113)</f>
        <v>——</v>
      </c>
      <c r="E18" s="1921"/>
    </row>
    <row r="19" spans="1:5" ht="14.25">
      <c r="A19" s="1921"/>
      <c r="B19" s="2794"/>
      <c r="C19" s="1929" t="s">
        <v>1169</v>
      </c>
      <c r="D19" s="1928" t="e">
        <f>IF('数据-取费表'!B3="万元",NUMBERSTRING(INT(D18*10000),2)&amp;"元整",NUMBERSTRING(INT(D18),2)&amp;"元整")</f>
        <v>#VALUE!</v>
      </c>
      <c r="E19" s="1921"/>
    </row>
    <row r="20" spans="1:5" ht="14.25">
      <c r="A20" s="1921"/>
      <c r="B20" s="2794"/>
      <c r="C20" s="1931" t="s">
        <v>1266</v>
      </c>
      <c r="D20" s="1928" t="str">
        <f>IF('数据-取费表'!E3="否",结果表!I113,'结果表 (1修多)'!I114)</f>
        <v>——</v>
      </c>
      <c r="E20" s="1921"/>
    </row>
    <row r="21" spans="1:5" ht="14.25">
      <c r="A21" s="1921"/>
      <c r="B21" s="2787" t="str">
        <f>IF('数据-取费表'!E3="否",结果表!F114,'结果表 (1修多)'!F115)</f>
        <v>4.抵押净值</v>
      </c>
      <c r="C21" s="1927" t="str">
        <f>C7</f>
        <v>总价（元）</v>
      </c>
      <c r="D21" s="1928">
        <f ca="1">IF('数据-取费表'!E3="否",结果表!I114,'结果表 (1修多)'!I115)</f>
        <v>9995791</v>
      </c>
      <c r="E21" s="1921"/>
    </row>
    <row r="22" spans="1:5" ht="28.5">
      <c r="A22" s="1921"/>
      <c r="B22" s="2787"/>
      <c r="C22" s="1929" t="s">
        <v>1169</v>
      </c>
      <c r="D22" s="1930" t="str">
        <f ca="1">IF('数据-取费表'!B3="万元",NUMBERSTRING(INT(D21*10000),2)&amp;"元整",NUMBERSTRING(INT(D21),2)&amp;"元整")</f>
        <v>玖佰玖拾玖万伍仟柒佰玖拾壹元整</v>
      </c>
      <c r="E22" s="1921"/>
    </row>
    <row r="23" spans="1:5" ht="15" thickBot="1">
      <c r="A23" s="1921"/>
      <c r="B23" s="2788"/>
      <c r="C23" s="1936" t="s">
        <v>1266</v>
      </c>
      <c r="D23" s="1937">
        <f ca="1">IF('数据-取费表'!E3="否",结果表!I115,'结果表 (1修多)'!I116)</f>
        <v>51480</v>
      </c>
      <c r="E23" s="1921"/>
    </row>
    <row r="24" spans="1:5" ht="14.25" thickTop="1">
      <c r="A24" s="1921"/>
      <c r="B24" s="1921"/>
      <c r="C24" s="1921"/>
      <c r="D24" s="1921"/>
      <c r="E24" s="1921"/>
    </row>
    <row r="25" spans="1:5" ht="18.75" customHeight="1" thickBot="1">
      <c r="A25" s="1921"/>
      <c r="B25" s="2779" t="s">
        <v>1267</v>
      </c>
      <c r="C25" s="2779"/>
      <c r="D25" s="2779"/>
      <c r="E25" s="1921"/>
    </row>
    <row r="26" spans="1:5" ht="18.75" customHeight="1" thickTop="1">
      <c r="A26" s="1921"/>
      <c r="B26" s="2782" t="s">
        <v>1168</v>
      </c>
      <c r="C26" s="2783"/>
      <c r="D26" s="2780" t="s">
        <v>1167</v>
      </c>
      <c r="E26" s="1921"/>
    </row>
    <row r="27" spans="1:5" ht="18.75" customHeight="1">
      <c r="A27" s="1921"/>
      <c r="B27" s="2784"/>
      <c r="C27" s="2785"/>
      <c r="D27" s="2781"/>
      <c r="E27" s="1921"/>
    </row>
    <row r="28" spans="1:5" ht="14.25">
      <c r="A28" s="1921"/>
      <c r="B28" s="2772" t="s">
        <v>780</v>
      </c>
      <c r="C28" s="1938" t="s">
        <v>1170</v>
      </c>
      <c r="D28" s="1939">
        <f ca="1">IF('数据-取费表'!E3="否",结果表!I102,'结果表 (1修多)'!I103)</f>
        <v>13746234</v>
      </c>
      <c r="E28" s="1921"/>
    </row>
    <row r="29" spans="1:5" ht="28.5">
      <c r="A29" s="1921"/>
      <c r="B29" s="2773"/>
      <c r="C29" s="1940" t="s">
        <v>1169</v>
      </c>
      <c r="D29" s="1941" t="str">
        <f ca="1">IF('数据-取费表'!B3="万元",NUMBERSTRING(INT(D28*10000),2)&amp;"元整",NUMBERSTRING(INT(D28),2)&amp;"元整")</f>
        <v>壹仟叁佰柒拾肆万陆仟贰佰叁拾肆元整</v>
      </c>
      <c r="E29" s="1921"/>
    </row>
    <row r="30" spans="1:5" ht="14.25">
      <c r="A30" s="1921"/>
      <c r="B30" s="2774"/>
      <c r="C30" s="1931" t="s">
        <v>1172</v>
      </c>
      <c r="D30" s="1942">
        <f ca="1">IF('数据-取费表'!E3="否",结果表!I103,'结果表 (1修多)'!I104)</f>
        <v>40169</v>
      </c>
      <c r="E30" s="1921"/>
    </row>
    <row r="31" spans="1:5" ht="14.25">
      <c r="A31" s="1921"/>
      <c r="B31" s="2777" t="str">
        <f>B10</f>
        <v>2.估价师所知悉的法定优先受偿款</v>
      </c>
      <c r="C31" s="1943" t="s">
        <v>1171</v>
      </c>
      <c r="D31" s="1944">
        <f>IF('数据-取费表'!E3="否",结果表!I105,'结果表 (1修多)'!I106)</f>
        <v>0</v>
      </c>
      <c r="E31" s="1921"/>
    </row>
    <row r="32" spans="1:5" ht="14.25">
      <c r="A32" s="1921"/>
      <c r="B32" s="2786"/>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75" t="str">
        <f>B15</f>
        <v>3.房地产抵押价值</v>
      </c>
      <c r="C36" s="1943" t="str">
        <f>C28</f>
        <v>总价</v>
      </c>
      <c r="D36" s="1944">
        <f ca="1">IF('数据-取费表'!E3="否",结果表!I110,'结果表 (1修多)'!I111)</f>
        <v>13746234</v>
      </c>
      <c r="E36" s="1921"/>
    </row>
    <row r="37" spans="1:5" ht="28.5">
      <c r="A37" s="1921"/>
      <c r="B37" s="2775"/>
      <c r="C37" s="1940" t="s">
        <v>1169</v>
      </c>
      <c r="D37" s="1945" t="str">
        <f ca="1">IF('数据-取费表'!B3="万元",NUMBERSTRING(INT(D36*10000),2)&amp;"元整",NUMBERSTRING(INT(D36),2)&amp;"元整")</f>
        <v>壹仟叁佰柒拾肆万陆仟贰佰叁拾肆元整</v>
      </c>
      <c r="E37" s="1921"/>
    </row>
    <row r="38" spans="1:5" ht="14.25">
      <c r="A38" s="1921"/>
      <c r="B38" s="2775"/>
      <c r="C38" s="1931" t="s">
        <v>1173</v>
      </c>
      <c r="D38" s="1942">
        <f ca="1">IF('数据-取费表'!E3="否",结果表!D113,'结果表 (1修多)'!D116)</f>
        <v>40169</v>
      </c>
      <c r="E38" s="1921"/>
    </row>
    <row r="39" spans="1:5" ht="14.25">
      <c r="A39" s="1921"/>
      <c r="B39" s="2776" t="str">
        <f>B18</f>
        <v>——</v>
      </c>
      <c r="C39" s="1943" t="str">
        <f>C28</f>
        <v>总价</v>
      </c>
      <c r="D39" s="1944" t="str">
        <f>IF('数据-取费表'!E3="否",结果表!I112,'结果表 (1修多)'!I113)</f>
        <v>——</v>
      </c>
      <c r="E39" s="1921"/>
    </row>
    <row r="40" spans="1:5" ht="14.25">
      <c r="A40" s="1921"/>
      <c r="B40" s="2776"/>
      <c r="C40" s="1940" t="s">
        <v>1169</v>
      </c>
      <c r="D40" s="1945" t="e">
        <f>IF('数据-取费表'!B3="万元",NUMBERSTRING(INT(D39*10000),2)&amp;"元整",NUMBERSTRING(INT(D39),2)&amp;"元整")</f>
        <v>#VALUE!</v>
      </c>
      <c r="E40" s="1921"/>
    </row>
    <row r="41" spans="1:5" ht="14.25">
      <c r="A41" s="1921"/>
      <c r="B41" s="2776"/>
      <c r="C41" s="1931" t="s">
        <v>1173</v>
      </c>
      <c r="D41" s="1942" t="str">
        <f>IF('数据-取费表'!E3="否",结果表!D115,'结果表 (1修多)'!D118)</f>
        <v>——</v>
      </c>
      <c r="E41" s="1921"/>
    </row>
    <row r="42" spans="1:5" ht="14.25">
      <c r="A42" s="1921"/>
      <c r="B42" s="2775" t="str">
        <f>B21</f>
        <v>4.抵押净值</v>
      </c>
      <c r="C42" s="1943" t="str">
        <f>C28</f>
        <v>总价</v>
      </c>
      <c r="D42" s="1944">
        <f ca="1">IF('数据-取费表'!E3="否",结果表!I114,'结果表 (1修多)'!I115)</f>
        <v>9995791</v>
      </c>
      <c r="E42" s="1921"/>
    </row>
    <row r="43" spans="1:5" ht="28.5">
      <c r="A43" s="1921"/>
      <c r="B43" s="2777"/>
      <c r="C43" s="1940" t="s">
        <v>1169</v>
      </c>
      <c r="D43" s="1946" t="str">
        <f ca="1">IF('数据-取费表'!B3="万元",NUMBERSTRING(INT(D42*10000),2)&amp;"元整",NUMBERSTRING(INT(D42),2)&amp;"元整")</f>
        <v>玖佰玖拾玖万伍仟柒佰玖拾壹元整</v>
      </c>
      <c r="E43" s="1921"/>
    </row>
    <row r="44" spans="1:5" ht="15" thickBot="1">
      <c r="A44" s="1921"/>
      <c r="B44" s="2778"/>
      <c r="C44" s="1936" t="s">
        <v>1173</v>
      </c>
      <c r="D44" s="1947">
        <f ca="1">IF('数据-取费表'!E3="否",结果表!D117,'结果表 (1修多)'!D120)</f>
        <v>51480</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1268</v>
      </c>
      <c r="B2" s="2802" t="s">
        <v>1269</v>
      </c>
      <c r="C2" s="2802" t="s">
        <v>1270</v>
      </c>
      <c r="D2" s="2802" t="str">
        <f>IF('数据-取费表'!E3="否",结果表!D119,'结果表 (1修多)'!D122)</f>
        <v>出让国有建设用地使用权价值</v>
      </c>
      <c r="E2" s="2802"/>
      <c r="F2" s="2802" t="s">
        <v>1271</v>
      </c>
      <c r="G2" s="2802"/>
      <c r="H2" s="2802" t="s">
        <v>1272</v>
      </c>
      <c r="I2" s="2802"/>
    </row>
    <row r="3" spans="1:9" ht="15">
      <c r="A3" s="2795"/>
      <c r="B3" s="2795"/>
      <c r="C3" s="2795"/>
      <c r="D3" s="1044" t="s">
        <v>1273</v>
      </c>
      <c r="E3" s="1044" t="s">
        <v>1274</v>
      </c>
      <c r="F3" s="1044" t="s">
        <v>1273</v>
      </c>
      <c r="G3" s="1044" t="s">
        <v>1275</v>
      </c>
      <c r="H3" s="1044" t="s">
        <v>1273</v>
      </c>
      <c r="I3" s="1044" t="s">
        <v>1275</v>
      </c>
    </row>
    <row r="4" spans="1:9" ht="46.5" customHeight="1">
      <c r="A4" s="1044" t="str">
        <f>项目基本情况!I1</f>
        <v>北京市房地产</v>
      </c>
      <c r="B4" s="1044">
        <f>结果表!B121</f>
        <v>194.17</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13746234</v>
      </c>
      <c r="I4" s="1044">
        <f ca="1">IF('数据-取费表'!E3="否",结果表!I121,'结果表 (1修多)'!I124)</f>
        <v>40169</v>
      </c>
    </row>
    <row r="5" spans="1:9" ht="15">
      <c r="A5" s="2795" t="s">
        <v>1276</v>
      </c>
      <c r="B5" s="2795"/>
      <c r="C5" s="2795"/>
      <c r="D5" s="2796" t="str">
        <f>IF('数据-取费表'!E3="否",结果表!D122,'结果表 (1修多)'!D125)</f>
        <v>零元整</v>
      </c>
      <c r="E5" s="2796"/>
      <c r="F5" s="2796" t="str">
        <f>IF('数据-取费表'!E3="否",结果表!F122,'结果表 (1修多)'!F125)</f>
        <v>零元整</v>
      </c>
      <c r="G5" s="2796"/>
      <c r="H5" s="2796" t="str">
        <f ca="1">IF('数据-取费表'!E3="否",结果表!H122,'结果表 (1修多)'!H125)</f>
        <v>壹仟叁佰柒拾肆万陆仟贰佰叁拾肆元整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1276</v>
      </c>
      <c r="B7" s="2795"/>
      <c r="C7" s="2795"/>
      <c r="D7" s="2803">
        <f>IF('数据-取费表'!E3="否",结果表!D124,'结果表 (1修多)'!D127)</f>
        <v>0</v>
      </c>
      <c r="E7" s="2804"/>
      <c r="F7" s="2804"/>
      <c r="G7" s="2804"/>
      <c r="H7" s="2804"/>
      <c r="I7" s="2805"/>
    </row>
    <row r="8" spans="1:9" ht="15.75">
      <c r="A8" s="2797" t="str">
        <f>IF('数据-取费表'!E3="否",结果表!A125,'结果表 (1修多)'!A128)</f>
        <v>房地产抵押价值</v>
      </c>
      <c r="B8" s="2797"/>
      <c r="C8" s="2797"/>
      <c r="D8" s="2797">
        <f ca="1">IF('数据-取费表'!E3="否",结果表!D125,'结果表 (1修多)'!D128)</f>
        <v>13746234</v>
      </c>
      <c r="E8" s="2797"/>
      <c r="F8" s="2797"/>
      <c r="G8" s="2797"/>
      <c r="H8" s="2797"/>
      <c r="I8" s="2797"/>
    </row>
    <row r="9" spans="1:9" ht="15">
      <c r="A9" s="2795" t="s">
        <v>1276</v>
      </c>
      <c r="B9" s="2795"/>
      <c r="C9" s="2795"/>
      <c r="D9" s="2796">
        <f ca="1">IF('数据-取费表'!E3="否",结果表!D126,'结果表 (1修多)'!D129)</f>
        <v>40169</v>
      </c>
      <c r="E9" s="2796"/>
      <c r="F9" s="2796"/>
      <c r="G9" s="2796"/>
      <c r="H9" s="2796"/>
      <c r="I9" s="2796"/>
    </row>
    <row r="10" spans="1:9" ht="15.75">
      <c r="A10" s="2797" t="str">
        <f>IF('数据-取费表'!E3="否",结果表!A127,'结果表 (1修多)'!A130)</f>
        <v/>
      </c>
      <c r="B10" s="2797"/>
      <c r="C10" s="2797"/>
      <c r="D10" s="2797">
        <f ca="1">IF('数据-取费表'!E3="否",结果表!D127,'结果表 (1修多)'!D129)</f>
        <v>40169</v>
      </c>
      <c r="E10" s="2797"/>
      <c r="F10" s="2797"/>
      <c r="G10" s="2797"/>
      <c r="H10" s="2797"/>
      <c r="I10" s="2797"/>
    </row>
    <row r="11" spans="1:9" ht="15">
      <c r="A11" s="2795" t="s">
        <v>1276</v>
      </c>
      <c r="B11" s="2795"/>
      <c r="C11" s="2795"/>
      <c r="D11" s="2796" t="str">
        <f>IF('数据-取费表'!E3="否",结果表!D128,'结果表 (1修多)'!D131)</f>
        <v>——</v>
      </c>
      <c r="E11" s="2796"/>
      <c r="F11" s="2796"/>
      <c r="G11" s="2796"/>
      <c r="H11" s="2796"/>
      <c r="I11" s="2796"/>
    </row>
    <row r="12" spans="1:9" ht="15.75">
      <c r="A12" s="2797" t="str">
        <f>IF('数据-取费表'!E3="否",结果表!A129,'结果表 (1修多)'!A132)</f>
        <v>抵押净值</v>
      </c>
      <c r="B12" s="2797"/>
      <c r="C12" s="2797"/>
      <c r="D12" s="2797">
        <f ca="1">IF('数据-取费表'!E3="否",结果表!D129,'结果表 (1修多)'!D132)</f>
        <v>9995791</v>
      </c>
      <c r="E12" s="2797"/>
      <c r="F12" s="2797"/>
      <c r="G12" s="2797"/>
      <c r="H12" s="2797"/>
      <c r="I12" s="2797"/>
    </row>
    <row r="13" spans="1:9" ht="15.75" thickBot="1">
      <c r="A13" s="2798" t="s">
        <v>1276</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07" t="s">
        <v>1290</v>
      </c>
      <c r="B1" s="2807"/>
      <c r="C1" s="2807"/>
      <c r="D1" s="2807"/>
    </row>
    <row r="2" spans="1:4" ht="18">
      <c r="A2" s="2806" t="s">
        <v>1278</v>
      </c>
      <c r="B2" s="2806"/>
      <c r="C2" s="2806"/>
      <c r="D2" s="2806"/>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06" t="s">
        <v>1283</v>
      </c>
      <c r="B7" s="2806"/>
      <c r="C7" s="2806"/>
      <c r="D7" s="2806"/>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08" t="s">
        <v>1292</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9"/>
      <c r="C13" s="2809"/>
      <c r="D13" s="2809"/>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9"/>
      <c r="C14" s="2809"/>
      <c r="D14" s="2809"/>
    </row>
    <row r="15" spans="1:4" ht="15.75" customHeight="1">
      <c r="A15" s="2808" t="str">
        <f>IF(项目基本情况!D4="抵押","4.本次评估估价师所知悉的法定优先受偿款情况说明如下：","——")</f>
        <v>4.本次评估估价师所知悉的法定优先受偿款情况说明如下：</v>
      </c>
      <c r="B15" s="2809"/>
      <c r="C15" s="2809"/>
      <c r="D15" s="2809"/>
    </row>
    <row r="16" spans="1:4" ht="75" customHeight="1">
      <c r="A16" s="2808"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08"/>
      <c r="C16" s="2808"/>
      <c r="D16" s="2808"/>
    </row>
    <row r="17" spans="1:4" ht="63.75" customHeight="1">
      <c r="A17" s="2810" t="s">
        <v>1293</v>
      </c>
      <c r="B17" s="2810"/>
      <c r="C17" s="2810"/>
      <c r="D17" s="2810"/>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1286</v>
      </c>
      <c r="B20" s="2810"/>
      <c r="C20" s="2810"/>
      <c r="D20" s="2810"/>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16" t="s">
        <v>1372</v>
      </c>
      <c r="B15" s="2811" t="s">
        <v>1373</v>
      </c>
      <c r="C15" s="2812"/>
    </row>
    <row r="16" spans="1:7" ht="14.25">
      <c r="A16" s="2817"/>
      <c r="B16" s="2811" t="s">
        <v>1374</v>
      </c>
      <c r="C16" s="2812"/>
    </row>
    <row r="17" spans="1:3" ht="14.25">
      <c r="A17" s="2817"/>
      <c r="B17" s="2811" t="s">
        <v>1375</v>
      </c>
      <c r="C17" s="2812"/>
    </row>
    <row r="18" spans="1:3" ht="14.25">
      <c r="A18" s="2818"/>
      <c r="B18" s="2813" t="s">
        <v>1376</v>
      </c>
      <c r="C18" s="2812"/>
    </row>
    <row r="19" spans="1:3" ht="14.25">
      <c r="A19" s="1974" t="s">
        <v>1377</v>
      </c>
      <c r="B19" s="1975"/>
      <c r="C19" s="1976"/>
    </row>
    <row r="20" spans="1:3" ht="14.25">
      <c r="A20" s="2814" t="s">
        <v>1378</v>
      </c>
      <c r="B20" s="2813" t="s">
        <v>1379</v>
      </c>
      <c r="C20" s="2812"/>
    </row>
    <row r="21" spans="1:3" ht="14.25">
      <c r="A21" s="2814"/>
      <c r="B21" s="2813" t="s">
        <v>1380</v>
      </c>
      <c r="C21" s="2812"/>
    </row>
    <row r="22" spans="1:3" ht="14.25">
      <c r="A22" s="2814"/>
      <c r="B22" s="2813" t="s">
        <v>1381</v>
      </c>
      <c r="C22" s="2812"/>
    </row>
    <row r="23" spans="1:3" ht="14.25">
      <c r="A23" s="2814"/>
      <c r="B23" s="2815" t="s">
        <v>1382</v>
      </c>
      <c r="C23" s="1977" t="s">
        <v>1383</v>
      </c>
    </row>
    <row r="24" spans="1:3" ht="14.25">
      <c r="A24" s="2814"/>
      <c r="B24" s="2815"/>
      <c r="C24" s="1977" t="s">
        <v>1384</v>
      </c>
    </row>
    <row r="25" spans="1:3" ht="14.25">
      <c r="A25" s="2814"/>
      <c r="B25" s="2815"/>
      <c r="C25" s="1977" t="s">
        <v>1385</v>
      </c>
    </row>
    <row r="26" spans="1:3" ht="14.25">
      <c r="A26" s="2814"/>
      <c r="B26" s="2815"/>
      <c r="C26" s="1977" t="s">
        <v>1386</v>
      </c>
    </row>
    <row r="27" spans="1:3" ht="14.25">
      <c r="A27" s="2814"/>
      <c r="B27" s="2815"/>
      <c r="C27" s="1977" t="s">
        <v>1387</v>
      </c>
    </row>
    <row r="28" spans="1:3" ht="14.25">
      <c r="A28" s="2814"/>
      <c r="B28" s="2815"/>
      <c r="C28" s="1977" t="s">
        <v>1388</v>
      </c>
    </row>
    <row r="29" spans="1:3" ht="14.25">
      <c r="A29" s="2814"/>
      <c r="B29" s="2815"/>
      <c r="C29" s="1977" t="s">
        <v>1389</v>
      </c>
    </row>
    <row r="30" spans="1:3" ht="14.25">
      <c r="A30" s="2814"/>
      <c r="B30" s="2815"/>
      <c r="C30" s="1977" t="s">
        <v>1390</v>
      </c>
    </row>
    <row r="31" spans="1:3" ht="14.25">
      <c r="A31" s="2814"/>
      <c r="B31" s="2815"/>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43917</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2">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2">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2804</v>
      </c>
      <c r="B14" s="1026">
        <f ca="1">IF(C14&lt;B2,"已过期",1120040230)</f>
        <v>1120040230</v>
      </c>
      <c r="C14" s="2712">
        <v>44864</v>
      </c>
      <c r="D14" s="1807" t="str">
        <f t="shared" ca="1" si="0"/>
        <v>苏海（注册号：1120040230）</v>
      </c>
      <c r="E14" s="2713" t="s">
        <v>2804</v>
      </c>
      <c r="F14" s="1026">
        <f ca="1">IF(G14&lt;B2,"已过期",98030020)</f>
        <v>98030020</v>
      </c>
      <c r="G14" s="1034">
        <v>47118</v>
      </c>
      <c r="H14" s="1808" t="str">
        <f t="shared" ca="1" si="1"/>
        <v>苏海（注册号：98030020）</v>
      </c>
    </row>
    <row r="15" spans="1:8" ht="24" customHeight="1">
      <c r="A15" s="1809"/>
      <c r="B15" s="1026"/>
      <c r="C15" s="2712"/>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3"/>
      <c r="F17" s="1026"/>
      <c r="G17" s="1034"/>
      <c r="H17" s="1808" t="str">
        <f t="shared" si="1"/>
        <v>（注册号：）</v>
      </c>
    </row>
    <row r="18" spans="1:8" ht="24" customHeight="1">
      <c r="A18" s="1805" t="s">
        <v>2819</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2821</v>
      </c>
      <c r="B23" s="1026">
        <v>1119980106</v>
      </c>
      <c r="C23" s="2712">
        <v>43916</v>
      </c>
      <c r="D23" s="1807" t="str">
        <f t="shared" si="0"/>
        <v>刘俊财（注册号：1119980106）</v>
      </c>
      <c r="E23" s="1805" t="s">
        <v>2821</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19" t="s">
        <v>764</v>
      </c>
      <c r="B25" s="2819"/>
      <c r="C25" s="2819"/>
      <c r="D25" s="2819"/>
      <c r="E25" s="2819"/>
      <c r="F25" s="2819"/>
      <c r="G25" s="2819"/>
      <c r="H25" s="2819"/>
    </row>
    <row r="26" spans="1:8" s="1029" customFormat="1" ht="24" customHeight="1">
      <c r="A26" s="2820" t="s">
        <v>765</v>
      </c>
      <c r="B26" s="2820"/>
      <c r="C26" s="2820"/>
      <c r="D26" s="1057"/>
      <c r="E26" s="1057"/>
      <c r="F26" s="2820" t="s">
        <v>766</v>
      </c>
      <c r="G26" s="2820"/>
      <c r="H26" s="282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2820</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2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本次估价的“房地产价值”是指在正常市场情况下，在价值时点2020年3月26日，估价对象规划用途为，假定未设立法定优先受偿款下的房地产市场价值。</v>
      </c>
    </row>
    <row r="54" spans="1:4">
      <c r="A54" s="2821"/>
      <c r="B54" s="9" t="s">
        <v>1528</v>
      </c>
      <c r="C54" s="9" t="s">
        <v>1529</v>
      </c>
    </row>
    <row r="55" spans="1:4">
      <c r="A55" s="2821"/>
      <c r="B55" s="9" t="s">
        <v>1530</v>
      </c>
      <c r="C55" s="9" t="s">
        <v>1531</v>
      </c>
    </row>
    <row r="56" spans="1:4">
      <c r="A56" s="2821"/>
      <c r="B56" s="9" t="s">
        <v>1532</v>
      </c>
      <c r="C56" s="9" t="s">
        <v>1533</v>
      </c>
    </row>
    <row r="57" spans="1:4">
      <c r="A57" s="2821"/>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2020-03-27T05:17:38Z</dcterms:modified>
</cp:coreProperties>
</file>