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明细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土地比较法-工业" sheetId="40" r:id="rId22"/>
    <sheet name="土地案例" sheetId="78"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21">'土地比较法-工业'!$A$1:$K$61,'土地比较法-工业'!$A$64:$M$121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D17" i="77" l="1"/>
  <c r="D37" i="69" l="1"/>
  <c r="C34" i="69"/>
  <c r="I13" i="3"/>
  <c r="C10" i="40" l="1"/>
  <c r="I41" i="40" l="1"/>
  <c r="G41" i="40"/>
  <c r="E41" i="40"/>
  <c r="I34" i="40"/>
  <c r="G34" i="40"/>
  <c r="E34" i="40"/>
  <c r="E66" i="40"/>
  <c r="F66" i="40" s="1"/>
  <c r="G66" i="40" s="1"/>
  <c r="H66" i="40" s="1"/>
  <c r="I66" i="40" s="1"/>
  <c r="D66" i="40"/>
  <c r="I7" i="40"/>
  <c r="G7" i="40"/>
  <c r="E7" i="40"/>
  <c r="I5" i="40" l="1"/>
  <c r="G5" i="40"/>
  <c r="E5" i="40"/>
  <c r="S3" i="78"/>
  <c r="S4" i="78"/>
  <c r="S5" i="78"/>
  <c r="S6" i="78"/>
  <c r="S7" i="78"/>
  <c r="S8" i="78"/>
  <c r="S9" i="78"/>
  <c r="S10" i="78"/>
  <c r="S11" i="78"/>
  <c r="S12" i="78"/>
  <c r="S13" i="78"/>
  <c r="S14" i="78"/>
  <c r="S15" i="78"/>
  <c r="S16" i="78"/>
  <c r="S2" i="78"/>
  <c r="Y6" i="1"/>
  <c r="C11" i="4" l="1"/>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c r="F33" i="40"/>
  <c r="AA33" i="40"/>
  <c r="H33" i="40"/>
  <c r="U33" i="40"/>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s="1"/>
  <c r="B16" i="53"/>
  <c r="B33" i="72" s="1"/>
  <c r="C7" i="37"/>
  <c r="C7" i="34"/>
  <c r="C7" i="36"/>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S35" i="40"/>
  <c r="W38" i="40"/>
  <c r="AA32" i="40"/>
  <c r="AB27"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s="1"/>
  <c r="B3" i="3" s="1"/>
  <c r="BA13" i="3"/>
  <c r="E10" i="6"/>
  <c r="BA5" i="3"/>
  <c r="E11" i="6"/>
  <c r="E61" i="39" s="1"/>
  <c r="BL17" i="3"/>
  <c r="AZ17" i="3"/>
  <c r="BL13" i="3"/>
  <c r="G30" i="6"/>
  <c r="G31" i="6" s="1"/>
  <c r="J56" i="9"/>
  <c r="J57" i="9" s="1"/>
  <c r="J59" i="9" s="1"/>
  <c r="J61" i="9" s="1"/>
  <c r="A24" i="51"/>
  <c r="B18" i="72" s="1"/>
  <c r="U29" i="34"/>
  <c r="E14" i="6"/>
  <c r="E64" i="39" s="1"/>
  <c r="E5" i="6"/>
  <c r="D9" i="11" s="1"/>
  <c r="C9" i="11" s="1"/>
  <c r="E32" i="6"/>
  <c r="L19" i="6"/>
  <c r="G1" i="68"/>
  <c r="K1" i="12"/>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S8" i="1"/>
  <c r="AQ8" i="1" s="1"/>
  <c r="K11" i="1"/>
  <c r="M11" i="1" s="1"/>
  <c r="AP6" i="1"/>
  <c r="B9" i="1"/>
  <c r="E9" i="1"/>
  <c r="K7" i="1"/>
  <c r="M7" i="1" s="1"/>
  <c r="O7" i="1" s="1"/>
  <c r="P7" i="1" s="1"/>
  <c r="G1" i="15"/>
  <c r="G1" i="69"/>
  <c r="G1" i="67"/>
  <c r="U32" i="40"/>
  <c r="AB31" i="40"/>
  <c r="S37" i="40"/>
  <c r="AB28" i="40"/>
  <c r="W28" i="40"/>
  <c r="W27" i="40"/>
  <c r="S36"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T11" i="1"/>
  <c r="AR11"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BL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R8" i="1"/>
  <c r="AE7" i="1"/>
  <c r="AE8" i="1"/>
  <c r="AG6" i="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c r="D5" i="43"/>
  <c r="C5" i="43"/>
  <c r="E68" i="39"/>
  <c r="F68" i="39" s="1"/>
  <c r="V14" i="71"/>
  <c r="C14" i="71"/>
  <c r="D15" i="71"/>
  <c r="E41" i="43"/>
  <c r="C41" i="43"/>
  <c r="C20" i="43"/>
  <c r="I59" i="34"/>
  <c r="J59" i="34" s="1"/>
  <c r="D12" i="71"/>
  <c r="T14" i="71"/>
  <c r="D13" i="71"/>
  <c r="D14" i="71"/>
  <c r="U14" i="71"/>
  <c r="F34" i="68"/>
  <c r="B11" i="76"/>
  <c r="F37" i="67"/>
  <c r="M9" i="15"/>
  <c r="C76" i="67"/>
  <c r="F3" i="73"/>
  <c r="M23" i="67"/>
  <c r="D3" i="73"/>
  <c r="F43" i="67"/>
  <c r="F38" i="67"/>
  <c r="F26" i="67"/>
  <c r="L47" i="67"/>
  <c r="M29" i="67"/>
  <c r="F8" i="67"/>
  <c r="F9" i="67"/>
  <c r="F5" i="73"/>
  <c r="E8" i="76"/>
  <c r="F6" i="73"/>
  <c r="AO9" i="1"/>
  <c r="E7" i="76"/>
  <c r="M26" i="67"/>
  <c r="M22" i="15"/>
  <c r="AO13" i="1"/>
  <c r="D2" i="35"/>
  <c r="M22" i="67"/>
  <c r="AO10" i="1"/>
  <c r="D5" i="73"/>
  <c r="AO7" i="1"/>
  <c r="F13" i="15"/>
  <c r="M8" i="15"/>
  <c r="M23" i="15"/>
  <c r="M28" i="67"/>
  <c r="D2" i="37"/>
  <c r="M27" i="67"/>
  <c r="M6" i="15"/>
  <c r="F16" i="15"/>
  <c r="E12" i="76"/>
  <c r="M26" i="15"/>
  <c r="L48" i="15"/>
  <c r="M6" i="67"/>
  <c r="D6" i="73"/>
  <c r="B7" i="76"/>
  <c r="E10" i="76"/>
  <c r="F42" i="67"/>
  <c r="D7" i="73"/>
  <c r="F37" i="15"/>
  <c r="D2" i="33"/>
  <c r="AO12" i="1"/>
  <c r="J15" i="15"/>
  <c r="F36" i="15"/>
  <c r="L48" i="67"/>
  <c r="D4" i="73"/>
  <c r="E2" i="68"/>
  <c r="B12" i="76"/>
  <c r="AO8" i="1"/>
  <c r="F40" i="15"/>
  <c r="F6" i="15"/>
  <c r="F9" i="15"/>
  <c r="E2" i="69"/>
  <c r="F7" i="67"/>
  <c r="F8" i="15"/>
  <c r="C76" i="15"/>
  <c r="F13" i="67"/>
  <c r="F36" i="67"/>
  <c r="E11" i="76"/>
  <c r="F6" i="67"/>
  <c r="E13" i="76"/>
  <c r="M9" i="67"/>
  <c r="M27" i="15"/>
  <c r="B10" i="76"/>
  <c r="F26" i="15"/>
  <c r="D9" i="69"/>
  <c r="F7" i="73"/>
  <c r="B9" i="76"/>
  <c r="M28" i="15"/>
  <c r="F16" i="67"/>
  <c r="L47" i="15"/>
  <c r="F4" i="73"/>
  <c r="D2" i="36"/>
  <c r="B13" i="76"/>
  <c r="F20" i="31"/>
  <c r="F38" i="15"/>
  <c r="E9" i="76"/>
  <c r="F40" i="67"/>
  <c r="AO11" i="1"/>
  <c r="F41" i="67"/>
  <c r="J15" i="67"/>
  <c r="F42" i="15"/>
  <c r="D2" i="34"/>
  <c r="B8" i="76"/>
  <c r="M8" i="67"/>
  <c r="M24" i="67"/>
  <c r="D2" i="21"/>
  <c r="M24" i="15"/>
  <c r="AR8" i="1" l="1"/>
  <c r="F19" i="6"/>
  <c r="E19" i="6" s="1"/>
  <c r="K6" i="1" s="1"/>
  <c r="D6" i="52"/>
  <c r="AB37" i="40"/>
  <c r="W37" i="40"/>
  <c r="U36" i="40"/>
  <c r="AC36" i="40"/>
  <c r="U35" i="40"/>
  <c r="W35" i="40"/>
  <c r="W32" i="40"/>
  <c r="AC32" i="40"/>
  <c r="S30" i="40"/>
  <c r="U25" i="40"/>
  <c r="W25" i="40"/>
  <c r="S25" i="40"/>
  <c r="F92" i="40"/>
  <c r="G92" i="40" s="1"/>
  <c r="J23" i="40"/>
  <c r="AC23" i="40" s="1"/>
  <c r="H23" i="40"/>
  <c r="AB23" i="40" s="1"/>
  <c r="F23" i="40"/>
  <c r="AA23" i="40" s="1"/>
  <c r="U23" i="40"/>
  <c r="F90" i="40"/>
  <c r="G90" i="40" s="1"/>
  <c r="J21" i="40"/>
  <c r="W21" i="40" s="1"/>
  <c r="H21" i="40"/>
  <c r="F21" i="40"/>
  <c r="AA21" i="40" s="1"/>
  <c r="S21" i="40"/>
  <c r="H19" i="40"/>
  <c r="J19" i="40"/>
  <c r="AC19" i="40" s="1"/>
  <c r="F88" i="40"/>
  <c r="G88" i="40" s="1"/>
  <c r="F19" i="40"/>
  <c r="W19" i="40"/>
  <c r="F86" i="40"/>
  <c r="G86" i="40" s="1"/>
  <c r="H17" i="40"/>
  <c r="U17" i="40" s="1"/>
  <c r="J17" i="40"/>
  <c r="W17" i="40" s="1"/>
  <c r="F17" i="40"/>
  <c r="AC17" i="40"/>
  <c r="AB17" i="40"/>
  <c r="F84" i="40"/>
  <c r="G84" i="40" s="1"/>
  <c r="F15" i="40"/>
  <c r="J15" i="40"/>
  <c r="H15" i="40"/>
  <c r="AB15" i="40" s="1"/>
  <c r="S14" i="40"/>
  <c r="C9" i="69"/>
  <c r="T8" i="1"/>
  <c r="E15" i="6"/>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13" i="6"/>
  <c r="E12" i="6"/>
  <c r="AY6" i="3"/>
  <c r="AY103" i="3" s="1"/>
  <c r="E3" i="6"/>
  <c r="C17" i="4" s="1"/>
  <c r="B4" i="52" s="1"/>
  <c r="B43" i="72" s="1"/>
  <c r="E29" i="6"/>
  <c r="F30" i="6"/>
  <c r="D3" i="33"/>
  <c r="AY478" i="3"/>
  <c r="AY84" i="3"/>
  <c r="AY134" i="3"/>
  <c r="E56" i="40"/>
  <c r="M18" i="9"/>
  <c r="B118" i="9" s="1"/>
  <c r="B14" i="74" s="1"/>
  <c r="B1" i="74" s="1"/>
  <c r="D37" i="11"/>
  <c r="C37" i="11" s="1"/>
  <c r="D19" i="11"/>
  <c r="C19" i="11" s="1"/>
  <c r="D3" i="34"/>
  <c r="S11" i="40"/>
  <c r="C5" i="11"/>
  <c r="C20" i="11" s="1"/>
  <c r="U9" i="40"/>
  <c r="AA9" i="40"/>
  <c r="AC11" i="40"/>
  <c r="P61" i="15"/>
  <c r="C92" i="9"/>
  <c r="C94" i="9"/>
  <c r="F54" i="9"/>
  <c r="F28" i="15"/>
  <c r="C28" i="15" s="1"/>
  <c r="F31" i="12"/>
  <c r="M18" i="67"/>
  <c r="F30" i="68"/>
  <c r="C24" i="12"/>
  <c r="D68" i="9"/>
  <c r="M18" i="15"/>
  <c r="F32" i="15"/>
  <c r="F60" i="15" s="1"/>
  <c r="F30" i="69"/>
  <c r="F32" i="67"/>
  <c r="F60" i="67" s="1"/>
  <c r="F52" i="9"/>
  <c r="F28" i="67"/>
  <c r="C28" i="67" s="1"/>
  <c r="F30" i="11"/>
  <c r="F53" i="9"/>
  <c r="C21" i="69"/>
  <c r="D22" i="67"/>
  <c r="AY390" i="3"/>
  <c r="AY244" i="3"/>
  <c r="AY269" i="3"/>
  <c r="AY199" i="3"/>
  <c r="AY526" i="3"/>
  <c r="AY425" i="3"/>
  <c r="AY444" i="3"/>
  <c r="AY486" i="3"/>
  <c r="AY334" i="3"/>
  <c r="AY350" i="3"/>
  <c r="AY387" i="3"/>
  <c r="AY220" i="3"/>
  <c r="AY237" i="3"/>
  <c r="AY147" i="3"/>
  <c r="AY75" i="3"/>
  <c r="AY292" i="3"/>
  <c r="AY163" i="3"/>
  <c r="AY31" i="3"/>
  <c r="AY90" i="3"/>
  <c r="AY132" i="3"/>
  <c r="AY171" i="3"/>
  <c r="AY160" i="3"/>
  <c r="AY191" i="3"/>
  <c r="AY196" i="3"/>
  <c r="AY18" i="3"/>
  <c r="AY50" i="3"/>
  <c r="AY82" i="3"/>
  <c r="AY67" i="3"/>
  <c r="AY98" i="3"/>
  <c r="D3" i="37"/>
  <c r="F27" i="6"/>
  <c r="F31" i="6" s="1"/>
  <c r="E51" i="40"/>
  <c r="E56"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 i="6"/>
  <c r="E59" i="40"/>
  <c r="D19" i="12"/>
  <c r="C19" i="12" s="1"/>
  <c r="E16" i="6"/>
  <c r="O11" i="1"/>
  <c r="P11" i="1" s="1"/>
  <c r="O9" i="1"/>
  <c r="P9" i="1" s="1"/>
  <c r="O14" i="1"/>
  <c r="P14" i="1" s="1"/>
  <c r="O12" i="1"/>
  <c r="P12" i="1" s="1"/>
  <c r="O8" i="1"/>
  <c r="P8" i="1" s="1"/>
  <c r="C36" i="11"/>
  <c r="T9" i="1"/>
  <c r="AQ9"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T14" i="43"/>
  <c r="V14" i="43" s="1"/>
  <c r="D19" i="53"/>
  <c r="I14" i="74"/>
  <c r="B8" i="74" s="1"/>
  <c r="D127" i="9"/>
  <c r="D13" i="52" s="1"/>
  <c r="D12" i="52"/>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Z9" i="71" s="1"/>
  <c r="AA10" i="71"/>
  <c r="AB3" i="71"/>
  <c r="C35" i="43"/>
  <c r="E35" i="43" s="1"/>
  <c r="C36" i="43"/>
  <c r="E36" i="43" s="1"/>
  <c r="T9" i="43"/>
  <c r="V9" i="43" s="1"/>
  <c r="C39" i="43"/>
  <c r="C37" i="43"/>
  <c r="E37" i="43" s="1"/>
  <c r="B10" i="71"/>
  <c r="B9" i="71" s="1"/>
  <c r="B8" i="71" s="1"/>
  <c r="B7" i="71" s="1"/>
  <c r="B6" i="71" s="1"/>
  <c r="B5" i="71" s="1"/>
  <c r="X10" i="71"/>
  <c r="AB10" i="71"/>
  <c r="T15" i="43"/>
  <c r="V15" i="43" s="1"/>
  <c r="Y3" i="71"/>
  <c r="Z3" i="71" s="1"/>
  <c r="D10" i="71"/>
  <c r="F10" i="71"/>
  <c r="F9" i="71" s="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D9" i="68"/>
  <c r="C16" i="67"/>
  <c r="F43" i="15"/>
  <c r="C36" i="68"/>
  <c r="M29" i="15"/>
  <c r="F7" i="15"/>
  <c r="G1" i="73"/>
  <c r="W23" i="40" l="1"/>
  <c r="AC21" i="40"/>
  <c r="Q16" i="1"/>
  <c r="G16" i="1"/>
  <c r="F10" i="39" s="1"/>
  <c r="AY270" i="3"/>
  <c r="AY193" i="3"/>
  <c r="AY539" i="3"/>
  <c r="AY371" i="3"/>
  <c r="AY227" i="3"/>
  <c r="AY286" i="3"/>
  <c r="AY173" i="3"/>
  <c r="AY20" i="3"/>
  <c r="AY100" i="3"/>
  <c r="AY573" i="3"/>
  <c r="AY245" i="3"/>
  <c r="AY59" i="3"/>
  <c r="AY417" i="3"/>
  <c r="AY343" i="3"/>
  <c r="AY428" i="3"/>
  <c r="AY58" i="3"/>
  <c r="AY23" i="3"/>
  <c r="S23" i="40"/>
  <c r="AB21" i="40"/>
  <c r="U21" i="40"/>
  <c r="S19" i="40"/>
  <c r="AA19" i="40"/>
  <c r="U19" i="40"/>
  <c r="AB19" i="40"/>
  <c r="AA17" i="40"/>
  <c r="S17" i="40"/>
  <c r="S15" i="40"/>
  <c r="AA15" i="40"/>
  <c r="U15" i="40"/>
  <c r="W15" i="40"/>
  <c r="AC15" i="40"/>
  <c r="C9" i="68"/>
  <c r="H16" i="1"/>
  <c r="H6" i="3"/>
  <c r="AY139" i="3"/>
  <c r="AY289" i="3"/>
  <c r="AY74" i="3"/>
  <c r="AY183" i="3"/>
  <c r="AY123" i="3"/>
  <c r="AY261" i="3"/>
  <c r="AY204" i="3"/>
  <c r="AY284" i="3"/>
  <c r="AY252" i="3"/>
  <c r="AY209" i="3"/>
  <c r="AY363" i="3"/>
  <c r="AY319" i="3"/>
  <c r="AY489" i="3"/>
  <c r="AY455" i="3"/>
  <c r="AY412" i="3"/>
  <c r="AY497" i="3"/>
  <c r="AY43" i="3"/>
  <c r="AY116" i="3"/>
  <c r="AY229" i="3"/>
  <c r="AY212" i="3"/>
  <c r="AY379" i="3"/>
  <c r="AY238" i="3"/>
  <c r="AY255" i="3"/>
  <c r="AY291" i="3"/>
  <c r="AY141" i="3"/>
  <c r="AY162" i="3"/>
  <c r="AY198" i="3"/>
  <c r="AY52" i="3"/>
  <c r="AY69" i="3"/>
  <c r="AY105" i="3"/>
  <c r="AY540" i="3"/>
  <c r="AY557" i="3"/>
  <c r="AY436" i="3"/>
  <c r="AY326" i="3"/>
  <c r="AY395" i="3"/>
  <c r="AY106" i="3"/>
  <c r="AY318" i="3"/>
  <c r="AY268" i="3"/>
  <c r="AY131" i="3"/>
  <c r="AY155" i="3"/>
  <c r="AY83" i="3"/>
  <c r="E60" i="40"/>
  <c r="E65" i="39"/>
  <c r="D14" i="12"/>
  <c r="D3" i="21"/>
  <c r="E58" i="40"/>
  <c r="E63" i="39"/>
  <c r="E57" i="40"/>
  <c r="E62" i="39"/>
  <c r="E66" i="39" s="1"/>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228" i="3"/>
  <c r="AY180" i="3"/>
  <c r="AY409" i="3"/>
  <c r="AY470" i="3"/>
  <c r="AY335" i="3"/>
  <c r="AY225" i="3"/>
  <c r="AY297" i="3"/>
  <c r="AY276" i="3"/>
  <c r="AY188" i="3"/>
  <c r="AY115" i="3"/>
  <c r="AY176" i="3"/>
  <c r="AY66" i="3"/>
  <c r="AY87" i="3"/>
  <c r="AY34" i="3"/>
  <c r="AY144" i="3"/>
  <c r="AY95" i="3"/>
  <c r="AY152" i="3"/>
  <c r="AY111" i="3"/>
  <c r="AY253" i="3"/>
  <c r="AY382" i="3"/>
  <c r="AY303" i="3"/>
  <c r="AY460" i="3"/>
  <c r="AY529" i="3"/>
  <c r="AY300" i="3"/>
  <c r="AY217"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207" i="3"/>
  <c r="AY42" i="3"/>
  <c r="AY168" i="3"/>
  <c r="AY366" i="3"/>
  <c r="AY441" i="3"/>
  <c r="AY260" i="3"/>
  <c r="AY327" i="3"/>
  <c r="AY463" i="3"/>
  <c r="AY401" i="3"/>
  <c r="AY544" i="3"/>
  <c r="BE6" i="3"/>
  <c r="AY92" i="3"/>
  <c r="AY76" i="3"/>
  <c r="AY33" i="3"/>
  <c r="AY185" i="3"/>
  <c r="AY165" i="3"/>
  <c r="AY125" i="3"/>
  <c r="AY278" i="3"/>
  <c r="AY262"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124" i="3"/>
  <c r="AY236" i="3"/>
  <c r="AY26" i="3"/>
  <c r="AY310" i="3"/>
  <c r="AY549" i="3"/>
  <c r="AY97" i="3"/>
  <c r="AY44" i="3"/>
  <c r="AY154" i="3"/>
  <c r="AY283" i="3"/>
  <c r="AY230" i="3"/>
  <c r="AY381" i="3"/>
  <c r="AY554" i="3"/>
  <c r="AY104" i="3"/>
  <c r="AY24" i="3"/>
  <c r="AY177" i="3"/>
  <c r="AY290" i="3"/>
  <c r="AY210" i="3"/>
  <c r="AY349" i="3"/>
  <c r="AY332" i="3"/>
  <c r="AY488" i="3"/>
  <c r="AY446"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51" i="3"/>
  <c r="AY281" i="3"/>
  <c r="AY473" i="3"/>
  <c r="AY372" i="3"/>
  <c r="AY420" i="3"/>
  <c r="AY533" i="3"/>
  <c r="AY61" i="3"/>
  <c r="AY190" i="3"/>
  <c r="AY133" i="3"/>
  <c r="AY247" i="3"/>
  <c r="AY392" i="3"/>
  <c r="AY357" i="3"/>
  <c r="BJ6" i="3"/>
  <c r="AY41" i="3"/>
  <c r="AY197" i="3"/>
  <c r="AY114" i="3"/>
  <c r="AY274" i="3"/>
  <c r="AY377" i="3"/>
  <c r="AY317" i="3"/>
  <c r="AY491" i="3"/>
  <c r="AY457"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41" i="3"/>
  <c r="AY256" i="3"/>
  <c r="AY224" i="3"/>
  <c r="AY213" i="3"/>
  <c r="AY391" i="3"/>
  <c r="AY367" i="3"/>
  <c r="AY354" i="3"/>
  <c r="AY323" i="3"/>
  <c r="AY338" i="3"/>
  <c r="AY306" i="3"/>
  <c r="AY490" i="3"/>
  <c r="AY459" i="3"/>
  <c r="AY448" i="3"/>
  <c r="AY416" i="3"/>
  <c r="AY429" i="3"/>
  <c r="AY550" i="3"/>
  <c r="BD6" i="3"/>
  <c r="BC6" i="3"/>
  <c r="AY511" i="3"/>
  <c r="AY504" i="3"/>
  <c r="AY586" i="3"/>
  <c r="AY498" i="3"/>
  <c r="AY240" i="3"/>
  <c r="AY386" i="3"/>
  <c r="AY351" i="3"/>
  <c r="AY307" i="3"/>
  <c r="AY477" i="3"/>
  <c r="AY443" i="3"/>
  <c r="AY400" i="3"/>
  <c r="AY521" i="3"/>
  <c r="AY566" i="3"/>
  <c r="BT6" i="3"/>
  <c r="AY272" i="3"/>
  <c r="AY208" i="3"/>
  <c r="AY375" i="3"/>
  <c r="AY339" i="3"/>
  <c r="AY322" i="3"/>
  <c r="AY474" i="3"/>
  <c r="AY432" i="3"/>
  <c r="AY413" i="3"/>
  <c r="AY15" i="3"/>
  <c r="AY583" i="3"/>
  <c r="AY567" i="3"/>
  <c r="E30" i="6"/>
  <c r="K15" i="1"/>
  <c r="K16" i="1" s="1"/>
  <c r="F71" i="15"/>
  <c r="M7" i="15"/>
  <c r="J6" i="15" s="1"/>
  <c r="J18" i="15" s="1"/>
  <c r="F50" i="15"/>
  <c r="C49" i="15" s="1"/>
  <c r="C6" i="15"/>
  <c r="C32" i="15" s="1"/>
  <c r="M6" i="1"/>
  <c r="F48" i="68"/>
  <c r="C30" i="68"/>
  <c r="C48" i="68"/>
  <c r="C48" i="11"/>
  <c r="C30" i="11"/>
  <c r="F48" i="69"/>
  <c r="C30" i="69"/>
  <c r="C48" i="69"/>
  <c r="E27" i="6"/>
  <c r="AC6" i="3"/>
  <c r="E6" i="3" s="1"/>
  <c r="D10" i="11"/>
  <c r="C10" i="11" s="1"/>
  <c r="D20" i="12"/>
  <c r="C20" i="12" s="1"/>
  <c r="D6" i="6"/>
  <c r="F28" i="12"/>
  <c r="C29" i="12" s="1"/>
  <c r="D28" i="12" s="1"/>
  <c r="F27" i="1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W10" i="40" s="1"/>
  <c r="H10" i="39"/>
  <c r="U10" i="39" s="1"/>
  <c r="F10" i="40"/>
  <c r="AA10" i="40" s="1"/>
  <c r="J10" i="39"/>
  <c r="AC10" i="39" s="1"/>
  <c r="H10" i="40"/>
  <c r="AB10" i="40" s="1"/>
  <c r="B38" i="72"/>
  <c r="D20" i="53"/>
  <c r="B40" i="72" s="1"/>
  <c r="C8" i="74"/>
  <c r="G36" i="43"/>
  <c r="I36"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F27" i="68"/>
  <c r="AE6" i="1"/>
  <c r="D17" i="12" l="1"/>
  <c r="C17" i="12" s="1"/>
  <c r="C14" i="12"/>
  <c r="U10" i="40"/>
  <c r="J10" i="15"/>
  <c r="J5" i="15" s="1"/>
  <c r="J24" i="15" s="1"/>
  <c r="D22" i="6"/>
  <c r="D25" i="6"/>
  <c r="D24" i="6"/>
  <c r="D9" i="6"/>
  <c r="D19" i="6"/>
  <c r="D29" i="6"/>
  <c r="D5" i="6"/>
  <c r="D21" i="6"/>
  <c r="D28" i="6"/>
  <c r="D11" i="6"/>
  <c r="D14" i="6"/>
  <c r="D8" i="6"/>
  <c r="D26" i="6"/>
  <c r="C34" i="40"/>
  <c r="D10" i="6"/>
  <c r="D20" i="6"/>
  <c r="D15" i="6"/>
  <c r="E61" i="40"/>
  <c r="D13" i="6"/>
  <c r="D12" i="6"/>
  <c r="D23" i="6"/>
  <c r="C18" i="4"/>
  <c r="O6" i="1"/>
  <c r="M16" i="1"/>
  <c r="AC10" i="40"/>
  <c r="K19" i="6"/>
  <c r="S6" i="1" s="1"/>
  <c r="K26" i="6"/>
  <c r="M26" i="6" s="1"/>
  <c r="I26" i="6" s="1"/>
  <c r="K24" i="6"/>
  <c r="M24" i="6" s="1"/>
  <c r="I24" i="6" s="1"/>
  <c r="K23" i="6"/>
  <c r="M23" i="6" s="1"/>
  <c r="I23" i="6" s="1"/>
  <c r="K22" i="6"/>
  <c r="M22" i="6" s="1"/>
  <c r="I22" i="6" s="1"/>
  <c r="E31" i="6"/>
  <c r="K20" i="6"/>
  <c r="K25" i="6"/>
  <c r="M25" i="6" s="1"/>
  <c r="I25" i="6" s="1"/>
  <c r="K21" i="6"/>
  <c r="M21" i="6" s="1"/>
  <c r="I21" i="6" s="1"/>
  <c r="AB10" i="39"/>
  <c r="W10" i="39"/>
  <c r="C29" i="68"/>
  <c r="D27" i="68" s="1"/>
  <c r="F45" i="68"/>
  <c r="C47" i="68"/>
  <c r="D45" i="68" s="1"/>
  <c r="C47" i="69"/>
  <c r="D45" i="69" s="1"/>
  <c r="C29" i="69"/>
  <c r="D27" i="69" s="1"/>
  <c r="C47" i="11"/>
  <c r="D45" i="11" s="1"/>
  <c r="C29" i="11"/>
  <c r="D27" i="11" s="1"/>
  <c r="C28" i="11"/>
  <c r="C27" i="11"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S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J26" i="67"/>
  <c r="J29" i="67" s="1"/>
  <c r="J24" i="67"/>
  <c r="C53" i="67"/>
  <c r="C48" i="67" s="1"/>
  <c r="C10" i="67"/>
  <c r="C5" i="67" s="1"/>
  <c r="C53" i="15"/>
  <c r="C48" i="15" s="1"/>
  <c r="C10" i="15"/>
  <c r="C5" i="15" s="1"/>
  <c r="F25" i="12"/>
  <c r="F22" i="69"/>
  <c r="F41" i="69" s="1"/>
  <c r="F24" i="67"/>
  <c r="C24" i="67" s="1"/>
  <c r="F22" i="11"/>
  <c r="F22" i="68"/>
  <c r="F24" i="15"/>
  <c r="C24" i="15" s="1"/>
  <c r="F41" i="15"/>
  <c r="C17" i="15"/>
  <c r="J26" i="15" l="1"/>
  <c r="M20" i="6"/>
  <c r="I20" i="6" s="1"/>
  <c r="S7" i="1"/>
  <c r="D30" i="6"/>
  <c r="D27" i="6"/>
  <c r="M19" i="9"/>
  <c r="C118" i="9" s="1"/>
  <c r="C14" i="74" s="1"/>
  <c r="B2" i="74" s="1"/>
  <c r="A7" i="51"/>
  <c r="B7" i="72" s="1"/>
  <c r="A10" i="51"/>
  <c r="B9" i="72" s="1"/>
  <c r="C4" i="52"/>
  <c r="B45" i="72" s="1"/>
  <c r="F34" i="40"/>
  <c r="J34" i="40"/>
  <c r="H34" i="40"/>
  <c r="D16" i="6"/>
  <c r="C34" i="11"/>
  <c r="N16" i="1"/>
  <c r="L16" i="1"/>
  <c r="P6" i="1"/>
  <c r="P16" i="1" s="1"/>
  <c r="C11" i="12" s="1"/>
  <c r="O16" i="1"/>
  <c r="E6" i="70"/>
  <c r="E2" i="70" s="1"/>
  <c r="F69" i="15"/>
  <c r="J29" i="15"/>
  <c r="AQ6" i="1"/>
  <c r="S16" i="1"/>
  <c r="T6" i="1"/>
  <c r="AR6" i="1"/>
  <c r="S25" i="6"/>
  <c r="H25" i="6"/>
  <c r="R25" i="6" s="1"/>
  <c r="S23" i="6"/>
  <c r="H23" i="6"/>
  <c r="R23" i="6" s="1"/>
  <c r="H26" i="6"/>
  <c r="R26" i="6" s="1"/>
  <c r="S26" i="6"/>
  <c r="H21" i="6"/>
  <c r="R21" i="6" s="1"/>
  <c r="S21" i="6"/>
  <c r="S20" i="6"/>
  <c r="H20" i="6"/>
  <c r="R20" i="6" s="1"/>
  <c r="R7" i="1" s="1"/>
  <c r="S22" i="6"/>
  <c r="H22" i="6"/>
  <c r="R22" i="6" s="1"/>
  <c r="S24" i="6"/>
  <c r="H24" i="6"/>
  <c r="R24" i="6" s="1"/>
  <c r="M19" i="6"/>
  <c r="K27" i="6"/>
  <c r="C19" i="68"/>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67"/>
  <c r="C14" i="15"/>
  <c r="E6" i="76"/>
  <c r="B6" i="76"/>
  <c r="D10" i="69"/>
  <c r="D10" i="68"/>
  <c r="M21" i="67"/>
  <c r="F35" i="67"/>
  <c r="C17" i="67"/>
  <c r="J20" i="67" l="1"/>
  <c r="F63" i="67"/>
  <c r="C62" i="67" s="1"/>
  <c r="C34" i="67"/>
  <c r="C15" i="67"/>
  <c r="C18" i="67"/>
  <c r="C38" i="69"/>
  <c r="C35" i="69"/>
  <c r="C10" i="69"/>
  <c r="C8" i="69" s="1"/>
  <c r="C5" i="69" s="1"/>
  <c r="C23" i="69" s="1"/>
  <c r="D19" i="69"/>
  <c r="C10" i="68"/>
  <c r="D19" i="68"/>
  <c r="D37" i="68" s="1"/>
  <c r="C37" i="68" s="1"/>
  <c r="AQ7" i="1"/>
  <c r="T7" i="1"/>
  <c r="AR7" i="1"/>
  <c r="D31" i="6"/>
  <c r="I6" i="6" s="1"/>
  <c r="U34" i="40"/>
  <c r="AB34" i="40"/>
  <c r="S34" i="40"/>
  <c r="AA34" i="40"/>
  <c r="D8" i="74"/>
  <c r="W34" i="40"/>
  <c r="AC34" i="40"/>
  <c r="C38" i="11"/>
  <c r="C35" i="11"/>
  <c r="C15" i="12"/>
  <c r="C12" i="12"/>
  <c r="F50" i="11"/>
  <c r="F50" i="68"/>
  <c r="C15" i="15"/>
  <c r="C18" i="15"/>
  <c r="T16" i="1"/>
  <c r="I19" i="6"/>
  <c r="L18" i="9" s="1"/>
  <c r="M27" i="6"/>
  <c r="C24" i="68"/>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J59" i="67"/>
  <c r="J60" i="67" s="1"/>
  <c r="C34" i="68"/>
  <c r="C19" i="67" l="1"/>
  <c r="C20" i="67" s="1"/>
  <c r="C26" i="67" s="1"/>
  <c r="C35" i="68"/>
  <c r="C38" i="68"/>
  <c r="C19" i="69"/>
  <c r="C37" i="69"/>
  <c r="C33" i="69" s="1"/>
  <c r="C8" i="68"/>
  <c r="C18" i="12"/>
  <c r="I5" i="6"/>
  <c r="C19" i="15"/>
  <c r="C20" i="15" s="1"/>
  <c r="C26" i="15" s="1"/>
  <c r="C33" i="68"/>
  <c r="C39" i="68" s="1"/>
  <c r="C16" i="12"/>
  <c r="C33" i="11"/>
  <c r="C39" i="11" s="1"/>
  <c r="S19" i="6"/>
  <c r="S27" i="6" s="1"/>
  <c r="H19" i="6"/>
  <c r="L19" i="9" s="1"/>
  <c r="I27" i="6"/>
  <c r="B3" i="76"/>
  <c r="K70" i="39"/>
  <c r="L68" i="39"/>
  <c r="I63" i="40"/>
  <c r="H65" i="40"/>
  <c r="I58" i="21"/>
  <c r="J58" i="21" s="1"/>
  <c r="K58" i="21" s="1"/>
  <c r="L58" i="21" s="1"/>
  <c r="M58" i="21" s="1"/>
  <c r="N58" i="21" s="1"/>
  <c r="O58" i="21" s="1"/>
  <c r="H7" i="21" s="1"/>
  <c r="J7" i="21"/>
  <c r="F7" i="21"/>
  <c r="J48" i="35"/>
  <c r="Q48" i="15"/>
  <c r="Q48" i="67"/>
  <c r="C21" i="12" l="1"/>
  <c r="C22" i="12" s="1"/>
  <c r="C23" i="67"/>
  <c r="C29" i="67" s="1"/>
  <c r="C42" i="69"/>
  <c r="C39" i="69"/>
  <c r="C24" i="69"/>
  <c r="C20" i="69"/>
  <c r="C42" i="11"/>
  <c r="C42" i="68"/>
  <c r="C46" i="11"/>
  <c r="C45" i="11" s="1"/>
  <c r="C43" i="11"/>
  <c r="C46" i="68"/>
  <c r="C45" i="68" s="1"/>
  <c r="C43" i="68"/>
  <c r="C41" i="68" s="1"/>
  <c r="C23" i="15"/>
  <c r="C29" i="15"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33" i="67" l="1"/>
  <c r="C31" i="67" s="1"/>
  <c r="C13" i="67"/>
  <c r="C57" i="67"/>
  <c r="C36" i="67"/>
  <c r="J14" i="67"/>
  <c r="J19" i="67"/>
  <c r="J17" i="67" s="1"/>
  <c r="Q49" i="67"/>
  <c r="C28" i="69"/>
  <c r="C27" i="69" s="1"/>
  <c r="C25" i="69"/>
  <c r="C22" i="69" s="1"/>
  <c r="C43" i="69"/>
  <c r="C41" i="69" s="1"/>
  <c r="C46" i="69"/>
  <c r="C45" i="69" s="1"/>
  <c r="C41" i="11"/>
  <c r="C49" i="11" s="1"/>
  <c r="C51" i="11" s="1"/>
  <c r="C52" i="11" s="1"/>
  <c r="B2" i="11" s="1"/>
  <c r="B3" i="11" s="1"/>
  <c r="C49" i="68"/>
  <c r="C51" i="68" s="1"/>
  <c r="C57" i="15"/>
  <c r="Q49" i="15"/>
  <c r="J14" i="15"/>
  <c r="C36" i="15"/>
  <c r="C13" i="15"/>
  <c r="J19" i="15"/>
  <c r="R27" i="6"/>
  <c r="R6" i="1"/>
  <c r="J7" i="35"/>
  <c r="W7" i="35" s="1"/>
  <c r="M70" i="39"/>
  <c r="N68" i="39"/>
  <c r="J65" i="40"/>
  <c r="K63" i="40"/>
  <c r="I52" i="21"/>
  <c r="J52" i="21" s="1"/>
  <c r="U7" i="35"/>
  <c r="AB7" i="35"/>
  <c r="T38" i="35" s="1"/>
  <c r="G38" i="35" s="1"/>
  <c r="R49" i="21"/>
  <c r="E48" i="21"/>
  <c r="G52" i="21"/>
  <c r="H52" i="21" s="1"/>
  <c r="G53" i="21"/>
  <c r="H53" i="21" s="1"/>
  <c r="F7" i="35"/>
  <c r="M21" i="15"/>
  <c r="F35" i="15"/>
  <c r="C56" i="67" l="1"/>
  <c r="C65" i="67" s="1"/>
  <c r="Q70" i="67"/>
  <c r="C75" i="67"/>
  <c r="C37" i="67"/>
  <c r="C30" i="67" s="1"/>
  <c r="C39" i="67" s="1"/>
  <c r="J13" i="67"/>
  <c r="J23" i="67" s="1"/>
  <c r="J22" i="67"/>
  <c r="C61" i="67"/>
  <c r="C59" i="67" s="1"/>
  <c r="C64" i="67"/>
  <c r="C49" i="69"/>
  <c r="C51" i="69" s="1"/>
  <c r="C31" i="69"/>
  <c r="C56" i="11"/>
  <c r="C57" i="11" s="1"/>
  <c r="Q70" i="15"/>
  <c r="C75" i="15"/>
  <c r="C56" i="15"/>
  <c r="C65" i="15" s="1"/>
  <c r="C37" i="15"/>
  <c r="J13" i="15"/>
  <c r="J23" i="15" s="1"/>
  <c r="J22" i="15"/>
  <c r="C61" i="15"/>
  <c r="C64" i="15"/>
  <c r="J20" i="15"/>
  <c r="J17" i="15" s="1"/>
  <c r="C34" i="15"/>
  <c r="C31" i="15" s="1"/>
  <c r="F63" i="15"/>
  <c r="C62" i="15" s="1"/>
  <c r="C59" i="15" s="1"/>
  <c r="R16" i="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30" i="15" l="1"/>
  <c r="C39" i="15" s="1"/>
  <c r="J16" i="67"/>
  <c r="J25" i="67" s="1"/>
  <c r="L57" i="67"/>
  <c r="L60" i="67" s="1"/>
  <c r="Q67" i="67"/>
  <c r="C58" i="67"/>
  <c r="C67" i="67" s="1"/>
  <c r="C68" i="67" s="1"/>
  <c r="C80" i="67"/>
  <c r="C79" i="67" s="1"/>
  <c r="Q69" i="67"/>
  <c r="Q68" i="67" s="1"/>
  <c r="C40" i="67"/>
  <c r="C52" i="69"/>
  <c r="B2" i="69" s="1"/>
  <c r="C58" i="15"/>
  <c r="C67" i="15" s="1"/>
  <c r="C68" i="15" s="1"/>
  <c r="C71" i="15" s="1"/>
  <c r="J16" i="15"/>
  <c r="J25" i="15" s="1"/>
  <c r="L57" i="15"/>
  <c r="L60" i="15" s="1"/>
  <c r="C80" i="15"/>
  <c r="C79" i="15" s="1"/>
  <c r="H7" i="39"/>
  <c r="J7" i="39"/>
  <c r="AA7" i="39"/>
  <c r="R47" i="39" s="1"/>
  <c r="S7" i="39"/>
  <c r="R39" i="35"/>
  <c r="E38" i="35"/>
  <c r="M63" i="40"/>
  <c r="L65" i="40"/>
  <c r="L51" i="15"/>
  <c r="B3" i="69"/>
  <c r="Q67" i="15" l="1"/>
  <c r="Q69" i="15"/>
  <c r="Q68" i="15" s="1"/>
  <c r="C40" i="15"/>
  <c r="C8" i="12" s="1"/>
  <c r="C4" i="12" s="1"/>
  <c r="C23" i="12" s="1"/>
  <c r="Q56" i="67"/>
  <c r="C83" i="67"/>
  <c r="C82" i="67" s="1"/>
  <c r="C43" i="67"/>
  <c r="Q47" i="67"/>
  <c r="Q53" i="67" s="1"/>
  <c r="Q65" i="67"/>
  <c r="C71" i="67"/>
  <c r="C45" i="67"/>
  <c r="C46" i="67" s="1"/>
  <c r="L46" i="67"/>
  <c r="D2" i="67" s="1"/>
  <c r="Q57" i="67"/>
  <c r="Q62" i="67" s="1"/>
  <c r="Q66" i="67"/>
  <c r="C57" i="69"/>
  <c r="C56" i="69"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Q65" i="15" l="1"/>
  <c r="C46" i="15"/>
  <c r="C83" i="15"/>
  <c r="C82" i="15" s="1"/>
  <c r="Q56" i="15"/>
  <c r="Q62" i="15" s="1"/>
  <c r="C31" i="12"/>
  <c r="C43" i="15"/>
  <c r="C6" i="12" s="1"/>
  <c r="Q47" i="15"/>
  <c r="Q53" i="15" s="1"/>
  <c r="B2" i="15"/>
  <c r="B3" i="15" s="1"/>
  <c r="C27" i="12"/>
  <c r="C25" i="12" s="1"/>
  <c r="C30" i="12"/>
  <c r="C28" i="12" s="1"/>
  <c r="Q75" i="67"/>
  <c r="B3" i="67"/>
  <c r="B2" i="67"/>
  <c r="Q75" i="15"/>
  <c r="E52" i="39"/>
  <c r="F52" i="39" s="1"/>
  <c r="E51" i="39"/>
  <c r="F51" i="39" s="1"/>
  <c r="G51" i="39"/>
  <c r="H51" i="39" s="1"/>
  <c r="G52" i="39"/>
  <c r="H52" i="39" s="1"/>
  <c r="I51" i="39"/>
  <c r="J51" i="39" s="1"/>
  <c r="I52" i="39"/>
  <c r="J52" i="39" s="1"/>
  <c r="C48" i="39"/>
  <c r="C47" i="39"/>
  <c r="O63" i="40"/>
  <c r="O65" i="40" s="1"/>
  <c r="N65" i="40"/>
  <c r="AO6" i="1"/>
  <c r="B6" i="70" l="1"/>
  <c r="B2" i="70" s="1"/>
  <c r="B3" i="70" s="1"/>
  <c r="C32" i="12"/>
  <c r="B2" i="12" s="1"/>
  <c r="B3" i="12"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D19" i="9"/>
  <c r="D21" i="9" l="1"/>
  <c r="D102" i="9"/>
  <c r="B3" i="40"/>
  <c r="C6" i="68"/>
  <c r="D20" i="9"/>
  <c r="D103" i="9" l="1"/>
  <c r="C7" i="68"/>
  <c r="C5" i="68" s="1"/>
  <c r="C23" i="68" l="1"/>
  <c r="C20" i="68"/>
  <c r="C25" i="68" s="1"/>
  <c r="C28" i="68" l="1"/>
  <c r="C27" i="68" s="1"/>
  <c r="C22" i="68"/>
  <c r="C31" i="68" l="1"/>
  <c r="C52" i="68" s="1"/>
  <c r="B2" i="68" l="1"/>
  <c r="C57" i="68"/>
  <c r="C56" i="68" s="1"/>
  <c r="C19" i="9"/>
  <c r="C102" i="9" l="1"/>
  <c r="G19" i="9"/>
  <c r="C21" i="9"/>
  <c r="D22" i="9"/>
  <c r="C20" i="9"/>
  <c r="B3" i="68"/>
  <c r="I19" i="9" l="1"/>
  <c r="D28" i="9"/>
  <c r="G21" i="9"/>
  <c r="C103" i="9"/>
  <c r="G20" i="9"/>
  <c r="C32" i="9" s="1"/>
  <c r="C35" i="9" s="1"/>
  <c r="D35" i="9" l="1"/>
  <c r="H118" i="9"/>
  <c r="D14" i="74" s="1"/>
  <c r="C34" i="9"/>
  <c r="F118" i="9"/>
  <c r="F119" i="9" s="1"/>
  <c r="F5" i="52" s="1"/>
  <c r="B53" i="72" s="1"/>
  <c r="D34" i="9"/>
  <c r="C104" i="9" l="1"/>
  <c r="F4" i="52"/>
  <c r="B51" i="72" s="1"/>
  <c r="I118" i="9"/>
  <c r="C105" i="9" s="1"/>
  <c r="H4" i="52"/>
  <c r="E14" i="74"/>
  <c r="H101" i="9"/>
  <c r="H109" i="9" s="1"/>
  <c r="H119" i="9"/>
  <c r="H5" i="52" s="1"/>
  <c r="G118" i="9"/>
  <c r="G4" i="52" s="1"/>
  <c r="B52" i="72" s="1"/>
  <c r="D118" i="9"/>
  <c r="E118" i="9" s="1"/>
  <c r="E4" i="52" s="1"/>
  <c r="B48" i="72" s="1"/>
  <c r="M48" i="9"/>
  <c r="D45" i="9" l="1"/>
  <c r="D53" i="9" s="1"/>
  <c r="D5" i="53"/>
  <c r="B20" i="72" s="1"/>
  <c r="H107" i="9"/>
  <c r="M49" i="9" s="1"/>
  <c r="L66" i="9" s="1"/>
  <c r="M66" i="9" s="1"/>
  <c r="D16" i="53"/>
  <c r="H110" i="9"/>
  <c r="D18" i="53" s="1"/>
  <c r="B35" i="72" s="1"/>
  <c r="D124" i="9"/>
  <c r="L68" i="9"/>
  <c r="M68" i="9" s="1"/>
  <c r="L63" i="9"/>
  <c r="M63" i="9" s="1"/>
  <c r="L64" i="9"/>
  <c r="M64" i="9" s="1"/>
  <c r="F14" i="74"/>
  <c r="H102" i="9"/>
  <c r="D7" i="53" s="1"/>
  <c r="B21" i="72" s="1"/>
  <c r="B5" i="74"/>
  <c r="D5" i="74" s="1"/>
  <c r="I4" i="52"/>
  <c r="D4" i="52"/>
  <c r="B47" i="72" s="1"/>
  <c r="D119" i="9"/>
  <c r="D5" i="52" s="1"/>
  <c r="B49" i="72" s="1"/>
  <c r="D55" i="9" l="1"/>
  <c r="M53" i="9" s="1"/>
  <c r="D52" i="9"/>
  <c r="C78" i="9"/>
  <c r="C73" i="9" s="1"/>
  <c r="C64" i="9"/>
  <c r="C63" i="9" s="1"/>
  <c r="C67" i="9" s="1"/>
  <c r="D59" i="9" s="1"/>
  <c r="M55" i="9" s="1"/>
  <c r="C93" i="9"/>
  <c r="C86" i="9" s="1"/>
  <c r="C85" i="9"/>
  <c r="C72" i="9"/>
  <c r="D13" i="53"/>
  <c r="D14" i="53" s="1"/>
  <c r="B32" i="72" s="1"/>
  <c r="D122" i="9"/>
  <c r="D8" i="52" s="1"/>
  <c r="H108" i="9"/>
  <c r="D15" i="53" s="1"/>
  <c r="B31" i="72" s="1"/>
  <c r="D6" i="53"/>
  <c r="B22" i="72" s="1"/>
  <c r="L67" i="9"/>
  <c r="M67" i="9" s="1"/>
  <c r="L65" i="9"/>
  <c r="M65" i="9" s="1"/>
  <c r="D10" i="52"/>
  <c r="H14" i="74"/>
  <c r="B7" i="74" s="1"/>
  <c r="D125" i="9"/>
  <c r="D11" i="52" s="1"/>
  <c r="B34" i="72"/>
  <c r="D17" i="53"/>
  <c r="B36" i="72" s="1"/>
  <c r="C5" i="74"/>
  <c r="M69" i="9"/>
  <c r="N69" i="9" s="1"/>
  <c r="C79" i="9"/>
  <c r="C80" i="9" s="1"/>
  <c r="E80" i="9" s="1"/>
  <c r="E81" i="9" s="1"/>
  <c r="B30" i="72"/>
  <c r="B6" i="74"/>
  <c r="C68" i="9" l="1"/>
  <c r="D54" i="9" s="1"/>
  <c r="C95" i="9"/>
  <c r="C96" i="9" s="1"/>
  <c r="E96" i="9" s="1"/>
  <c r="E97" i="9" s="1"/>
  <c r="D123" i="9"/>
  <c r="D9" i="52" s="1"/>
  <c r="C7" i="74"/>
  <c r="D7" i="74"/>
  <c r="C6" i="74"/>
  <c r="D6" i="74"/>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<sst xmlns="http://schemas.openxmlformats.org/spreadsheetml/2006/main" count="7567" uniqueCount="3194">
  <si>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</si>
  <si>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</si>
  <si>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</si>
  <si>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</si>
  <si>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</si>
  <si>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</si>
  <si>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</si>
  <si>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</si>
  <si>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</si>
  <si>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</si>
  <si>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</si>
  <si>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</si>
  <si>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</si>
  <si>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</si>
  <si>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</si>
  <si>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</si>
  <si>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</si>
  <si>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</si>
  <si>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</si>
  <si>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</si>
  <si>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</si>
  <si>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</si>
  <si>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</si>
  <si>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</si>
  <si>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</si>
  <si>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</si>
  <si>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</si>
  <si>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</si>
  <si>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</si>
  <si>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</si>
  <si>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</si>
  <si>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</si>
  <si>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</si>
  <si>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</si>
  <si>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</si>
  <si>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</si>
  <si>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</si>
  <si>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</si>
  <si>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</si>
  <si>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</si>
  <si>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</si>
  <si>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</si>
  <si>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</si>
  <si>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</si>
  <si>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</si>
  <si>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</si>
  <si>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</si>
  <si>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</si>
  <si>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</si>
  <si>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</si>
  <si>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</si>
  <si>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</si>
  <si>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</si>
  <si>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</si>
  <si>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</si>
  <si>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</si>
  <si>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</si>
  <si>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</si>
  <si>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</si>
  <si>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</si>
  <si>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</si>
  <si>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</si>
  <si>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</si>
  <si>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</si>
  <si>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</si>
  <si>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</si>
  <si>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</si>
  <si>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</si>
  <si>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</si>
  <si>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</si>
  <si>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</si>
  <si>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</si>
  <si>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</si>
  <si>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</si>
  <si>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</si>
  <si>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</si>
  <si>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</si>
  <si>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</si>
  <si>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</si>
  <si>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</si>
  <si>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</si>
  <si>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</si>
  <si>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</si>
  <si>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</si>
  <si>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</si>
  <si>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</si>
  <si>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</si>
  <si>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</si>
  <si>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</si>
  <si>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</si>
  <si>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</si>
  <si>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</si>
  <si>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</si>
  <si>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</si>
  <si>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</si>
  <si>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</si>
  <si>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</si>
  <si>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</si>
  <si>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</si>
  <si>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</si>
  <si>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</si>
  <si>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</si>
  <si>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</si>
  <si>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</si>
  <si>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</si>
  <si>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</si>
  <si>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</si>
  <si>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</si>
  <si>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</si>
  <si>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</si>
  <si>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</si>
  <si>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</si>
  <si>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</si>
  <si>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</si>
  <si>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</si>
  <si>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</si>
  <si>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</si>
  <si>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</si>
  <si>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</si>
  <si>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</si>
  <si>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</si>
  <si>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</si>
  <si>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</si>
  <si>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</si>
  <si>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</si>
  <si>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</si>
  <si>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</si>
  <si>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</si>
  <si>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</si>
  <si>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</si>
  <si>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</si>
  <si>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</si>
  <si>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</si>
  <si>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</si>
  <si>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</si>
  <si>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</si>
  <si>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</si>
  <si>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</si>
  <si>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</si>
  <si>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</si>
  <si>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</si>
  <si>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</si>
  <si>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</si>
  <si>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</si>
  <si>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</si>
  <si>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</si>
  <si>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</si>
  <si>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</si>
  <si>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</si>
  <si>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</si>
  <si>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</si>
  <si>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</si>
  <si>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</si>
  <si>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</si>
  <si>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</si>
  <si>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</si>
  <si>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</si>
  <si>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</si>
  <si>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</si>
  <si>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</si>
  <si>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</si>
  <si>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</si>
  <si>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</si>
  <si>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</si>
  <si>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</si>
  <si>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</si>
  <si>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</si>
  <si>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</si>
  <si>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</si>
  <si>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</si>
  <si>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</si>
  <si>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</si>
  <si>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</si>
  <si>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</si>
  <si>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</si>
  <si>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</si>
  <si>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</si>
  <si>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</si>
  <si>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</si>
  <si>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</si>
  <si>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</si>
  <si>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</si>
  <si>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</si>
  <si>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</si>
  <si>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</si>
  <si>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</si>
  <si>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</si>
  <si>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</si>
  <si>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</si>
  <si>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</si>
  <si>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</si>
  <si>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</si>
  <si>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</si>
  <si>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</si>
  <si>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</si>
  <si>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</si>
  <si>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</si>
  <si>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</si>
  <si>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</si>
  <si>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</si>
  <si>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</si>
  <si>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</si>
  <si>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</si>
  <si>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</si>
  <si>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</si>
  <si>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</si>
  <si>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</si>
  <si>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</si>
  <si>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</si>
  <si>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</si>
  <si>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</si>
  <si>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</si>
  <si>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</si>
  <si>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</si>
  <si>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</si>
  <si>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</si>
  <si>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</si>
  <si>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</si>
  <si>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</si>
  <si>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</si>
  <si>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</si>
  <si>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</si>
  <si>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</si>
  <si>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</si>
  <si>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</si>
  <si>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</si>
  <si>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</si>
  <si>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</si>
  <si>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</si>
  <si>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</si>
  <si>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</si>
  <si>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</si>
  <si>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</si>
  <si>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</si>
  <si>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</si>
  <si>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</si>
  <si>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</si>
  <si>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</si>
  <si>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</si>
  <si>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</si>
  <si>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</si>
  <si>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</si>
  <si>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</si>
  <si>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</si>
  <si>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</si>
  <si>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</si>
  <si>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</si>
  <si>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</si>
  <si>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</si>
  <si>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</si>
  <si>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</si>
  <si>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</si>
  <si>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</si>
  <si>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</si>
  <si>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</si>
  <si>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</si>
  <si>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</si>
  <si>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</si>
  <si>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</si>
  <si>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</si>
  <si>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</si>
  <si>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</si>
  <si>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</si>
  <si>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</si>
  <si>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</si>
  <si>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</si>
  <si>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</si>
  <si>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</si>
  <si>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</si>
  <si>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</si>
  <si>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</si>
  <si>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</si>
  <si>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</si>
  <si>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</si>
  <si>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</si>
  <si>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</si>
  <si>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</si>
  <si>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</si>
  <si>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</si>
  <si>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</si>
  <si>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</si>
  <si>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</si>
  <si>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</si>
  <si>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</si>
  <si>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</si>
  <si>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</si>
  <si>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</si>
  <si>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</si>
  <si>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</si>
  <si>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</si>
  <si>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</si>
  <si>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</si>
  <si>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</si>
  <si>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</si>
  <si>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</si>
  <si>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</si>
  <si>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</si>
  <si>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</si>
  <si>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</si>
  <si>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</si>
  <si>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</si>
  <si>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</si>
  <si>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</si>
  <si>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</si>
  <si>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</si>
  <si>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</si>
  <si>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</si>
  <si>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</si>
  <si>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</si>
  <si>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</si>
  <si>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</si>
  <si>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</si>
  <si>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</si>
  <si>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</si>
  <si>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</si>
  <si>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</si>
  <si>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</si>
  <si>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</si>
  <si>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</si>
  <si>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</si>
  <si>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</si>
  <si>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</si>
  <si>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</si>
  <si>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</si>
  <si>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</si>
  <si>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</si>
  <si>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</si>
  <si>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</si>
  <si>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</si>
  <si>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</si>
  <si>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</si>
  <si>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</si>
  <si>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</si>
  <si>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</si>
  <si>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</si>
  <si>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</si>
  <si>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</si>
  <si>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</si>
  <si>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</si>
  <si>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</si>
  <si>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</si>
  <si>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</si>
  <si>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</si>
  <si>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</si>
  <si>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</si>
  <si>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</si>
  <si>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</si>
  <si>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</si>
  <si>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</si>
  <si>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</si>
  <si>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</si>
  <si>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</si>
  <si>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</si>
  <si>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</si>
  <si>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</si>
  <si>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</si>
  <si>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</si>
  <si>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</si>
  <si>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</si>
  <si>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</si>
  <si>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</si>
  <si>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</si>
  <si>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</si>
  <si>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</si>
  <si>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</si>
  <si>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</si>
  <si>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</si>
  <si>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</si>
  <si>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</si>
  <si>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</si>
  <si>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</si>
  <si>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</si>
  <si>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</si>
  <si>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</si>
  <si>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</si>
  <si>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</si>
  <si>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</si>
  <si>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</si>
  <si>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</si>
  <si>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</si>
  <si>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</si>
  <si>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</si>
  <si>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</si>
  <si>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</si>
  <si>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</si>
  <si>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</si>
  <si>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</si>
  <si>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</si>
  <si>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</si>
  <si>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</si>
  <si>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</si>
  <si>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</si>
  <si>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</si>
  <si>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</si>
  <si>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</si>
  <si>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</si>
  <si>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</si>
  <si>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</si>
  <si>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</si>
  <si>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</si>
  <si>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</si>
  <si>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</si>
  <si>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</si>
  <si>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</si>
  <si>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</si>
  <si>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</si>
  <si>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</si>
  <si>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</si>
  <si>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</si>
  <si>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</si>
  <si>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</si>
  <si>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</si>
  <si>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</si>
  <si>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</si>
  <si>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</si>
  <si>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</si>
  <si>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</si>
  <si>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</si>
  <si>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</si>
  <si>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</si>
  <si>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</si>
  <si>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</si>
  <si>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</si>
  <si>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</si>
  <si>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</si>
  <si>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</si>
  <si>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</si>
  <si>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</si>
  <si>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</si>
  <si>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</si>
  <si>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</si>
  <si>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</si>
  <si>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</si>
  <si>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</si>
  <si>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</si>
  <si>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</si>
  <si>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</si>
  <si>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</si>
  <si>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</si>
  <si>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</si>
  <si>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</si>
  <si>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</si>
  <si>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</si>
  <si>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</si>
  <si>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</si>
  <si>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</si>
  <si>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</si>
  <si>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</si>
  <si>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</si>
  <si>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</si>
  <si>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</si>
  <si>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</si>
  <si>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</si>
  <si>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</si>
  <si>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</si>
  <si>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</si>
  <si>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</si>
  <si>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</si>
  <si>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</si>
  <si>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</si>
  <si>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</si>
  <si>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</si>
  <si>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</si>
  <si>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</si>
  <si>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</si>
  <si>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</si>
  <si>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</si>
  <si>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</si>
  <si>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</si>
  <si>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</si>
  <si>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</si>
  <si>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</si>
  <si>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</si>
  <si>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</si>
  <si>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</si>
  <si>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</si>
  <si>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</si>
  <si>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</si>
  <si>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</si>
  <si>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</si>
  <si>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</si>
  <si>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</si>
  <si>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</si>
  <si>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</si>
  <si>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</si>
  <si>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</si>
  <si>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</si>
  <si>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</si>
  <si>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</si>
  <si>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</si>
  <si>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</si>
  <si>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</si>
  <si>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</si>
  <si>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</si>
  <si>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</si>
  <si>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</si>
  <si>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</si>
  <si>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</si>
  <si>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</si>
  <si>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</si>
  <si>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</si>
  <si>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</si>
  <si>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</si>
  <si>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</si>
  <si>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</si>
  <si>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</si>
  <si>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</si>
  <si>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</si>
  <si>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</si>
  <si>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</si>
  <si>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</si>
  <si>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</si>
  <si>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</si>
  <si>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</si>
  <si>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</si>
  <si>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</si>
  <si>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</si>
  <si>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</si>
  <si>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</si>
  <si>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</si>
  <si>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</si>
  <si>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</si>
  <si>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</si>
  <si>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</si>
  <si>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</si>
  <si>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</si>
  <si>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</si>
  <si>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</si>
  <si>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</si>
  <si>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</si>
  <si>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</si>
  <si>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</si>
  <si>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</si>
  <si>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</si>
  <si>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</si>
  <si>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</si>
  <si>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</si>
  <si>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</si>
  <si>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</si>
  <si>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</si>
  <si>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</si>
  <si>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</si>
  <si>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</si>
  <si>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</si>
  <si>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</si>
  <si>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</si>
  <si>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</si>
  <si>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</si>
  <si>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</si>
  <si>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</si>
  <si>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</si>
  <si>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</si>
  <si>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</si>
  <si>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</si>
  <si>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</si>
  <si>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</si>
  <si>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</si>
  <si>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</si>
  <si>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</si>
  <si>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</si>
  <si>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</si>
  <si>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</si>
  <si>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</si>
  <si>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</si>
  <si>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</si>
  <si>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</si>
  <si>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</si>
  <si>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</si>
  <si>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</si>
  <si>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</si>
  <si>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</si>
  <si>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</si>
  <si>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</si>
  <si>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</si>
  <si>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</si>
  <si>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</si>
  <si>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</si>
  <si>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</si>
  <si>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</si>
  <si>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</si>
  <si>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</si>
  <si>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</si>
  <si>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</si>
  <si>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</si>
  <si>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</si>
  <si>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</si>
  <si>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</si>
  <si>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</si>
  <si>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</si>
  <si>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</si>
  <si>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</si>
  <si>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</si>
  <si>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</si>
  <si>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</si>
  <si>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</si>
  <si>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</si>
  <si>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</si>
  <si>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</si>
  <si>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</si>
  <si>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</si>
  <si>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</si>
  <si>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</si>
  <si>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</si>
  <si>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</si>
  <si>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</si>
  <si>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</si>
  <si>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</si>
  <si>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</si>
  <si>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</si>
  <si>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</si>
  <si>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</si>
  <si>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</si>
  <si>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</si>
  <si>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</si>
  <si>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</si>
  <si>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</si>
  <si>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</si>
  <si>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</si>
  <si>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</si>
  <si>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</si>
  <si>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</si>
  <si>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</si>
  <si>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</si>
  <si>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</si>
  <si>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</si>
  <si>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</si>
  <si>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</si>
  <si>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</si>
  <si>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</si>
  <si>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</si>
  <si>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</si>
  <si>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</si>
  <si>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</si>
  <si>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</si>
  <si>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</si>
  <si>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</si>
  <si>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</si>
  <si>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</si>
  <si>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</si>
  <si>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</si>
  <si>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</si>
  <si>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</si>
  <si>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</si>
  <si>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</si>
  <si>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</si>
  <si>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</si>
  <si>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</si>
  <si>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</si>
  <si>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</si>
  <si>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</si>
  <si>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</si>
  <si>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</si>
  <si>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</si>
  <si>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</si>
  <si>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</si>
  <si>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</si>
  <si>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</si>
  <si>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</si>
  <si>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</si>
  <si>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</si>
  <si>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</si>
  <si>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</si>
  <si>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</si>
  <si>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</si>
  <si>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</si>
  <si>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</si>
  <si>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</si>
  <si>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</si>
  <si>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</si>
  <si>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</si>
  <si>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</si>
  <si>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</si>
  <si>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</si>
  <si>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</si>
  <si>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</si>
  <si>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</si>
  <si>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</si>
  <si>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</si>
  <si>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</si>
  <si>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</si>
  <si>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</si>
  <si>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</si>
  <si>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</si>
  <si>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</si>
  <si>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</si>
  <si>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</si>
  <si>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</si>
  <si>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</si>
  <si>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</si>
  <si>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</si>
  <si>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</si>
  <si>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</si>
  <si>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</si>
  <si>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</si>
  <si>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</si>
  <si>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</si>
  <si>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</si>
  <si>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</si>
  <si>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</si>
  <si>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</si>
  <si>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</si>
  <si>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</si>
  <si>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</si>
  <si>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</si>
  <si>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</si>
  <si>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</si>
  <si>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</si>
  <si>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</si>
  <si>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</si>
  <si>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</si>
  <si>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</si>
  <si>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</si>
  <si>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</si>
  <si>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</si>
  <si>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</si>
  <si>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</si>
  <si>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</si>
  <si>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</si>
  <si>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</si>
  <si>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</si>
  <si>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</si>
  <si>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</si>
  <si>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</si>
  <si>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</si>
  <si>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</si>
  <si>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</si>
  <si>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</si>
  <si>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</si>
  <si>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</si>
  <si>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</si>
  <si>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</si>
  <si>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</si>
  <si>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</si>
  <si>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</si>
  <si>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</si>
  <si>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</si>
  <si>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</si>
  <si>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</si>
  <si>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</si>
  <si>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</si>
  <si>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</si>
  <si>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</si>
  <si>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</si>
  <si>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</si>
  <si>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</si>
  <si>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</si>
  <si>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</si>
  <si>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</si>
  <si>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</si>
  <si>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</si>
  <si>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</si>
  <si>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</si>
  <si>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</si>
  <si>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</si>
  <si>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</si>
  <si>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</si>
  <si>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</si>
  <si>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</si>
  <si>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</si>
  <si>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</si>
  <si>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</si>
  <si>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</si>
  <si>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</si>
  <si>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</si>
  <si>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</si>
  <si>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</si>
  <si>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</si>
  <si>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</si>
  <si>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</si>
  <si>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</si>
  <si>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</si>
  <si>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</si>
  <si>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</si>
  <si>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</si>
  <si>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</si>
  <si>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</si>
  <si>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</si>
  <si>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</si>
  <si>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</si>
  <si>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</si>
  <si>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</si>
  <si>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</si>
  <si>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</si>
  <si>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</si>
  <si>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</si>
  <si>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</si>
  <si>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</si>
  <si>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</si>
  <si>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</si>
  <si>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</si>
  <si>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</si>
  <si>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</si>
  <si>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</si>
  <si>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</si>
  <si>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</si>
  <si>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</si>
  <si>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</si>
  <si>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</si>
  <si>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</si>
  <si>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</si>
  <si>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</si>
  <si>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</si>
  <si>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</si>
  <si>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</si>
  <si>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</si>
  <si>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</si>
  <si>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</si>
  <si>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</si>
  <si>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</si>
  <si>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</si>
  <si>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</si>
  <si>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</si>
  <si>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</si>
  <si>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</si>
  <si>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</si>
  <si>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</si>
  <si>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</si>
  <si>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</si>
  <si>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</si>
  <si>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</si>
  <si>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</si>
  <si>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</si>
  <si>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</si>
  <si>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</si>
  <si>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</si>
  <si>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</si>
  <si>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</si>
  <si>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</si>
  <si>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</si>
  <si>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</si>
  <si>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</si>
  <si>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</si>
  <si>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</si>
  <si>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</si>
  <si>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</si>
  <si>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</si>
  <si>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</si>
  <si>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</si>
  <si>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</si>
  <si>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</si>
  <si>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</si>
  <si>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</si>
  <si>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</si>
  <si>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</si>
  <si>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</si>
  <si>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</si>
  <si>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</si>
  <si>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</si>
  <si>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</si>
  <si>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</si>
  <si>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</si>
  <si>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</si>
  <si>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</si>
  <si>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</si>
  <si>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</si>
  <si>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</si>
  <si>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</si>
  <si>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</si>
  <si>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</si>
  <si>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</si>
  <si>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</si>
  <si>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</si>
  <si>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</si>
  <si>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</si>
  <si>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</si>
  <si>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</si>
  <si>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</si>
  <si>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</si>
  <si>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</si>
  <si>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</si>
  <si>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</si>
  <si>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</si>
  <si>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</si>
  <si>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</si>
  <si>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</si>
  <si>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</si>
  <si>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</si>
  <si>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</si>
  <si>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</si>
  <si>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</si>
  <si>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</si>
  <si>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</si>
  <si>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</si>
  <si>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</si>
  <si>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</si>
  <si>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</si>
  <si>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</si>
  <si>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</si>
  <si>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</si>
  <si>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</si>
  <si>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</si>
  <si>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</si>
  <si>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</si>
  <si>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</si>
  <si>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</si>
  <si>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</si>
  <si>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</si>
  <si>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</si>
  <si>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</si>
  <si>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</si>
  <si>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</si>
  <si>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</si>
  <si>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</si>
  <si>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</si>
  <si>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</si>
  <si>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</si>
  <si>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</si>
  <si>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</si>
  <si>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</si>
  <si>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</si>
  <si>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</si>
  <si>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</si>
  <si>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</si>
  <si>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</si>
  <si>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</si>
  <si>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</si>
  <si>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</si>
  <si>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</si>
  <si>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</si>
  <si>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</si>
  <si>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</si>
  <si>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</si>
  <si>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</si>
  <si>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</si>
  <si>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</si>
  <si>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</si>
  <si>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</si>
  <si>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</si>
  <si>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</si>
  <si>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</si>
  <si>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</si>
  <si>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</si>
  <si>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</si>
  <si>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</si>
  <si>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</si>
  <si>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</si>
  <si>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</si>
  <si>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</si>
  <si>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</si>
  <si>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</si>
  <si>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</si>
  <si>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</si>
  <si>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</si>
  <si>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</si>
  <si>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</si>
  <si>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</si>
  <si>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</si>
  <si>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</si>
  <si>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</si>
  <si>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</si>
  <si>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</si>
  <si>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</si>
  <si>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</si>
  <si>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</si>
  <si>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</si>
  <si>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</si>
  <si>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</si>
  <si>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</si>
  <si>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</si>
  <si>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</si>
  <si>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</si>
  <si>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</si>
  <si>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</si>
  <si>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</si>
  <si>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</si>
  <si>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</si>
  <si>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</si>
  <si>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</si>
  <si>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</si>
  <si>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</si>
  <si>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</si>
  <si>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</si>
  <si>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</si>
  <si>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</si>
  <si>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</si>
  <si>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</si>
  <si>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</si>
  <si>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</si>
  <si>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</si>
  <si>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</si>
  <si>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</si>
  <si>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</si>
  <si>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</si>
  <si>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</si>
  <si>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</si>
  <si>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</si>
  <si>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</si>
  <si>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</si>
  <si>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</si>
  <si>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</si>
  <si>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</si>
  <si>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</si>
  <si>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</si>
  <si>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</si>
  <si>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</si>
  <si>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</si>
  <si>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</si>
  <si>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</si>
  <si>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</si>
  <si>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</si>
  <si>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</si>
  <si>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</si>
  <si>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</si>
  <si>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</si>
  <si>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</si>
  <si>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</si>
  <si>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</si>
  <si>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</si>
  <si>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</si>
  <si>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</si>
  <si>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</si>
  <si>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</si>
  <si>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</si>
  <si>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</si>
  <si>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</si>
  <si>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</si>
  <si>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</si>
  <si>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</si>
  <si>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</si>
  <si>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</si>
  <si>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</si>
  <si>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</si>
  <si>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</si>
  <si>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</si>
  <si>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</si>
  <si>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</si>
  <si>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</si>
  <si>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</si>
  <si>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</si>
  <si>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</si>
  <si>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</si>
  <si>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</si>
  <si>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</si>
  <si>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</si>
  <si>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</si>
  <si>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</si>
  <si>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</si>
  <si>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</si>
  <si>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</si>
  <si>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</si>
  <si>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</si>
  <si>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</si>
  <si>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</si>
  <si>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</si>
  <si>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</si>
  <si>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</si>
  <si>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</si>
  <si>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</si>
  <si>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</si>
  <si>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</si>
  <si>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</si>
  <si>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</si>
  <si>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</si>
  <si>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</si>
  <si>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</si>
  <si>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</si>
  <si>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</si>
  <si>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</si>
  <si>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</si>
  <si>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</si>
  <si>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</si>
  <si>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</si>
  <si>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</si>
  <si>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</si>
  <si>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</si>
  <si>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</si>
  <si>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</si>
  <si>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</si>
  <si>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</si>
  <si>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</si>
  <si>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</si>
  <si>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</si>
  <si>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</si>
  <si>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</si>
  <si>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</si>
  <si>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</si>
  <si>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</si>
  <si>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</si>
  <si>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</si>
  <si>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</si>
  <si>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</si>
  <si>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</si>
  <si>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</si>
  <si>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</si>
  <si>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</si>
  <si>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</si>
  <si>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</si>
  <si>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</si>
  <si>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</si>
  <si>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</si>
  <si>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</si>
  <si>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</si>
  <si>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</si>
  <si>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</si>
  <si>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</si>
  <si>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</si>
  <si>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</si>
  <si>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</si>
  <si>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</si>
  <si>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</si>
  <si>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</si>
  <si>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</si>
  <si>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</si>
  <si>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</si>
  <si>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</si>
  <si>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</si>
  <si>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</si>
  <si>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</si>
  <si>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</si>
  <si>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</si>
  <si>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</si>
  <si>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</si>
  <si>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</si>
  <si>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</si>
  <si>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</si>
  <si>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</si>
  <si>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</si>
  <si>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</si>
  <si>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</si>
  <si>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</si>
  <si>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</si>
  <si>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</si>
  <si>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</si>
  <si>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</si>
  <si>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</si>
  <si>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</si>
  <si>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</si>
  <si>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</si>
  <si>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</si>
  <si>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</si>
  <si>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</si>
  <si>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</si>
  <si>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</si>
  <si>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</si>
  <si>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</si>
  <si>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</si>
  <si>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</si>
  <si>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</si>
  <si>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</si>
  <si>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</si>
  <si>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</si>
  <si>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</si>
  <si>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</si>
  <si>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</si>
  <si>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</si>
  <si>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</si>
  <si>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</si>
  <si>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</si>
  <si>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</si>
  <si>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</si>
  <si>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</si>
  <si>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</si>
  <si>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</si>
  <si>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</si>
  <si>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</si>
  <si>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</si>
  <si>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</si>
  <si>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</si>
  <si>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</si>
  <si>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</si>
  <si>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</si>
  <si>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</si>
  <si>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</si>
  <si>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</si>
  <si>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</si>
  <si>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</si>
  <si>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</si>
  <si>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</si>
  <si>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</si>
  <si>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</si>
  <si>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</si>
  <si>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</si>
  <si>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</si>
  <si>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</si>
  <si>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</si>
  <si>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</si>
  <si>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</si>
  <si>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</si>
  <si>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</si>
  <si>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</si>
  <si>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</si>
  <si>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</si>
  <si>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</si>
  <si>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</si>
  <si>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</si>
  <si>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</si>
  <si>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</si>
  <si>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</si>
  <si>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</si>
  <si>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</si>
  <si>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</si>
  <si>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</si>
  <si>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</si>
  <si>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</si>
  <si>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</si>
  <si>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</si>
  <si>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</si>
  <si>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</si>
  <si>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</si>
  <si>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</si>
  <si>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</si>
  <si>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</si>
  <si>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</si>
  <si>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</si>
  <si>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</si>
  <si>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</si>
  <si>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</si>
  <si>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</si>
  <si>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</si>
  <si>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</si>
  <si>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</si>
  <si>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</si>
  <si>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</si>
  <si>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</si>
  <si>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</si>
  <si>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</si>
  <si>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</si>
  <si>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</si>
  <si>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</si>
  <si>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</si>
  <si>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</si>
  <si>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</si>
  <si>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</si>
  <si>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</si>
  <si>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</si>
  <si>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</si>
  <si>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</si>
  <si>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</si>
  <si>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</si>
  <si>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</si>
  <si>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</si>
  <si>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</si>
  <si>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</si>
  <si>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</si>
  <si>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</si>
  <si>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</si>
  <si>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</si>
  <si>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</si>
  <si>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</si>
  <si>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</si>
  <si>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</si>
  <si>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</si>
  <si>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</si>
  <si>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</si>
  <si>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</si>
  <si>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</si>
  <si>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</si>
  <si>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</si>
  <si>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</si>
  <si>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</si>
  <si>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</si>
  <si>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</si>
  <si>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</si>
  <si>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</si>
  <si>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</si>
  <si>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</si>
  <si>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</si>
  <si>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</si>
  <si>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</si>
  <si>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</si>
  <si>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</si>
  <si>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</si>
  <si>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</si>
  <si>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</si>
  <si>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</si>
  <si>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</si>
  <si>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</si>
  <si>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</si>
  <si>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</si>
  <si>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</si>
  <si>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</si>
  <si>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</si>
  <si>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</si>
  <si>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</si>
  <si>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</si>
  <si>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</si>
  <si>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</si>
  <si>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</si>
  <si>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</si>
  <si>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</si>
  <si>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</si>
  <si>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</si>
  <si>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</si>
  <si>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</si>
  <si>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</si>
  <si>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</si>
  <si>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</si>
  <si>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</si>
  <si>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</si>
  <si>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</si>
  <si>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</si>
  <si>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</si>
  <si>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</si>
  <si>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</si>
  <si>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</si>
  <si>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</si>
  <si>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</si>
  <si>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</si>
  <si>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</si>
  <si>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</si>
  <si>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</si>
  <si>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</si>
  <si>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</si>
  <si>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</si>
  <si>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</si>
  <si>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</si>
  <si>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</si>
  <si>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</si>
  <si>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</si>
  <si>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</si>
  <si>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</si>
  <si>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</si>
  <si>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</si>
  <si>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</si>
  <si>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</si>
  <si>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</si>
  <si>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</si>
  <si>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</si>
  <si>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</si>
  <si>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</si>
  <si>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</si>
  <si>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</si>
  <si>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</si>
  <si>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</si>
  <si>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</si>
  <si>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</si>
  <si>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</si>
  <si>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</si>
  <si>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</si>
  <si>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</si>
  <si>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</si>
  <si>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</si>
  <si>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</si>
  <si>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</si>
  <si>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</si>
  <si>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</si>
  <si>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</si>
  <si>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</si>
  <si>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</si>
  <si>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</si>
  <si>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</si>
  <si>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</si>
  <si>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</si>
  <si>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</si>
  <si>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</si>
  <si>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</si>
  <si>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</si>
  <si>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</si>
  <si>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</si>
  <si>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</si>
  <si>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</si>
  <si>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</si>
  <si>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</si>
  <si>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</si>
  <si>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</si>
  <si>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</si>
  <si>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</si>
  <si>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</si>
  <si>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</si>
  <si>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</si>
  <si>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</si>
  <si>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</si>
  <si>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</si>
  <si>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</si>
  <si>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</si>
  <si>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</si>
  <si>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</si>
  <si>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</si>
  <si>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</si>
  <si>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</si>
  <si>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</si>
  <si>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</si>
  <si>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</si>
  <si>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</si>
  <si>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</si>
  <si>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</si>
  <si>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</si>
  <si>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</si>
  <si>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</si>
  <si>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</si>
  <si>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</si>
  <si>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</si>
  <si>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</si>
  <si>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</si>
  <si>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</si>
  <si>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</si>
  <si>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</si>
  <si>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</si>
  <si>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</si>
  <si>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</si>
  <si>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</si>
  <si>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</si>
  <si>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</si>
  <si>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</si>
  <si>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</si>
  <si>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</si>
  <si>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</si>
  <si>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</si>
  <si>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</si>
  <si>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</si>
  <si>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</si>
  <si>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</si>
  <si>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</si>
  <si>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</si>
  <si>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</si>
  <si>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</si>
  <si>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</si>
  <si>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</si>
  <si>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</si>
  <si>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</si>
  <si>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</si>
  <si>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</si>
  <si>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</si>
  <si>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</si>
  <si>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</si>
  <si>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</si>
  <si>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</si>
  <si>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</si>
  <si>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</si>
  <si>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</si>
  <si>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</si>
  <si>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</si>
  <si>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</si>
  <si>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</si>
  <si>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</si>
  <si>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</si>
  <si>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</si>
  <si>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</si>
  <si>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</si>
  <si>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</si>
  <si>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</si>
  <si>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</si>
  <si>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</si>
  <si>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</si>
  <si>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</si>
  <si>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</si>
  <si>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</si>
  <si>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</si>
  <si>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</si>
  <si>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</si>
  <si>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</si>
  <si>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</si>
  <si>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</si>
  <si>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</si>
  <si>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</si>
  <si>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</si>
  <si>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</si>
  <si>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</si>
  <si>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</si>
  <si>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</si>
  <si>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</si>
  <si>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</si>
  <si>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</si>
  <si>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</si>
  <si>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</si>
  <si>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</si>
  <si>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</si>
  <si>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</si>
  <si>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</si>
  <si>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</si>
  <si>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</si>
  <si>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</si>
  <si>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</si>
  <si>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</si>
  <si>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</si>
  <si>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</si>
  <si>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</si>
  <si>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</si>
  <si>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</si>
  <si>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</si>
  <si>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</si>
  <si>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</si>
  <si>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</si>
  <si>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</si>
  <si>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</si>
  <si>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</si>
  <si>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</si>
  <si>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</si>
  <si>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</si>
  <si>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</si>
  <si>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</si>
  <si>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</si>
  <si>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</si>
  <si>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</si>
  <si>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</si>
  <si>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</si>
  <si>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</si>
  <si>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</si>
  <si>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</si>
  <si>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</si>
  <si>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</si>
  <si>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</si>
  <si>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</si>
  <si>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</si>
  <si>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</si>
  <si>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</si>
  <si>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</si>
  <si>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</si>
  <si>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</si>
  <si>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</si>
  <si>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</si>
  <si>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</si>
  <si>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</si>
  <si>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</si>
  <si>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</si>
  <si>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</si>
  <si>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</si>
  <si>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</si>
  <si>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</si>
  <si>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</si>
  <si>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</si>
  <si>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</si>
  <si>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</si>
  <si>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</si>
  <si>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</si>
  <si>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</si>
  <si>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</si>
  <si>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</si>
  <si>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</si>
  <si>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</si>
  <si>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</si>
  <si>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</si>
  <si>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</si>
  <si>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</si>
  <si>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</si>
  <si>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</si>
  <si>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</si>
  <si>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</si>
  <si>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</si>
  <si>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</si>
  <si>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</si>
  <si>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</si>
  <si>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</si>
  <si>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</si>
  <si>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</si>
  <si>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</si>
  <si>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</si>
  <si>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</si>
  <si>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</si>
  <si>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</si>
  <si>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</si>
  <si>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</si>
  <si>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</si>
  <si>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</si>
  <si>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</si>
  <si>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</si>
  <si>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</si>
  <si>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</si>
  <si>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</si>
  <si>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</si>
  <si>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</si>
  <si>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</si>
  <si>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</si>
  <si>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</si>
  <si>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</si>
  <si>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</si>
  <si>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</si>
  <si>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</si>
  <si>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</si>
  <si>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</si>
  <si>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</si>
  <si>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</si>
  <si>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</si>
  <si>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</si>
  <si>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</si>
  <si>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</si>
  <si>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</si>
  <si>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</si>
  <si>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</si>
  <si>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</si>
  <si>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</si>
  <si>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</si>
  <si>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</si>
  <si>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</si>
  <si>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</si>
  <si>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</si>
  <si>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</si>
  <si>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</si>
  <si>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</si>
  <si>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</si>
  <si>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</si>
  <si>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</si>
  <si>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</si>
  <si>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</si>
  <si>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</si>
  <si>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</si>
  <si>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</si>
  <si>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</si>
  <si>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</si>
  <si>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</si>
  <si>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</si>
  <si>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</si>
  <si>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</si>
  <si>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</si>
  <si>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</si>
  <si>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</si>
  <si>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</si>
  <si>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</si>
  <si>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</si>
  <si>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</si>
  <si>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</si>
  <si>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</si>
  <si>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</si>
  <si>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</si>
  <si>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</si>
  <si>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</si>
  <si>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</si>
  <si>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</si>
  <si>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</si>
  <si>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</si>
  <si>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</si>
  <si>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</si>
  <si>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</si>
  <si>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</si>
  <si>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</si>
  <si>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</si>
  <si>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</si>
  <si>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</si>
  <si>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</si>
  <si>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</si>
  <si>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</si>
  <si>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</si>
  <si>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</si>
  <si>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</si>
  <si>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</si>
  <si>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</si>
  <si>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</si>
  <si>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</si>
  <si>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</si>
  <si>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</si>
  <si>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</si>
  <si>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</si>
  <si>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</si>
  <si>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</si>
  <si>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</si>
  <si>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</si>
  <si>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</si>
  <si>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</si>
  <si>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</si>
  <si>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</si>
  <si>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</si>
  <si>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</si>
  <si>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</si>
  <si>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</si>
  <si>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</si>
  <si>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</si>
  <si>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</si>
  <si>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</si>
  <si>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</si>
  <si>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</si>
  <si>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</si>
  <si>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</si>
  <si>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</si>
  <si>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</si>
  <si>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</si>
  <si>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</si>
  <si>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</si>
  <si>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</si>
  <si>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</si>
  <si>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</si>
  <si>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</si>
  <si>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</si>
  <si>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</si>
  <si>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</si>
  <si>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</si>
  <si>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</si>
  <si>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</si>
  <si>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</si>
  <si>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</si>
  <si>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</si>
  <si>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</si>
  <si>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</si>
  <si>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</si>
  <si>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</si>
  <si>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</si>
  <si>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</si>
  <si>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</si>
  <si>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</si>
  <si>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</si>
  <si>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</si>
  <si>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</si>
  <si>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</si>
  <si>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</si>
  <si>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</si>
  <si>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</si>
  <si>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</si>
  <si>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</si>
  <si>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</si>
  <si>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</si>
  <si>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</si>
  <si>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</si>
  <si>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</si>
  <si>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</si>
  <si>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</si>
  <si>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</si>
  <si>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</si>
  <si>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</si>
  <si>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</si>
  <si>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</si>
  <si>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</si>
  <si>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</si>
  <si>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</si>
  <si>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</si>
  <si>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</si>
  <si>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</si>
  <si>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</si>
  <si>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</si>
  <si>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</si>
  <si>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</si>
  <si>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</si>
  <si>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</si>
  <si>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</si>
  <si>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</si>
  <si>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</si>
  <si>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</si>
  <si>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</si>
  <si>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</si>
  <si>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</si>
  <si>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</si>
  <si>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</si>
  <si>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</si>
  <si>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</si>
  <si>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</si>
  <si>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</si>
  <si>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</si>
  <si>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</si>
  <si>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</si>
  <si>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</si>
  <si>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</si>
  <si>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</si>
  <si>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</si>
  <si>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</si>
  <si>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</si>
  <si>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</si>
  <si>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</si>
  <si>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</si>
  <si>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</si>
  <si>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</si>
  <si>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</si>
  <si>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</si>
  <si>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</si>
  <si>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</si>
  <si>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</si>
  <si>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</si>
  <si>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</si>
  <si>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</si>
  <si>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</si>
  <si>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</si>
  <si>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</si>
  <si>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</si>
  <si>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</si>
  <si>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</si>
  <si>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</si>
  <si>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</si>
  <si>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</si>
  <si>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</si>
  <si>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</si>
  <si>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</si>
  <si>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</si>
  <si>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</si>
  <si>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</si>
  <si>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</si>
  <si>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</si>
  <si>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</si>
  <si>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</si>
  <si>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</si>
  <si>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</si>
  <si>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</si>
  <si>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</si>
  <si>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</si>
  <si>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</si>
  <si>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</si>
  <si>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</si>
  <si>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</si>
  <si>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</si>
  <si>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</si>
  <si>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</si>
  <si>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</si>
  <si>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</si>
  <si>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</si>
  <si>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</si>
  <si>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</si>
  <si>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</si>
  <si>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</si>
  <si>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</si>
  <si>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</si>
  <si>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</si>
  <si>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</si>
  <si>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</si>
  <si>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</si>
  <si>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</si>
  <si>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</si>
  <si>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</si>
  <si>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</si>
  <si>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</si>
  <si>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</si>
  <si>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</si>
  <si>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</si>
  <si>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</si>
  <si>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</si>
  <si>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</si>
  <si>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</si>
  <si>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</si>
  <si>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</si>
  <si>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</si>
  <si>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</si>
  <si>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</si>
  <si>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</si>
  <si>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</si>
  <si>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</si>
  <si>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</si>
  <si>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</si>
  <si>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</si>
  <si>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</si>
  <si>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</si>
  <si>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</si>
  <si>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</si>
  <si>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</si>
  <si>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</si>
  <si>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</si>
  <si>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</si>
  <si>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</si>
  <si>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</si>
  <si>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</si>
  <si>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</si>
  <si>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</si>
  <si>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</si>
  <si>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</si>
  <si>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</si>
  <si>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</si>
  <si>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</si>
  <si>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</si>
  <si>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</si>
  <si>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</si>
  <si>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</si>
  <si>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</si>
  <si>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</si>
  <si>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</si>
  <si>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</si>
  <si>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</si>
  <si>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</si>
  <si>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</si>
  <si>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</si>
  <si>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</si>
  <si>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</si>
  <si>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</si>
  <si>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</si>
  <si>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</si>
  <si>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</si>
  <si>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</si>
  <si>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</si>
  <si>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</si>
  <si>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</si>
  <si>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</si>
  <si>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</si>
  <si>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</si>
  <si>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</si>
  <si>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</si>
  <si>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</si>
  <si>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</si>
  <si>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</si>
  <si>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</si>
  <si>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</si>
  <si>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</si>
  <si>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</si>
  <si>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</si>
  <si>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</si>
  <si>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</si>
  <si>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</si>
  <si>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</si>
  <si>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</si>
  <si>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</si>
  <si>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</si>
  <si>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</si>
  <si>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</si>
  <si>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</si>
  <si>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</si>
  <si>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</si>
  <si>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</si>
  <si>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</si>
  <si>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</si>
  <si>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</si>
  <si>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</si>
  <si>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</si>
  <si>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</si>
  <si>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</si>
  <si>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</si>
  <si>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</si>
  <si>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</si>
  <si>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</si>
  <si>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</si>
  <si>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</si>
  <si>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</si>
  <si>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</si>
  <si>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</si>
  <si>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</si>
  <si>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</si>
  <si>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</si>
  <si>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</si>
  <si>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</si>
  <si>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</si>
  <si>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</si>
  <si>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</si>
  <si>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</si>
  <si>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</si>
  <si>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</si>
  <si>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</si>
  <si>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</si>
  <si>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</si>
  <si>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</si>
  <si>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</si>
  <si>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</si>
  <si>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</si>
  <si>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</si>
  <si>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</si>
  <si>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</si>
  <si>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</si>
  <si>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</si>
  <si>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</si>
  <si>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</si>
  <si>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</si>
  <si>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</si>
  <si>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</si>
  <si>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</si>
  <si>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</si>
  <si>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</si>
  <si>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</si>
  <si>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</si>
  <si>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</si>
  <si>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</si>
  <si>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</si>
  <si>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</si>
  <si>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</si>
  <si>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</si>
  <si>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</si>
  <si>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</si>
  <si>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</si>
  <si>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</si>
  <si>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</si>
  <si>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</si>
  <si>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</si>
  <si>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</si>
  <si>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</si>
  <si>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</si>
  <si>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</si>
  <si>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</si>
  <si>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</si>
  <si>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</si>
  <si>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</si>
  <si>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</si>
  <si>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</si>
  <si>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</si>
  <si>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</si>
  <si>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</si>
  <si>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</si>
  <si>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</si>
  <si>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</si>
  <si>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</si>
  <si>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</si>
  <si>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</si>
  <si>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</si>
  <si>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</si>
  <si>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</si>
  <si>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</si>
  <si>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</si>
  <si>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</si>
  <si>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</si>
  <si>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</si>
  <si>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</si>
  <si>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</si>
  <si>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</si>
  <si>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</si>
  <si>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</si>
  <si>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</si>
  <si>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</si>
  <si>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</si>
  <si>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</si>
  <si>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</si>
  <si>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</si>
  <si>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</si>
  <si>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</si>
  <si>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</si>
  <si>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</si>
  <si>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</si>
  <si>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</si>
  <si>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</si>
  <si>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</si>
  <si>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</si>
  <si>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</si>
  <si>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</si>
  <si>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</si>
  <si>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</si>
  <si>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</si>
  <si>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</si>
  <si>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</si>
  <si>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</si>
  <si>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</si>
  <si>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</si>
  <si>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</si>
  <si>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</si>
  <si>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</si>
  <si>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</si>
  <si>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</si>
  <si>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</si>
  <si>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</si>
  <si>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</si>
  <si>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</si>
  <si>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</si>
  <si>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</si>
  <si>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</si>
  <si>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</si>
  <si>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</si>
  <si>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</si>
  <si>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</si>
  <si>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</si>
  <si>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</si>
  <si>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</si>
  <si>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</si>
  <si>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</si>
  <si>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</si>
  <si>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</si>
  <si>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</si>
  <si>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</si>
  <si>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</si>
  <si>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</si>
  <si>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</si>
  <si>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</si>
  <si>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</si>
  <si>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</si>
  <si>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</si>
  <si>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</si>
  <si>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</si>
  <si>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</si>
  <si>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</si>
  <si>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</si>
  <si>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</si>
  <si>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</si>
  <si>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</si>
  <si>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</si>
  <si>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</si>
  <si>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</si>
  <si>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</si>
  <si>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</si>
  <si>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</si>
  <si>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</si>
  <si>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</si>
  <si>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</si>
  <si>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</si>
  <si>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</si>
  <si>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</si>
  <si>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</si>
  <si>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</si>
  <si>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</si>
  <si>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</si>
  <si>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</si>
  <si>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</si>
  <si>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</si>
  <si>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</si>
  <si>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</si>
  <si>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</si>
  <si>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</si>
  <si>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</si>
  <si>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</si>
  <si>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</si>
  <si>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</si>
  <si>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</si>
  <si>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</si>
  <si>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</si>
  <si>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</si>
  <si>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</si>
  <si>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</si>
  <si>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</si>
  <si>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</si>
  <si>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</si>
  <si>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</si>
  <si>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</si>
  <si>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</si>
  <si>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</si>
  <si>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</si>
  <si>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</si>
  <si>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</si>
  <si>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</si>
  <si>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</si>
  <si>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</si>
  <si>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</si>
  <si>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</si>
  <si>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</si>
  <si>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</si>
  <si>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</si>
  <si>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</si>
  <si>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</si>
  <si>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</si>
  <si>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</si>
  <si>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</si>
  <si>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</si>
  <si>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</si>
  <si>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</si>
  <si>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</si>
  <si>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</si>
  <si>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</si>
  <si>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</si>
  <si>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</si>
  <si>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</si>
  <si>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</si>
  <si>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</si>
  <si>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</si>
  <si>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</si>
  <si>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</si>
  <si>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</si>
  <si>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</si>
  <si>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</si>
  <si>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</si>
  <si>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</si>
  <si>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</si>
  <si>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</si>
  <si>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</si>
  <si>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</si>
  <si>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</si>
  <si>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</si>
  <si>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</si>
  <si>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</si>
  <si>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</si>
  <si>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</si>
  <si>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</si>
  <si>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</si>
  <si>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</si>
  <si>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</si>
  <si>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</si>
  <si>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</si>
  <si>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</si>
  <si>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</si>
  <si>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</si>
  <si>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</si>
  <si>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</si>
  <si>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</si>
  <si>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</si>
  <si>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</si>
  <si>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</si>
  <si>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</si>
  <si>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</si>
  <si>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</si>
  <si>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</si>
  <si>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</si>
  <si>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</si>
  <si>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</si>
  <si>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</si>
  <si>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</si>
  <si>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</si>
  <si>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</si>
  <si>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</si>
  <si>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</si>
  <si>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</si>
  <si>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</si>
  <si>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</si>
  <si>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</si>
  <si>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</si>
  <si>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</si>
  <si>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</si>
  <si>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</si>
  <si>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</si>
  <si>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</si>
  <si>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</si>
  <si>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</si>
  <si>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</si>
  <si>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</si>
  <si>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</si>
  <si>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</si>
  <si>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</si>
  <si>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</si>
  <si>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</si>
  <si>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</si>
  <si>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</si>
  <si>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</si>
  <si>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</si>
  <si>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</si>
  <si>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</si>
  <si>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</si>
  <si>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</si>
  <si>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</si>
  <si>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</si>
  <si>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</si>
  <si>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</si>
  <si>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</si>
  <si>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</si>
  <si>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</si>
  <si>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</si>
  <si>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</si>
  <si>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</si>
  <si>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</si>
  <si>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</si>
  <si>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</si>
  <si>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</si>
  <si>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</si>
  <si>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</si>
  <si>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</si>
  <si>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</si>
  <si>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</si>
  <si>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</si>
  <si>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</si>
  <si>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</si>
  <si>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</si>
  <si>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</si>
  <si>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</si>
  <si>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</si>
  <si>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</si>
  <si>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</si>
  <si>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</si>
  <si>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</si>
  <si>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</si>
  <si>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</si>
  <si>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</si>
  <si>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</si>
  <si>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</si>
  <si>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</si>
  <si>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</si>
  <si>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</si>
  <si>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</si>
  <si>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</si>
  <si>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</si>
  <si>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</si>
  <si>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</si>
  <si>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</si>
  <si>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</si>
  <si>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</si>
  <si>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</si>
  <si>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</si>
  <si>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</si>
  <si>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</si>
  <si>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</si>
  <si>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</si>
  <si>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</si>
  <si>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</si>
  <si>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</si>
  <si>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</si>
  <si>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</si>
  <si>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</si>
  <si>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</si>
  <si>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</si>
  <si>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</si>
  <si>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</si>
  <si>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</si>
  <si>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</si>
  <si>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</si>
  <si>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</si>
  <si>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</si>
  <si>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</si>
  <si>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</si>
  <si>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</si>
  <si>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</si>
  <si>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</si>
  <si>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</si>
  <si>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</si>
  <si>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</si>
  <si>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</si>
  <si>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</si>
  <si>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</si>
  <si>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</si>
  <si>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</si>
  <si>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</si>
  <si>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</si>
  <si>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</si>
  <si>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</si>
  <si>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</si>
  <si>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</si>
  <si>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</si>
  <si>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</si>
  <si>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</si>
  <si>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</si>
  <si>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</si>
  <si>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</si>
  <si>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</si>
  <si>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</si>
  <si>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</si>
  <si>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</si>
  <si>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</si>
  <si>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</si>
  <si>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</si>
  <si>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</si>
  <si>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</si>
  <si>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</si>
  <si>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</si>
  <si>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</si>
  <si>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</si>
  <si>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</si>
  <si>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</si>
  <si>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</si>
  <si>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</si>
  <si>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</si>
  <si>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</si>
  <si>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</si>
  <si>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</si>
  <si>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</si>
  <si>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</si>
  <si>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</si>
  <si>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</si>
  <si>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</si>
  <si>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</si>
  <si>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</si>
  <si>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</si>
  <si>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</si>
  <si>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</si>
  <si>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</si>
  <si>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</si>
  <si>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</si>
  <si>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</si>
  <si>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</si>
  <si>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</si>
  <si>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</si>
  <si>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</si>
  <si>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</si>
  <si>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</si>
  <si>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</si>
  <si>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</si>
  <si>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</si>
  <si>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</si>
  <si>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</si>
  <si>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</si>
  <si>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</si>
  <si>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</si>
  <si>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</si>
  <si>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</si>
  <si>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</si>
  <si>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</si>
  <si>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</si>
  <si>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</si>
  <si>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</si>
  <si>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</si>
  <si>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</si>
  <si>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</si>
  <si>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</si>
  <si>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</si>
  <si>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</si>
  <si>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</si>
  <si>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</si>
  <si>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</si>
  <si>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</si>
  <si>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</si>
  <si>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</si>
  <si>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</si>
  <si>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</si>
  <si>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</si>
  <si>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</si>
  <si>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</si>
  <si>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</si>
  <si>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</si>
  <si>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</si>
  <si>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</si>
  <si>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</si>
  <si>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</si>
  <si>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</si>
  <si>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</si>
  <si>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</si>
  <si>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</si>
  <si>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</si>
  <si>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</si>
  <si>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</si>
  <si>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</si>
  <si>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</si>
  <si>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</si>
  <si>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</si>
  <si>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</si>
  <si>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</si>
  <si>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</si>
  <si>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</si>
  <si>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</si>
  <si>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</si>
  <si>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</si>
  <si>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</si>
  <si>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</si>
  <si>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</si>
  <si>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</si>
  <si>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</si>
  <si>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</si>
  <si>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</si>
  <si>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</si>
  <si>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</si>
  <si>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</si>
  <si>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</si>
  <si>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</si>
  <si>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</si>
  <si>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</si>
  <si>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</si>
  <si>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</si>
  <si>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</si>
  <si>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</si>
  <si>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</si>
  <si>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</si>
  <si>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</si>
  <si>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</si>
  <si>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</si>
  <si>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</si>
  <si>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</si>
  <si>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</si>
  <si>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</si>
  <si>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</si>
  <si>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</si>
  <si>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</si>
  <si>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</si>
  <si>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</si>
  <si>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</si>
  <si>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</si>
  <si>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</si>
  <si>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</si>
  <si>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</si>
  <si>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</si>
  <si>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</si>
  <si>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</si>
  <si>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</si>
  <si>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</si>
  <si>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</si>
  <si>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</si>
  <si>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</si>
  <si>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</si>
  <si>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</si>
  <si>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</si>
  <si>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</si>
  <si>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</si>
  <si>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</si>
  <si>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</si>
  <si>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</si>
  <si>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</si>
  <si>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</si>
  <si>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</si>
  <si>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</si>
  <si>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</si>
  <si>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</si>
  <si>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</si>
  <si>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</si>
  <si>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</si>
  <si>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</si>
  <si>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</si>
  <si>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</si>
  <si>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</si>
  <si>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</si>
  <si>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</si>
  <si>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</si>
  <si>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</si>
  <si>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</si>
  <si>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</si>
  <si>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</si>
  <si>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</si>
  <si>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</si>
  <si>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</si>
  <si>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</si>
  <si>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</si>
  <si>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</si>
  <si>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</si>
  <si>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</si>
  <si>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</si>
  <si>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</si>
  <si>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</si>
  <si>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</si>
  <si>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</si>
  <si>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</si>
  <si>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</si>
  <si>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</si>
  <si>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</si>
  <si>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</si>
  <si>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</si>
  <si>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</si>
  <si>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</si>
  <si>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</si>
  <si>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</si>
  <si>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</si>
  <si>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</si>
  <si>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</si>
  <si>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</si>
  <si>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</si>
  <si>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</si>
  <si>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</si>
  <si>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</si>
  <si>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</si>
  <si>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</si>
  <si>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</si>
  <si>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</si>
  <si>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</si>
  <si>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</si>
  <si>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</si>
  <si>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</si>
  <si>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</si>
  <si>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</si>
  <si>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</si>
  <si>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</si>
  <si>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</si>
  <si>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</si>
  <si>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</si>
  <si>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</si>
  <si>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</si>
  <si>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</si>
  <si>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</si>
  <si>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</si>
  <si>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</si>
  <si>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</si>
  <si>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</si>
  <si>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</si>
  <si>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</si>
  <si>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</si>
  <si>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</si>
  <si>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</si>
  <si>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</si>
  <si>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</si>
  <si>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</si>
  <si>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</si>
  <si>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</si>
  <si>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</si>
  <si>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</si>
  <si>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</si>
  <si>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</si>
  <si>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</si>
  <si>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</si>
  <si>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</si>
  <si>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</si>
  <si>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</si>
  <si>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</si>
  <si>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</si>
  <si>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</si>
  <si>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</si>
  <si>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</si>
  <si>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</si>
  <si>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</si>
  <si>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</si>
  <si>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</si>
  <si>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</si>
  <si>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</si>
  <si>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</si>
  <si>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</si>
  <si>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</si>
  <si>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</si>
  <si>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</si>
  <si>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</si>
  <si>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</si>
  <si>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</si>
  <si>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</si>
  <si>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</si>
  <si>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</si>
  <si>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</si>
  <si>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</si>
  <si>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</si>
  <si>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</si>
  <si>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</si>
  <si>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</si>
  <si>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</si>
  <si>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</si>
  <si>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</si>
  <si>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</si>
  <si>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</si>
  <si>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</si>
  <si>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</si>
  <si>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</si>
  <si>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</si>
  <si>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</si>
  <si>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</si>
  <si>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</si>
  <si>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</si>
  <si>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</si>
  <si>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</si>
  <si>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</si>
  <si>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</si>
  <si>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</si>
  <si>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</si>
  <si>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</si>
  <si>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</si>
  <si>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</si>
  <si>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</si>
  <si>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</si>
  <si>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</si>
  <si>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</si>
  <si>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</si>
  <si>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</si>
  <si>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</si>
  <si>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</si>
  <si>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</si>
  <si>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</si>
  <si>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</si>
  <si>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</si>
  <si>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</si>
  <si>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</si>
  <si>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</si>
  <si>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</si>
  <si>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</si>
  <si>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</si>
  <si>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</si>
  <si>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</si>
  <si>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</si>
  <si>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</si>
  <si>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</si>
  <si>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</si>
  <si>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</si>
  <si>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</si>
  <si>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</si>
  <si>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</si>
  <si>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</si>
  <si>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</si>
  <si>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</si>
  <si>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</si>
  <si>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</si>
  <si>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</si>
  <si>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</si>
  <si>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</si>
  <si>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</si>
  <si>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</si>
  <si>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</si>
  <si>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</si>
  <si>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</si>
  <si>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</si>
  <si>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</si>
  <si>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</si>
  <si>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</si>
  <si>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</si>
  <si>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</si>
  <si>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</si>
  <si>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</si>
  <si>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</si>
  <si>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</si>
  <si>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</si>
  <si>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</si>
  <si>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</si>
  <si>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</si>
  <si>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</si>
  <si>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</si>
  <si>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</si>
  <si>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</si>
  <si>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</si>
  <si>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</si>
  <si>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</si>
  <si>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</si>
  <si>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</si>
  <si>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</si>
  <si>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</si>
  <si>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</si>
  <si>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</si>
  <si>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</si>
  <si>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</si>
  <si>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</si>
  <si>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</si>
  <si>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</si>
  <si>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</si>
  <si>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</si>
  <si>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</si>
  <si>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</si>
  <si>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</si>
  <si>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</si>
  <si>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</si>
  <si>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</si>
  <si>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</si>
  <si>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</si>
  <si>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</si>
  <si>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</si>
  <si>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</si>
  <si>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</si>
  <si>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</si>
  <si>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</si>
  <si>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</si>
  <si>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</si>
  <si>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</si>
  <si>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</si>
  <si>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</si>
  <si>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</si>
  <si>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</si>
  <si>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</si>
  <si>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</si>
  <si>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</si>
  <si>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</si>
  <si>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</si>
  <si>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</si>
  <si>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</si>
  <si>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</si>
  <si>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</si>
  <si>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</si>
  <si>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</si>
  <si>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</si>
  <si>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</si>
  <si>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</si>
  <si>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</si>
  <si>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</si>
  <si>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</si>
  <si>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</si>
  <si>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</si>
  <si>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</si>
  <si>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</si>
  <si>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</si>
  <si>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</si>
  <si>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</si>
  <si>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</si>
  <si>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</si>
  <si>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</si>
  <si>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</si>
  <si>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</si>
  <si>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</si>
  <si>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</si>
  <si>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</si>
  <si>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</si>
  <si>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</si>
  <si>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</si>
  <si>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</si>
  <si>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</si>
  <si>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</si>
  <si>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</si>
  <si>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</si>
  <si>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</si>
  <si>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</si>
  <si>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</si>
  <si>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</si>
  <si>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</si>
  <si>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</si>
  <si>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</si>
  <si>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</si>
  <si>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</si>
  <si>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</si>
  <si>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</si>
  <si>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</si>
  <si>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</si>
  <si>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</si>
  <si>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</si>
  <si>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</si>
  <si>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</si>
  <si>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</si>
  <si>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</si>
  <si>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</si>
  <si>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</si>
  <si>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</si>
  <si>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</si>
  <si>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</si>
  <si>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</si>
  <si>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</si>
  <si>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</si>
  <si>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</si>
  <si>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</si>
  <si>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</si>
  <si>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</si>
  <si>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</si>
  <si>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</si>
  <si>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</si>
  <si>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</si>
  <si>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</si>
  <si>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</si>
  <si>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</si>
  <si>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</si>
  <si>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</si>
  <si>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</si>
  <si>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</si>
  <si>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</si>
  <si>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</si>
  <si>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</si>
  <si>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</si>
  <si>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</si>
  <si>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</si>
  <si>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</si>
  <si>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</si>
  <si>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</si>
  <si>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</si>
  <si>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</si>
  <si>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</si>
  <si>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</si>
  <si>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</si>
  <si>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</si>
  <si>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</si>
  <si>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</si>
  <si>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</si>
  <si>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</si>
  <si>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</si>
  <si>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</si>
  <si>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</si>
  <si>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</si>
  <si>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</si>
  <si>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</si>
  <si>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</si>
  <si>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</si>
  <si>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</si>
  <si>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</si>
  <si>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</si>
  <si>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</si>
  <si>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</si>
  <si>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</si>
  <si>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</si>
  <si>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</si>
  <si>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</si>
  <si>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</si>
  <si>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</si>
  <si>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</si>
  <si>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</si>
  <si>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</si>
  <si>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</si>
  <si>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</si>
  <si>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</si>
  <si>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</si>
  <si>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</si>
  <si>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</si>
  <si>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</si>
  <si>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</si>
  <si>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</si>
  <si>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</si>
  <si>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</si>
  <si>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</si>
  <si>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</si>
  <si>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</si>
  <si>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</si>
  <si>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</si>
  <si>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</si>
  <si>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</si>
  <si>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</si>
  <si>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</si>
  <si>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</si>
  <si>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</si>
  <si>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</si>
  <si>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</si>
  <si>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</si>
  <si>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</si>
  <si>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</si>
  <si>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</si>
  <si>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</si>
  <si>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</si>
  <si>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</si>
  <si>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</si>
  <si>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</si>
  <si>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</si>
  <si>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</si>
  <si>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</si>
  <si>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</si>
  <si>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</si>
  <si>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</si>
  <si>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</si>
  <si>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</si>
  <si>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</si>
  <si>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</si>
  <si>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</si>
  <si>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</si>
  <si>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</si>
  <si>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</si>
  <si>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</si>
  <si>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</si>
  <si>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</si>
  <si>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</si>
  <si>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</si>
  <si>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</si>
  <si>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</si>
  <si>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</si>
  <si>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</si>
  <si>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</si>
  <si>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</si>
  <si>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</si>
  <si>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</si>
  <si>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</si>
  <si>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</si>
  <si>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</si>
  <si>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</si>
  <si>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</si>
  <si>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</si>
  <si>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</si>
  <si>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</si>
  <si>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</si>
  <si>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</si>
  <si>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</si>
  <si>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</si>
  <si>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</si>
  <si>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</si>
  <si>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</si>
  <si>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</si>
  <si>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</si>
  <si>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</si>
  <si>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</si>
  <si>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</si>
  <si>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</si>
  <si>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</si>
  <si>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</si>
  <si>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</si>
  <si>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</si>
  <si>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</si>
  <si>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</si>
  <si>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</si>
  <si>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</si>
  <si>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</si>
  <si>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</si>
  <si>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</si>
  <si>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</si>
  <si>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</si>
  <si>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</si>
  <si>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</si>
  <si>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</si>
  <si>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</si>
  <si>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</si>
  <si>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</si>
  <si>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</si>
  <si>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</si>
  <si>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</si>
  <si>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</si>
  <si>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</si>
  <si>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</si>
  <si>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</si>
  <si>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</si>
  <si>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</si>
  <si>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</si>
  <si>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</si>
  <si>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</si>
  <si>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</si>
  <si>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</si>
  <si>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</si>
  <si>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</si>
  <si>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</si>
  <si>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</si>
  <si>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</si>
  <si>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</si>
  <si>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</si>
  <si>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</si>
  <si>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</si>
  <si>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</si>
  <si>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</si>
  <si>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</si>
  <si>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</si>
  <si>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</si>
  <si>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</si>
  <si>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</si>
  <si>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</si>
  <si>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</si>
  <si>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</si>
  <si>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</si>
  <si>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</si>
  <si>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</si>
  <si>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</si>
  <si>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</si>
  <si>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</si>
  <si>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</si>
  <si>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</si>
  <si>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</si>
  <si>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</si>
  <si>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</si>
  <si>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</si>
  <si>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</si>
  <si>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</si>
  <si>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</si>
  <si>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</si>
  <si>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</si>
  <si>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</si>
  <si>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</si>
  <si>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</si>
  <si>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</si>
  <si>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</si>
  <si>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</si>
  <si>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</si>
  <si>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</si>
  <si>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</si>
  <si>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</si>
  <si>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</si>
  <si>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</si>
  <si>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</si>
  <si>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</si>
  <si>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</si>
  <si>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</si>
  <si>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</si>
  <si>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</si>
  <si>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</si>
  <si>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</si>
  <si>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</si>
  <si>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</si>
  <si>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</si>
  <si>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</si>
  <si>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</si>
  <si>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</si>
  <si>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</si>
  <si>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</si>
  <si>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</si>
  <si>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</si>
  <si>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</si>
  <si>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</si>
  <si>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</si>
  <si>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</si>
  <si>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</si>
  <si>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</si>
  <si>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</si>
  <si>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</si>
  <si>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</si>
  <si>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</si>
  <si>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</si>
  <si>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</si>
  <si>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</si>
  <si>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</si>
  <si>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</si>
  <si>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</si>
  <si>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</si>
  <si>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</si>
  <si>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</si>
  <si>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</si>
  <si>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</si>
  <si>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</si>
  <si>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</si>
  <si>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</si>
  <si>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</si>
  <si>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</si>
  <si>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</si>
  <si>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</si>
  <si>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</si>
  <si>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</si>
  <si>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</si>
  <si>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</si>
  <si>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</si>
  <si>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</si>
  <si>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</si>
  <si>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</si>
  <si>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</si>
  <si>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</si>
  <si>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</si>
  <si>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</si>
  <si>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</si>
  <si>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</si>
  <si>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</si>
  <si>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</si>
  <si>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</si>
  <si>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</si>
  <si>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</si>
  <si>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</si>
  <si>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</si>
  <si>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</si>
  <si>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</si>
  <si>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</si>
  <si>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</si>
  <si>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</si>
  <si>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</si>
  <si>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</si>
  <si>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</si>
  <si>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</si>
  <si>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</si>
  <si>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</si>
  <si>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</si>
  <si>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</si>
  <si>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</si>
  <si>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</si>
  <si>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</si>
  <si>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</si>
  <si>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</si>
  <si>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</si>
  <si>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</si>
  <si>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</si>
  <si>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</si>
  <si>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</si>
  <si>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</si>
  <si>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</si>
  <si>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</si>
  <si>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</si>
  <si>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</si>
  <si>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</si>
  <si>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</si>
  <si>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</si>
  <si>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</si>
  <si>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</si>
  <si>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</si>
  <si>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</si>
  <si>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</si>
  <si>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</si>
  <si>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</si>
  <si>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</si>
  <si>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</si>
  <si>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</si>
  <si>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</si>
  <si>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</si>
  <si>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</si>
  <si>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</si>
  <si>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</si>
  <si>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</si>
  <si>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</si>
  <si>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</si>
  <si>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核定资产</t>
  </si>
  <si>
    <t>房地产市场价值</t>
  </si>
  <si>
    <t>其他：</t>
  </si>
  <si>
    <t>中谷集团上海粮油有限公司</t>
    <phoneticPr fontId="6" type="noConversion"/>
  </si>
  <si>
    <t>吉林省</t>
    <phoneticPr fontId="6" type="noConversion"/>
  </si>
  <si>
    <t>企业</t>
  </si>
  <si>
    <t>出让</t>
  </si>
  <si>
    <t>工业项目</t>
  </si>
  <si>
    <t>现房</t>
  </si>
  <si>
    <t>通路</t>
  </si>
  <si>
    <t>通电</t>
  </si>
  <si>
    <t>通讯</t>
  </si>
  <si>
    <t>通上水</t>
  </si>
  <si>
    <t>通下水</t>
  </si>
  <si>
    <t>证号</t>
    <phoneticPr fontId="140" type="noConversion"/>
  </si>
  <si>
    <t>面积</t>
    <phoneticPr fontId="140" type="noConversion"/>
  </si>
  <si>
    <r>
      <t>吉（2</t>
    </r>
    <r>
      <rPr>
        <sz val="11"/>
        <color theme="1"/>
        <rFont val="宋体"/>
        <family val="3"/>
        <charset val="134"/>
        <scheme val="minor"/>
      </rPr>
      <t>017</t>
    </r>
    <r>
      <rPr>
        <sz val="11"/>
        <color theme="1"/>
        <rFont val="宋体"/>
        <family val="3"/>
        <charset val="134"/>
        <scheme val="minor"/>
      </rPr>
      <t>）东丰县不动产权第</t>
    </r>
    <r>
      <rPr>
        <sz val="11"/>
        <color theme="1"/>
        <rFont val="宋体"/>
        <family val="3"/>
        <charset val="134"/>
        <scheme val="minor"/>
      </rPr>
      <t>0006091号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</si>
  <si>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0006098号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</si>
  <si>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0006090号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</si>
  <si>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0006088号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</si>
  <si>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0006089号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</si>
  <si>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0006097号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</si>
  <si>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0006095号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</si>
  <si>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0006100号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</si>
  <si>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0006099号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</si>
  <si>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0006094号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</si>
  <si>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0006096号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</si>
  <si>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0006092号</t>
    </r>
    <phoneticPr fontId="140" type="noConversion"/>
  </si>
  <si>
    <r>
      <t>吉（2017</t>
    </r>
    <r>
      <rPr>
        <sz val="11"/>
        <color theme="1"/>
        <rFont val="宋体"/>
        <family val="3"/>
        <charset val="134"/>
        <scheme val="minor"/>
      </rPr>
      <t>）东丰县不动产权第</t>
    </r>
    <r>
      <rPr>
        <sz val="11"/>
        <color theme="1"/>
        <rFont val="宋体"/>
        <family val="3"/>
        <charset val="134"/>
        <scheme val="minor"/>
      </rPr>
      <t>0006093号</t>
    </r>
    <phoneticPr fontId="140" type="noConversion"/>
  </si>
  <si>
    <t>地上</t>
  </si>
  <si>
    <t>是</t>
  </si>
  <si>
    <t>利息：取LPR加浮动点数</t>
  </si>
  <si>
    <t>项目全部</t>
  </si>
  <si>
    <t>收益法</t>
  </si>
  <si>
    <t>押一</t>
  </si>
  <si>
    <t>按租金收入计税</t>
  </si>
  <si>
    <t>砖混</t>
  </si>
  <si>
    <t>非生产用房</t>
  </si>
  <si>
    <t>地块名称</t>
  </si>
  <si>
    <t>城市</t>
  </si>
  <si>
    <t>用地性质</t>
  </si>
  <si>
    <t>建设用地面积(㎡)</t>
  </si>
  <si>
    <t>规划建筑面积(㎡)</t>
  </si>
  <si>
    <t>容积率</t>
  </si>
  <si>
    <t>出让方式</t>
  </si>
  <si>
    <t>详细规划</t>
  </si>
  <si>
    <t>集中供地</t>
  </si>
  <si>
    <t>截止日期</t>
  </si>
  <si>
    <t>成交日期</t>
  </si>
  <si>
    <t>受让单位</t>
  </si>
  <si>
    <t>起始价(万元)</t>
  </si>
  <si>
    <t>成交价(万元)</t>
  </si>
  <si>
    <t>成交每亩价(万元/亩)</t>
  </si>
  <si>
    <t>成交楼面价(元/㎡)</t>
  </si>
  <si>
    <t>溢价率</t>
  </si>
  <si>
    <t>土地星级</t>
  </si>
  <si>
    <t>东丰县大阳镇保胜村</t>
  </si>
  <si>
    <t>辽源市</t>
  </si>
  <si>
    <t>工业用地</t>
  </si>
  <si>
    <t>大于1</t>
  </si>
  <si>
    <t>挂牌</t>
  </si>
  <si>
    <t>2021-04-13</t>
  </si>
  <si>
    <t>东丰县晟禾骨制品有限公司</t>
  </si>
  <si>
    <t>0星</t>
  </si>
  <si>
    <t>东丰县三合乡兴太村三组</t>
  </si>
  <si>
    <t>大于或等于0.6</t>
  </si>
  <si>
    <t>仓储用地</t>
  </si>
  <si>
    <t>2020-03-26</t>
  </si>
  <si>
    <t>吉林兴太物流有限公司</t>
  </si>
  <si>
    <t>东丰县三合乡鲜明村三组</t>
  </si>
  <si>
    <t>大于或等于1</t>
  </si>
  <si>
    <t>2020-02-20</t>
  </si>
  <si>
    <t>吉林省鲜明朝鲜族食品有限公司</t>
  </si>
  <si>
    <t>东丰县工业区一号街以东、303国道以南、三号街以西、中粮包装有限公司以北</t>
  </si>
  <si>
    <t>2019-12-21</t>
  </si>
  <si>
    <t>东丰县吉鹿投资有限责任公司</t>
  </si>
  <si>
    <t>东丰县三合乡蚂蚁村十二组</t>
  </si>
  <si>
    <t>2019-04-16</t>
  </si>
  <si>
    <t>东丰县宏宇塑业制品有限公司</t>
  </si>
  <si>
    <t>东丰县三合乡蚂蚁村十一组</t>
  </si>
  <si>
    <t>大于0.7并且小于1.7</t>
  </si>
  <si>
    <t>2018-08-09</t>
  </si>
  <si>
    <t>吉林省腾越环保科技有限公司</t>
  </si>
  <si>
    <t>东丰县东丰镇西门外路南侧、莲河以北</t>
  </si>
  <si>
    <t>大于0.7</t>
  </si>
  <si>
    <t>2018-02-02</t>
  </si>
  <si>
    <t>吉林稼源秸秆环保科技发展有限公司</t>
  </si>
  <si>
    <t>东丰县工业集中区</t>
  </si>
  <si>
    <t>大于或等于0.8</t>
  </si>
  <si>
    <t>2017-05-11</t>
  </si>
  <si>
    <t>吉林睿康生物科技有限公司</t>
  </si>
  <si>
    <t>东丰县三合乡沙河村</t>
  </si>
  <si>
    <t>2016-10-13</t>
  </si>
  <si>
    <t>东丰县汇丰粮食有限公司</t>
  </si>
  <si>
    <t>2016-10-05</t>
  </si>
  <si>
    <t>东丰县东丰镇勤俭村</t>
  </si>
  <si>
    <t>大于或等于0.7</t>
  </si>
  <si>
    <t>吉林省惠泽工贸有限公司</t>
  </si>
  <si>
    <t>2016-06-22</t>
  </si>
  <si>
    <t>2016-06-21</t>
  </si>
  <si>
    <t>仓储</t>
    <phoneticPr fontId="33" type="noConversion"/>
  </si>
  <si>
    <t>工业</t>
    <phoneticPr fontId="33" type="noConversion"/>
  </si>
  <si>
    <t>单位面积地价</t>
  </si>
  <si>
    <t>未包含在土地购买价格中</t>
  </si>
  <si>
    <t>全部缴纳</t>
  </si>
  <si>
    <t>已包含在土地取得成本中</t>
  </si>
  <si>
    <t>较好</t>
  </si>
  <si>
    <t>一般</t>
  </si>
  <si>
    <t>较规则</t>
  </si>
  <si>
    <t>较规则</t>
    <phoneticPr fontId="33" type="noConversion"/>
  </si>
  <si>
    <t>五通</t>
  </si>
  <si>
    <t>五通</t>
    <phoneticPr fontId="33" type="noConversion"/>
  </si>
  <si>
    <t>较好</t>
    <phoneticPr fontId="33" type="noConversion"/>
  </si>
  <si>
    <t>土地比较法-工业</t>
  </si>
  <si>
    <t>总价</t>
  </si>
  <si>
    <t>自定义</t>
  </si>
  <si>
    <t>——</t>
    <phoneticPr fontId="140" type="noConversion"/>
  </si>
  <si>
    <t>仓储</t>
  </si>
  <si>
    <t>仓储</t>
    <phoneticPr fontId="7" type="noConversion"/>
  </si>
  <si>
    <t>工程进度</t>
  </si>
  <si>
    <t>假设开发法</t>
  </si>
  <si>
    <t>房权证东字第074781号</t>
    <phoneticPr fontId="140" type="noConversion"/>
  </si>
  <si>
    <t>房权证东字第074779号</t>
    <phoneticPr fontId="140" type="noConversion"/>
  </si>
  <si>
    <t>序号</t>
    <phoneticPr fontId="140" type="noConversion"/>
  </si>
  <si>
    <t>坐落</t>
    <phoneticPr fontId="140" type="noConversion"/>
  </si>
  <si>
    <t>用途</t>
    <phoneticPr fontId="140" type="noConversion"/>
  </si>
  <si>
    <t>沙河镇沙河村二组</t>
    <phoneticPr fontId="140" type="noConversion"/>
  </si>
  <si>
    <t>仓储</t>
    <phoneticPr fontId="140" type="noConversion"/>
  </si>
  <si>
    <t>办公</t>
    <phoneticPr fontId="140" type="noConversion"/>
  </si>
  <si>
    <t>其它</t>
    <phoneticPr fontId="140" type="noConversion"/>
  </si>
  <si>
    <t>仓库</t>
    <phoneticPr fontId="140" type="noConversion"/>
  </si>
  <si>
    <t>值班室</t>
    <phoneticPr fontId="140" type="noConversion"/>
  </si>
  <si>
    <t>3-10沙河村二组</t>
    <phoneticPr fontId="140" type="noConversion"/>
  </si>
  <si>
    <t>辽源市沙河镇沙河村二组</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</si>
</sst>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0" fillId="5" borderId="0" xfId="0" applyFill="1" applyAlignment="1"/>
    <xf numFmtId="0" fontId="46" fillId="17" borderId="24"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8" fillId="5" borderId="10" xfId="1" applyNumberFormat="1" applyFont="1" applyFill="1" applyBorder="1" applyAlignment="1" applyProtection="1">
      <alignment horizontal="center" vertical="center"/>
      <protection locked="0"/>
    </xf>
    <xf numFmtId="0" fontId="118" fillId="5" borderId="24" xfId="1"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784411</xdr:colOff>
      <xdr:row>20</xdr:row>
      <xdr:rowOff>145676</xdr:rowOff>
    </xdr:from>
    <xdr:to>
      <xdr:col>12</xdr:col>
      <xdr:colOff>596630</xdr:colOff>
      <xdr:row>30</xdr:row>
      <xdr:rowOff>160032</xdr:rowOff>
    </xdr:to>
    <xdr:pic>
      <xdr:nvPicPr>
        <xdr:cNvPr id="2" name="图片 1"/>
        <xdr:cNvPicPr>
          <a:picLocks noChangeAspect="1"/>
        </xdr:cNvPicPr>
      </xdr:nvPicPr>
      <xdr:blipFill>
        <a:blip xmlns:r="http://schemas.openxmlformats.org/officeDocument/2006/relationships" r:embed="rId1"/>
        <a:stretch>
          <a:fillRect/>
        </a:stretch>
      </xdr:blipFill>
      <xdr:spPr>
        <a:xfrm>
          <a:off x="784411" y="3507441"/>
          <a:ext cx="9628572" cy="1695238"/>
        </a:xfrm>
        <a:prstGeom prst="rect">
          <a:avLst/>
        </a:prstGeom>
      </xdr:spPr>
    </xdr:pic>
    <xdr:clientData/>
  </xdr:twoCellAnchor>
  <xdr:twoCellAnchor editAs="oneCell">
    <xdr:from>
      <xdr:col>0</xdr:col>
      <xdr:colOff>907676</xdr:colOff>
      <xdr:row>32</xdr:row>
      <xdr:rowOff>11206</xdr:rowOff>
    </xdr:from>
    <xdr:to>
      <xdr:col>12</xdr:col>
      <xdr:colOff>624657</xdr:colOff>
      <xdr:row>50</xdr:row>
      <xdr:rowOff>147523</xdr:rowOff>
    </xdr:to>
    <xdr:pic>
      <xdr:nvPicPr>
        <xdr:cNvPr id="3" name="图片 2"/>
        <xdr:cNvPicPr>
          <a:picLocks noChangeAspect="1"/>
        </xdr:cNvPicPr>
      </xdr:nvPicPr>
      <xdr:blipFill>
        <a:blip xmlns:r="http://schemas.openxmlformats.org/officeDocument/2006/relationships" r:embed="rId2"/>
        <a:stretch>
          <a:fillRect/>
        </a:stretch>
      </xdr:blipFill>
      <xdr:spPr>
        <a:xfrm>
          <a:off x="907676" y="5390030"/>
          <a:ext cx="9533334" cy="3161905"/>
        </a:xfrm>
        <a:prstGeom prst="rect">
          <a:avLst/>
        </a:prstGeom>
      </xdr:spPr>
    </xdr:pic>
    <xdr:clientData/>
  </xdr:twoCellAnchor>
  <xdr:twoCellAnchor editAs="oneCell">
    <xdr:from>
      <xdr:col>0</xdr:col>
      <xdr:colOff>974912</xdr:colOff>
      <xdr:row>51</xdr:row>
      <xdr:rowOff>123265</xdr:rowOff>
    </xdr:from>
    <xdr:to>
      <xdr:col>12</xdr:col>
      <xdr:colOff>571500</xdr:colOff>
      <xdr:row>81</xdr:row>
      <xdr:rowOff>32</xdr:rowOff>
    </xdr:to>
    <xdr:pic>
      <xdr:nvPicPr>
        <xdr:cNvPr id="4" name="图片 3"/>
        <xdr:cNvPicPr>
          <a:picLocks noChangeAspect="1"/>
        </xdr:cNvPicPr>
      </xdr:nvPicPr>
      <xdr:blipFill>
        <a:blip xmlns:r="http://schemas.openxmlformats.org/officeDocument/2006/relationships" r:embed="rId3"/>
        <a:stretch>
          <a:fillRect/>
        </a:stretch>
      </xdr:blipFill>
      <xdr:spPr>
        <a:xfrm>
          <a:off x="974912" y="8695765"/>
          <a:ext cx="9412941" cy="4919414"/>
        </a:xfrm>
        <a:prstGeom prst="rect">
          <a:avLst/>
        </a:prstGeom>
      </xdr:spPr>
    </xdr:pic>
    <xdr:clientData/>
  </xdr:twoCellAnchor>
  <xdr:twoCellAnchor editAs="oneCell">
    <xdr:from>
      <xdr:col>14</xdr:col>
      <xdr:colOff>0</xdr:colOff>
      <xdr:row>21</xdr:row>
      <xdr:rowOff>0</xdr:rowOff>
    </xdr:from>
    <xdr:to>
      <xdr:col>24</xdr:col>
      <xdr:colOff>15869</xdr:colOff>
      <xdr:row>54</xdr:row>
      <xdr:rowOff>148326</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0000" y="3529853"/>
          <a:ext cx="7523810" cy="5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吉林省辽源市沙河镇沙河村二组房地产市场价值预评估</v>
      </c>
    </row>
    <row r="3" spans="1:2" s="1364" customFormat="1">
      <c r="A3" s="1362" t="s">
        <v>1188</v>
      </c>
      <c r="B3" s="1363" t="str">
        <f>'预评函-封皮'!B40</f>
        <v>中谷集团上海粮油有限公司</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受贵公司委托，我公司对吉林省辽源市沙河镇沙河村二组房地产市场价值进行了预评估。</v>
      </c>
    </row>
    <row r="7" spans="1:2" s="1364" customFormat="1">
      <c r="A7" s="1362" t="s">
        <v>1231</v>
      </c>
      <c r="B7" s="1363" t="str">
        <f>'预评函-1'!A7</f>
        <v>估价对象为吉林省辽源市沙河镇沙河村二组房地产，为中谷集团上海粮油有限公司所有。根据《国有土地使用证》[]，估价对象（分摊）出让国有建设用地使用权面积为43638平方米，建筑面积为34910.4平方米。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吉林省辽源市沙河镇沙河村二组房地产,为中谷集团上海粮油有限公司开发建设的工业项目，该项目尚在开发建设中。根据《国有土地使用证》[]，估价对象（分摊）出让国有建设用地使用权面积为43638平方米，规划建筑面积为34910.4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2021年5月16日（评估专业人员实地查勘之日）</v>
      </c>
    </row>
    <row r="13" spans="1:2" s="1364" customFormat="1">
      <c r="A13" s="1362" t="s">
        <v>1194</v>
      </c>
      <c r="B13" s="1363" t="str">
        <f>'预评函-1'!A18</f>
        <v>本次估价的“房地产价值”是指在正常市场情况下，在价值时点2021年5月16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本次评估采用的主估价方法为比较法和假设开发法。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f ca="1">'预评函-2'!D5</f>
        <v>764</v>
      </c>
    </row>
    <row r="21" spans="1:2" s="1364" customFormat="1">
      <c r="A21" s="1362" t="s">
        <v>1202</v>
      </c>
      <c r="B21" s="1363">
        <f ca="1">'预评函-2'!D7</f>
        <v>219</v>
      </c>
    </row>
    <row r="22" spans="1:2" s="1364" customFormat="1">
      <c r="A22" s="1362" t="s">
        <v>1203</v>
      </c>
      <c r="B22" s="1363" t="str">
        <f ca="1">'预评函-2'!D6</f>
        <v>柒佰陆拾肆万元整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764</v>
      </c>
    </row>
    <row r="31" spans="1:2" s="1364" customFormat="1">
      <c r="A31" s="1362" t="s">
        <v>1241</v>
      </c>
      <c r="B31" s="1363">
        <f ca="1">'预评函-2'!D15</f>
        <v>219</v>
      </c>
    </row>
    <row r="32" spans="1:2" s="1364" customFormat="1">
      <c r="A32" s="1362" t="s">
        <v>1208</v>
      </c>
      <c r="B32" s="1363" t="str">
        <f ca="1">'预评函-2'!D14</f>
        <v>柒佰陆拾肆万元整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吉林省辽源市沙河镇沙河村二组房地产</v>
      </c>
    </row>
    <row r="42" spans="1:2" s="1364" customFormat="1">
      <c r="A42" s="1362" t="s">
        <v>1255</v>
      </c>
      <c r="B42" s="1363" t="str">
        <f>'预评函-3'!B2</f>
        <v>建筑面积</v>
      </c>
    </row>
    <row r="43" spans="1:2" s="1364" customFormat="1">
      <c r="A43" s="1362" t="s">
        <v>1256</v>
      </c>
      <c r="B43" s="1363">
        <f>'预评函-3'!B4</f>
        <v>34910.400000000001</v>
      </c>
    </row>
    <row r="44" spans="1:2" s="1364" customFormat="1">
      <c r="A44" s="1362" t="s">
        <v>1240</v>
      </c>
      <c r="B44" s="1363" t="str">
        <f>'预评函-3'!C2</f>
        <v>(分摊)土地面积</v>
      </c>
    </row>
    <row r="45" spans="1:2" s="1364" customFormat="1">
      <c r="A45" s="1362" t="s">
        <v>1212</v>
      </c>
      <c r="B45" s="1363">
        <f>'预评函-3'!C4</f>
        <v>43638</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3036</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辽源市沙河镇沙河村二组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38" t="s">
        <v>832</v>
      </c>
      <c r="C54" s="1735" t="s">
        <v>1248</v>
      </c>
    </row>
    <row r="55" spans="1:4">
      <c r="A55" s="3112"/>
      <c r="B55" s="1738" t="s">
        <v>833</v>
      </c>
      <c r="C55" s="1735" t="s">
        <v>1249</v>
      </c>
    </row>
    <row r="56" spans="1:4">
      <c r="A56" s="3112"/>
      <c r="B56" s="1738" t="s">
        <v>834</v>
      </c>
      <c r="C56" s="1735" t="s">
        <v>1253</v>
      </c>
    </row>
    <row r="57" spans="1:4">
      <c r="A57" s="311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H21" sqref="H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1" customWidth="1"/>
    <col min="12" max="13" width="10" style="2852"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2911</v>
      </c>
      <c r="B1" s="3121" t="str">
        <f>IF(B10="北京市","北京市",C10)&amp;F10&amp;IF(结果表!G1="在建","出让国有建设用地使用权及在建建筑物",IF(结果表!G1="土地","出让国有建设用地使用权",))&amp;B9&amp;"预评估"</f>
        <v>吉林省辽源市沙河镇沙河村二组房地产市场价值预评估</v>
      </c>
      <c r="C1" s="3122"/>
      <c r="D1" s="3122"/>
      <c r="E1" s="3122"/>
      <c r="F1" s="3122"/>
      <c r="G1" s="3122"/>
      <c r="H1" s="3122"/>
      <c r="I1" s="3123"/>
      <c r="J1" s="2693"/>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吉林省辽源市沙河镇沙河村二组房地产市场价值</v>
      </c>
      <c r="T1" s="1930"/>
      <c r="U1" s="1930"/>
      <c r="V1" s="1930"/>
      <c r="W1" s="1930"/>
      <c r="X1" s="1930"/>
      <c r="Y1" s="1930"/>
      <c r="Z1" s="1930"/>
      <c r="AA1" s="1930"/>
      <c r="AB1" s="1930"/>
    </row>
    <row r="2" spans="1:28">
      <c r="A2" s="2590" t="s">
        <v>2912</v>
      </c>
      <c r="B2" s="2594"/>
      <c r="C2" s="2595"/>
      <c r="D2" s="2894"/>
      <c r="E2" s="2885"/>
      <c r="F2" s="2885"/>
      <c r="G2" s="2886"/>
      <c r="H2" s="2886"/>
      <c r="I2" s="2886"/>
      <c r="J2" s="2693"/>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吉林省辽源市沙河镇沙河村二组房地产</v>
      </c>
      <c r="T2" s="1930"/>
      <c r="U2" s="1930"/>
      <c r="V2" s="1930"/>
      <c r="W2" s="1930"/>
      <c r="X2" s="1930"/>
      <c r="Y2" s="1930"/>
      <c r="Z2" s="1930"/>
      <c r="AA2" s="1930"/>
      <c r="AB2" s="1930"/>
    </row>
    <row r="3" spans="1:28">
      <c r="A3" s="307" t="s">
        <v>2913</v>
      </c>
      <c r="B3" s="2596">
        <v>44332</v>
      </c>
      <c r="C3" s="2597" t="s">
        <v>2914</v>
      </c>
      <c r="D3" s="2596">
        <f>B3</f>
        <v>44332</v>
      </c>
      <c r="E3" s="2886"/>
      <c r="F3" s="2886"/>
      <c r="G3" s="2886"/>
      <c r="H3" s="2886"/>
      <c r="I3" s="2886"/>
      <c r="J3" s="2693"/>
      <c r="K3" s="2591"/>
      <c r="L3" s="2592"/>
      <c r="M3" s="2592"/>
      <c r="N3" s="2593"/>
      <c r="O3" s="1760"/>
      <c r="P3" s="2593"/>
      <c r="Q3" s="2593"/>
      <c r="R3" s="2593"/>
      <c r="S3" s="1867"/>
      <c r="T3" s="1930"/>
      <c r="U3" s="1930"/>
      <c r="V3" s="1930"/>
      <c r="W3" s="1930"/>
      <c r="X3" s="1930"/>
      <c r="Y3" s="1930"/>
      <c r="Z3" s="1930"/>
      <c r="AA3" s="1930"/>
      <c r="AB3" s="1930"/>
    </row>
    <row r="4" spans="1:28" ht="13.5" thickBot="1">
      <c r="A4" s="1249" t="s">
        <v>2915</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1"/>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2916</v>
      </c>
      <c r="B5" s="3057" t="s">
        <v>3063</v>
      </c>
      <c r="C5" s="2603"/>
      <c r="D5" s="2604"/>
      <c r="E5" s="2887"/>
      <c r="F5" s="2887"/>
      <c r="G5" s="2887"/>
      <c r="H5" s="2887"/>
      <c r="I5" s="2887"/>
      <c r="J5" s="2661"/>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5" t="s">
        <v>2917</v>
      </c>
      <c r="B6" s="2606"/>
      <c r="C6" s="2607"/>
      <c r="D6" s="2608"/>
      <c r="E6" s="2885"/>
      <c r="F6" s="2887"/>
      <c r="G6" s="2887"/>
      <c r="H6" s="2887"/>
      <c r="I6" s="2887"/>
      <c r="J6" s="2661"/>
      <c r="K6" s="2837" t="str">
        <f>IF(COUNTIF(B6,"*上海银行*"),"上海银行","")</f>
        <v/>
      </c>
      <c r="L6" s="2835"/>
      <c r="M6" s="2835"/>
      <c r="N6" s="2661"/>
      <c r="O6" s="2672"/>
      <c r="P6" s="2661"/>
      <c r="Q6" s="2661"/>
      <c r="R6" s="2661"/>
    </row>
    <row r="7" spans="1:28">
      <c r="A7" s="2605" t="s">
        <v>2918</v>
      </c>
      <c r="B7" s="2609"/>
      <c r="C7" s="2607"/>
      <c r="D7" s="2608"/>
      <c r="E7" s="2885"/>
      <c r="F7" s="2887"/>
      <c r="G7" s="2887"/>
      <c r="H7" s="2887"/>
      <c r="I7" s="2887"/>
      <c r="J7" s="2661"/>
      <c r="K7" s="2838"/>
      <c r="L7" s="2835"/>
      <c r="M7" s="2835"/>
      <c r="N7" s="2661"/>
      <c r="O7" s="2672"/>
      <c r="P7" s="2661"/>
      <c r="Q7" s="2661"/>
      <c r="R7" s="2661"/>
    </row>
    <row r="8" spans="1:28">
      <c r="A8" s="2610" t="s">
        <v>2919</v>
      </c>
      <c r="B8" s="2611" t="s">
        <v>3060</v>
      </c>
      <c r="C8" s="2612"/>
      <c r="D8" s="3124" t="s">
        <v>2920</v>
      </c>
      <c r="E8" s="2613"/>
      <c r="F8" s="2614"/>
      <c r="G8" s="2886"/>
      <c r="H8" s="2886"/>
      <c r="I8" s="2886"/>
      <c r="J8" s="2661"/>
      <c r="K8" s="2836"/>
      <c r="L8" s="2835"/>
      <c r="M8" s="2835"/>
      <c r="N8" s="2661"/>
      <c r="O8" s="2672"/>
      <c r="P8" s="2661"/>
      <c r="Q8" s="2661"/>
      <c r="R8" s="2661"/>
    </row>
    <row r="9" spans="1:28" ht="13.5" thickBot="1">
      <c r="A9" s="2615" t="s">
        <v>2921</v>
      </c>
      <c r="B9" s="2616" t="s">
        <v>3061</v>
      </c>
      <c r="C9" s="2617"/>
      <c r="D9" s="3125"/>
      <c r="E9" s="2616"/>
      <c r="F9" s="2618"/>
      <c r="G9" s="2888"/>
      <c r="H9" s="2888"/>
      <c r="I9" s="2888"/>
      <c r="J9" s="2661"/>
      <c r="K9" s="2838"/>
      <c r="L9" s="2835"/>
      <c r="M9" s="2835"/>
      <c r="N9" s="2661"/>
      <c r="O9" s="2672"/>
      <c r="P9" s="2661"/>
      <c r="Q9" s="2661"/>
      <c r="R9" s="2661"/>
    </row>
    <row r="10" spans="1:28" ht="13.5" thickTop="1">
      <c r="A10" s="2619" t="s">
        <v>2922</v>
      </c>
      <c r="B10" s="2620" t="s">
        <v>3062</v>
      </c>
      <c r="C10" s="3055" t="s">
        <v>3064</v>
      </c>
      <c r="D10" s="2604"/>
      <c r="E10" s="2621" t="s">
        <v>2923</v>
      </c>
      <c r="F10" s="3056" t="s">
        <v>3193</v>
      </c>
      <c r="G10" s="2889"/>
      <c r="H10" s="2890"/>
      <c r="I10" s="2891"/>
      <c r="J10" s="2661"/>
      <c r="K10" s="2838"/>
      <c r="L10" s="2835"/>
      <c r="M10" s="2835"/>
      <c r="N10" s="2661"/>
      <c r="O10" s="2672"/>
      <c r="P10" s="2661"/>
      <c r="Q10" s="2661"/>
      <c r="R10" s="2661"/>
    </row>
    <row r="11" spans="1:28">
      <c r="A11" s="2622" t="s">
        <v>2924</v>
      </c>
      <c r="B11" s="2623" t="s">
        <v>3065</v>
      </c>
      <c r="C11" s="3058" t="str">
        <f>B5</f>
        <v>中谷集团上海粮油有限公司</v>
      </c>
      <c r="D11" s="2624"/>
      <c r="E11" s="2593"/>
      <c r="F11" s="2593"/>
      <c r="G11" s="2593"/>
      <c r="H11" s="2593"/>
      <c r="I11" s="2593"/>
      <c r="J11" s="2661"/>
      <c r="K11" s="2838"/>
      <c r="L11" s="2835"/>
      <c r="M11" s="2835"/>
      <c r="N11" s="2661"/>
      <c r="O11" s="2672"/>
      <c r="P11" s="2661"/>
      <c r="Q11" s="2661"/>
      <c r="R11" s="2661"/>
    </row>
    <row r="12" spans="1:28">
      <c r="A12" s="2625" t="s">
        <v>2925</v>
      </c>
      <c r="B12" s="2623" t="s">
        <v>3066</v>
      </c>
      <c r="C12" s="328" t="s">
        <v>2926</v>
      </c>
      <c r="D12" s="2626" t="s">
        <v>2927</v>
      </c>
      <c r="E12" s="2626" t="s">
        <v>2928</v>
      </c>
      <c r="F12" s="2626" t="s">
        <v>2929</v>
      </c>
      <c r="G12" s="2626" t="s">
        <v>2930</v>
      </c>
      <c r="H12" s="2626" t="s">
        <v>2931</v>
      </c>
      <c r="I12" s="2626" t="s">
        <v>2932</v>
      </c>
      <c r="J12" s="2661"/>
      <c r="K12" s="2838"/>
      <c r="L12" s="2835"/>
      <c r="M12" s="2835"/>
      <c r="N12" s="2661"/>
      <c r="O12" s="2672"/>
      <c r="P12" s="2661"/>
      <c r="Q12" s="2661"/>
      <c r="R12" s="2661"/>
    </row>
    <row r="13" spans="1:28">
      <c r="A13" s="1240"/>
      <c r="B13" s="2627"/>
      <c r="C13" s="2628" t="s">
        <v>2933</v>
      </c>
      <c r="D13" s="964"/>
      <c r="E13" s="964"/>
      <c r="F13" s="964"/>
      <c r="G13" s="964"/>
      <c r="H13" s="964"/>
      <c r="I13" s="964">
        <v>58329</v>
      </c>
      <c r="J13" s="2661"/>
      <c r="K13" s="2838"/>
      <c r="L13" s="2835"/>
      <c r="M13" s="2835"/>
      <c r="N13" s="2661"/>
      <c r="O13" s="2672"/>
      <c r="P13" s="2661"/>
      <c r="Q13" s="2661"/>
      <c r="R13" s="2661"/>
    </row>
    <row r="14" spans="1:28">
      <c r="A14" s="1240"/>
      <c r="B14" s="2627"/>
      <c r="C14" s="2628" t="s">
        <v>2934</v>
      </c>
      <c r="D14" s="2629"/>
      <c r="E14" s="2629"/>
      <c r="F14" s="2629"/>
      <c r="G14" s="2629"/>
      <c r="H14" s="2629"/>
      <c r="I14" s="2629">
        <v>50</v>
      </c>
      <c r="J14" s="2661"/>
      <c r="K14" s="2839"/>
      <c r="L14" s="2835"/>
      <c r="M14" s="2835"/>
      <c r="N14" s="2661"/>
      <c r="O14" s="2672"/>
      <c r="P14" s="2661"/>
      <c r="Q14" s="2661"/>
      <c r="R14" s="2661"/>
    </row>
    <row r="15" spans="1:28">
      <c r="A15" s="325"/>
      <c r="B15" s="2630"/>
      <c r="C15" s="2631" t="s">
        <v>2935</v>
      </c>
      <c r="D15" s="2632" t="str">
        <f>IF(B12="出让",IF(D13="","",ROUNDDOWN(MIN((D13-$D$3)/365,D14),2)),D14)</f>
        <v/>
      </c>
      <c r="E15" s="2632" t="str">
        <f>IF(B12="出让",IF(E13="","",ROUNDDOWN(MIN((E13-$D$3)/365,E14),2)),E14)</f>
        <v/>
      </c>
      <c r="F15" s="2632" t="str">
        <f>IF(B12="出让",IF(F13="","",ROUNDDOWN(MIN((F13-$D$3)/365,F14),2)),F14)</f>
        <v/>
      </c>
      <c r="G15" s="2632" t="str">
        <f>IF(B12="出让",IF(G13="","",ROUNDDOWN(MIN((G13-$D$3)/365,G14),2)),G14)</f>
        <v/>
      </c>
      <c r="H15" s="2632" t="str">
        <f>IF(B12="出让",IF(H13="","",ROUNDDOWN(MIN((H13-$D$3)/365,H14),2)),H14)</f>
        <v/>
      </c>
      <c r="I15" s="2632">
        <f>IF(B12="出让",IF(I13="","",ROUNDDOWN(MIN((I13-$D$3)/365,I14),2)),I14)</f>
        <v>38.340000000000003</v>
      </c>
      <c r="J15" s="2661"/>
      <c r="K15" s="2840"/>
      <c r="L15" s="2673"/>
      <c r="M15" s="2673"/>
      <c r="N15" s="2731"/>
      <c r="O15" s="2673"/>
      <c r="P15" s="2731"/>
      <c r="Q15" s="2661"/>
      <c r="R15" s="2661"/>
    </row>
    <row r="16" spans="1:28">
      <c r="A16" s="2621" t="s">
        <v>2936</v>
      </c>
      <c r="B16" s="3131"/>
      <c r="C16" s="3132"/>
      <c r="D16" s="3133"/>
      <c r="E16" s="2635" t="s">
        <v>2937</v>
      </c>
      <c r="F16" s="3134"/>
      <c r="G16" s="3135"/>
      <c r="H16" s="3135"/>
      <c r="I16" s="3136"/>
      <c r="J16" s="2661"/>
      <c r="K16" s="2840"/>
      <c r="L16" s="2673"/>
      <c r="M16" s="2673"/>
      <c r="N16" s="2731"/>
      <c r="O16" s="2673"/>
      <c r="P16" s="2731"/>
      <c r="Q16" s="2661"/>
      <c r="R16" s="2661"/>
    </row>
    <row r="17" spans="1:28">
      <c r="A17" s="318" t="s">
        <v>2938</v>
      </c>
      <c r="B17" s="307" t="s">
        <v>2939</v>
      </c>
      <c r="C17" s="11">
        <f>'数据-汇总表'!E3</f>
        <v>34910.400000000001</v>
      </c>
      <c r="D17" s="2544" t="s">
        <v>2940</v>
      </c>
      <c r="E17" s="3137" t="s">
        <v>2941</v>
      </c>
      <c r="F17" s="3138"/>
      <c r="G17" s="3138"/>
      <c r="H17" s="3138"/>
      <c r="I17" s="3139"/>
      <c r="J17" s="2661"/>
      <c r="K17" s="2841"/>
      <c r="L17" s="2673"/>
      <c r="M17" s="2673"/>
      <c r="N17" s="2731"/>
      <c r="O17" s="2673"/>
      <c r="P17" s="2731"/>
      <c r="Q17" s="2661"/>
      <c r="R17" s="2661"/>
      <c r="S17" s="2661"/>
      <c r="T17" s="2661"/>
      <c r="U17" s="2661"/>
      <c r="V17" s="2661"/>
    </row>
    <row r="18" spans="1:28" ht="24.75" thickBot="1">
      <c r="A18" s="2636" t="s">
        <v>2942</v>
      </c>
      <c r="B18" s="1249" t="s">
        <v>2943</v>
      </c>
      <c r="C18" s="2637">
        <f>'数据-汇总表'!D3</f>
        <v>43638</v>
      </c>
      <c r="D18" s="1251" t="s">
        <v>2944</v>
      </c>
      <c r="E18" s="3140" t="s">
        <v>2945</v>
      </c>
      <c r="F18" s="3141"/>
      <c r="G18" s="3141"/>
      <c r="H18" s="3141"/>
      <c r="I18" s="3142"/>
      <c r="J18" s="2661"/>
      <c r="K18" s="2841"/>
      <c r="L18" s="2673"/>
      <c r="M18" s="2673"/>
      <c r="N18" s="2731"/>
      <c r="O18" s="2673"/>
      <c r="P18" s="2731"/>
      <c r="Q18" s="2661"/>
      <c r="R18" s="2661"/>
      <c r="S18" s="2661"/>
      <c r="T18" s="2661"/>
      <c r="U18" s="2661"/>
      <c r="V18" s="2661"/>
    </row>
    <row r="19" spans="1:28" ht="37.5" thickTop="1" thickBot="1">
      <c r="A19" s="332" t="s">
        <v>1741</v>
      </c>
      <c r="B19" s="312" t="s">
        <v>2946</v>
      </c>
      <c r="C19" s="1747"/>
      <c r="D19" s="1748" t="s">
        <v>2947</v>
      </c>
      <c r="E19" s="1749"/>
      <c r="F19" s="1750" t="str">
        <f>IF(AND(C19="是",E19="否"),"是否提供他项权证或相关说明","")</f>
        <v/>
      </c>
      <c r="G19" s="1751"/>
      <c r="H19" s="2887"/>
      <c r="I19" s="2887"/>
      <c r="J19" s="2661"/>
      <c r="K19" s="2838"/>
      <c r="L19" s="2835"/>
      <c r="M19" s="2835"/>
      <c r="N19" s="2731"/>
      <c r="O19" s="2673"/>
      <c r="P19" s="2731"/>
      <c r="Q19" s="2661"/>
      <c r="R19" s="2661"/>
      <c r="S19" s="2661"/>
      <c r="T19" s="2661"/>
      <c r="U19" s="2661"/>
      <c r="V19" s="2661"/>
    </row>
    <row r="20" spans="1:28">
      <c r="A20" s="2855" t="s">
        <v>2948</v>
      </c>
      <c r="B20" s="3127" t="s">
        <v>2949</v>
      </c>
      <c r="C20" s="3128"/>
      <c r="D20" s="3129" t="s">
        <v>2950</v>
      </c>
      <c r="E20" s="3130"/>
      <c r="F20" s="2870" t="s">
        <v>1742</v>
      </c>
      <c r="G20" s="2887"/>
      <c r="H20" s="2887"/>
      <c r="I20" s="2887"/>
      <c r="J20" s="2661"/>
      <c r="K20" s="3126"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4"/>
      <c r="O20" s="2633"/>
      <c r="P20" s="2634"/>
      <c r="Q20" s="2593"/>
      <c r="R20" s="2593"/>
      <c r="S20" s="2593"/>
      <c r="T20" s="2593"/>
      <c r="U20" s="2593"/>
      <c r="V20" s="2593"/>
      <c r="W20" s="1930"/>
      <c r="X20" s="1930"/>
      <c r="Y20" s="1930"/>
      <c r="Z20" s="1930"/>
      <c r="AA20" s="1930"/>
      <c r="AB20" s="1930"/>
    </row>
    <row r="21" spans="1:28" ht="24.75" thickBot="1">
      <c r="A21" s="2855"/>
      <c r="B21" s="2856" t="s">
        <v>2952</v>
      </c>
      <c r="C21" s="2857" t="s">
        <v>1743</v>
      </c>
      <c r="D21" s="1752" t="s">
        <v>2953</v>
      </c>
      <c r="E21" s="2858" t="s">
        <v>1743</v>
      </c>
      <c r="F21" s="2871"/>
      <c r="G21" s="2887"/>
      <c r="H21" s="2887"/>
      <c r="I21" s="2887"/>
      <c r="J21" s="2661"/>
      <c r="K21" s="312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4"/>
      <c r="O21" s="2633"/>
      <c r="P21" s="2634"/>
      <c r="Q21" s="2593"/>
      <c r="R21" s="2593"/>
      <c r="S21" s="2593"/>
      <c r="T21" s="2593"/>
      <c r="U21" s="2593"/>
      <c r="V21" s="2593"/>
      <c r="W21" s="1930"/>
      <c r="X21" s="1930"/>
      <c r="Y21" s="1930"/>
      <c r="Z21" s="1930"/>
      <c r="AA21" s="1930"/>
      <c r="AB21" s="1930"/>
    </row>
    <row r="22" spans="1:28" ht="24.75" thickBot="1">
      <c r="A22" s="2855"/>
      <c r="B22" s="2859" t="s">
        <v>2954</v>
      </c>
      <c r="C22" s="2857" t="s">
        <v>1744</v>
      </c>
      <c r="D22" s="2886"/>
      <c r="E22" s="2886"/>
      <c r="F22" s="2886"/>
      <c r="G22" s="2887"/>
      <c r="H22" s="2887"/>
      <c r="I22" s="2887"/>
      <c r="J22" s="2661"/>
      <c r="K22" s="312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4"/>
      <c r="O22" s="2633"/>
      <c r="P22" s="2634"/>
      <c r="Q22" s="2593"/>
      <c r="R22" s="2593"/>
      <c r="S22" s="2593"/>
      <c r="T22" s="2593"/>
      <c r="U22" s="2593"/>
      <c r="V22" s="2593"/>
      <c r="W22" s="1930"/>
      <c r="X22" s="1930"/>
      <c r="Y22" s="1930"/>
      <c r="Z22" s="1930"/>
      <c r="AA22" s="1930"/>
      <c r="AB22" s="1930"/>
    </row>
    <row r="23" spans="1:28">
      <c r="A23" s="2860" t="s">
        <v>2955</v>
      </c>
      <c r="B23" s="2724" t="s">
        <v>2956</v>
      </c>
      <c r="C23" s="2861"/>
      <c r="D23" s="2862" t="s">
        <v>2956</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14" t="s">
        <v>2957</v>
      </c>
      <c r="B27" s="325" t="s">
        <v>2958</v>
      </c>
      <c r="C27" s="2638" t="s">
        <v>3067</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14"/>
      <c r="B28" s="307" t="s">
        <v>2959</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14"/>
      <c r="B29" s="307" t="s">
        <v>2960</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15"/>
      <c r="B30" s="307" t="s">
        <v>2961</v>
      </c>
      <c r="C30" s="3116"/>
      <c r="D30" s="3117"/>
      <c r="E30" s="2887"/>
      <c r="F30" s="2887"/>
      <c r="G30" s="2887"/>
      <c r="H30" s="2887"/>
      <c r="I30" s="2887"/>
      <c r="J30" s="2661"/>
      <c r="K30" s="2838"/>
      <c r="L30" s="2835"/>
      <c r="M30" s="2835"/>
      <c r="N30" s="2661"/>
      <c r="O30" s="2672"/>
      <c r="P30" s="2661"/>
      <c r="Q30" s="2661"/>
      <c r="R30" s="2661"/>
      <c r="S30" s="2661"/>
      <c r="T30" s="2661"/>
      <c r="U30" s="2661"/>
      <c r="V30" s="2661"/>
    </row>
    <row r="31" spans="1:28">
      <c r="A31" s="3118" t="s">
        <v>2962</v>
      </c>
      <c r="B31" s="2644" t="s">
        <v>3068</v>
      </c>
      <c r="C31" s="2545" t="str">
        <f>IF(B31="现房","成新及维护状况正常否",IF(B31="在建","工程状态是否正常",IF(B31="土地","是否闲置","-")))</f>
        <v>成新及维护状况正常否</v>
      </c>
      <c r="D31" s="1556"/>
      <c r="E31" s="2645"/>
      <c r="F31" s="2887"/>
      <c r="G31" s="2887"/>
      <c r="H31" s="2887"/>
      <c r="I31" s="2887"/>
      <c r="J31" s="2661"/>
      <c r="K31" s="2837"/>
      <c r="L31" s="2835"/>
      <c r="M31" s="2835"/>
      <c r="N31" s="2661"/>
      <c r="O31" s="2672"/>
      <c r="P31" s="2661"/>
      <c r="Q31" s="2661"/>
      <c r="R31" s="2661"/>
      <c r="S31" s="2661"/>
      <c r="T31" s="2661"/>
      <c r="U31" s="2661"/>
      <c r="V31" s="2661"/>
    </row>
    <row r="32" spans="1:28">
      <c r="A32" s="3119"/>
      <c r="B32" s="2644"/>
      <c r="C32" s="2545" t="str">
        <f>IF(B32="现房","成新及维护状况是否正常",IF(B32="在建","工程状态是否正常",IF(B32="土地","是否闲置","-")))</f>
        <v>-</v>
      </c>
      <c r="D32" s="1556"/>
      <c r="E32" s="2645"/>
      <c r="F32" s="2887"/>
      <c r="G32" s="2887"/>
      <c r="H32" s="2887"/>
      <c r="I32" s="2887"/>
      <c r="J32" s="2661"/>
      <c r="K32" s="2838"/>
      <c r="L32" s="2835"/>
      <c r="M32" s="2835"/>
      <c r="N32" s="2661"/>
      <c r="O32" s="2672"/>
      <c r="P32" s="2661"/>
      <c r="Q32" s="2661"/>
      <c r="R32" s="2661"/>
      <c r="S32" s="2661"/>
      <c r="T32" s="2661"/>
      <c r="U32" s="2661"/>
      <c r="V32" s="2661"/>
    </row>
    <row r="33" spans="1:30">
      <c r="A33" s="3119"/>
      <c r="B33" s="2647"/>
      <c r="C33" s="1774" t="str">
        <f>IF(B33="现房","成新及维护状况是否正常",IF(B33="在建","工程状态是否正常",IF(B33="土地","是否闲置","-")))</f>
        <v>-</v>
      </c>
      <c r="D33" s="1548"/>
      <c r="E33" s="2648"/>
      <c r="F33" s="2887"/>
      <c r="G33" s="2887"/>
      <c r="H33" s="2887"/>
      <c r="I33" s="2887"/>
      <c r="J33" s="2661"/>
      <c r="K33" s="2838"/>
      <c r="L33" s="2835"/>
      <c r="M33" s="2835"/>
      <c r="N33" s="2661"/>
      <c r="O33" s="2672"/>
      <c r="P33" s="2661"/>
      <c r="Q33" s="2661"/>
      <c r="R33" s="2661"/>
      <c r="S33" s="2661"/>
      <c r="T33" s="2661"/>
      <c r="U33" s="2661"/>
      <c r="V33" s="2661"/>
    </row>
    <row r="34" spans="1:30">
      <c r="A34" s="307" t="s">
        <v>2963</v>
      </c>
      <c r="B34" s="2213" t="s">
        <v>3069</v>
      </c>
      <c r="C34" s="2213" t="s">
        <v>3070</v>
      </c>
      <c r="D34" s="2213" t="s">
        <v>3071</v>
      </c>
      <c r="E34" s="2213" t="s">
        <v>3072</v>
      </c>
      <c r="F34" s="2213" t="s">
        <v>3073</v>
      </c>
      <c r="G34" s="2213" t="s">
        <v>70</v>
      </c>
      <c r="H34" s="2213" t="s">
        <v>70</v>
      </c>
      <c r="I34" s="2887"/>
      <c r="J34" s="2661"/>
      <c r="K34" s="2649">
        <f>COUNTIF(B34:H34,"——")</f>
        <v>2</v>
      </c>
      <c r="L34" s="328" t="s">
        <v>2964</v>
      </c>
      <c r="M34" s="328" t="s">
        <v>2965</v>
      </c>
      <c r="N34" s="328" t="s">
        <v>2966</v>
      </c>
      <c r="O34" s="328" t="s">
        <v>2967</v>
      </c>
      <c r="P34" s="328" t="s">
        <v>2968</v>
      </c>
      <c r="Q34" s="328" t="s">
        <v>2969</v>
      </c>
      <c r="R34" s="328" t="s">
        <v>2970</v>
      </c>
      <c r="S34" s="3113" t="s">
        <v>2971</v>
      </c>
      <c r="T34" s="2650" t="str">
        <f>NUMBERSTRING(7-K34,1)&amp;"通"</f>
        <v>五通</v>
      </c>
      <c r="U34" s="2661"/>
      <c r="V34" s="2661"/>
    </row>
    <row r="35" spans="1:30">
      <c r="A35" s="2651"/>
      <c r="B35" s="3120" t="s">
        <v>2972</v>
      </c>
      <c r="C35" s="3120"/>
      <c r="D35" s="3120"/>
      <c r="E35" s="3120"/>
      <c r="F35" s="672" t="str">
        <f>C10</f>
        <v>吉林省</v>
      </c>
      <c r="G35" s="2887"/>
      <c r="H35" s="2887"/>
      <c r="I35" s="2887"/>
      <c r="J35" s="2661"/>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113"/>
      <c r="T35" s="334" t="str">
        <f>IF(T34="一通",L35,IF(T34="二通",M35,IF(T34="三通",N35,IF(T34="四通",O35,IF(T34="五通",P35,IF(T34="六通",Q35,R35))))))</f>
        <v>通路、通电、通讯、通上水、通下水</v>
      </c>
      <c r="U35" s="2661"/>
      <c r="V35" s="2661"/>
    </row>
    <row r="36" spans="1:30">
      <c r="A36" s="2652"/>
      <c r="B36" s="672" t="s">
        <v>2928</v>
      </c>
      <c r="C36" s="672" t="s">
        <v>2929</v>
      </c>
      <c r="D36" s="672" t="s">
        <v>2927</v>
      </c>
      <c r="E36" s="672" t="s">
        <v>2932</v>
      </c>
      <c r="F36" s="2892"/>
      <c r="G36" s="2887"/>
      <c r="H36" s="2887"/>
      <c r="I36" s="2887"/>
      <c r="J36" s="2661"/>
      <c r="K36" s="2838"/>
      <c r="L36" s="2835"/>
      <c r="M36" s="2835"/>
      <c r="N36" s="2661"/>
      <c r="O36" s="2672"/>
      <c r="P36" s="2661"/>
      <c r="Q36" s="2661"/>
      <c r="R36" s="2661"/>
      <c r="S36" s="2661"/>
      <c r="T36" s="2661"/>
      <c r="U36" s="2661"/>
      <c r="V36" s="2661"/>
    </row>
    <row r="37" spans="1:30">
      <c r="A37" s="2853" t="s">
        <v>2973</v>
      </c>
      <c r="B37" s="2653"/>
      <c r="C37" s="2653"/>
      <c r="D37" s="2653"/>
      <c r="E37" s="2653"/>
      <c r="F37" s="2892"/>
      <c r="G37" s="2887"/>
      <c r="H37" s="2887"/>
      <c r="I37" s="2887"/>
      <c r="J37" s="2661"/>
      <c r="K37" s="2838"/>
      <c r="L37" s="2835"/>
      <c r="M37" s="2835"/>
      <c r="N37" s="2661"/>
      <c r="O37" s="2672"/>
      <c r="P37" s="2661"/>
      <c r="Q37" s="2661"/>
      <c r="R37" s="2661"/>
      <c r="S37" s="2661"/>
      <c r="T37" s="2661"/>
      <c r="U37" s="2661"/>
      <c r="V37" s="2661"/>
    </row>
    <row r="38" spans="1:30" ht="13.5" thickBot="1">
      <c r="A38" s="2854" t="s">
        <v>2974</v>
      </c>
      <c r="B38" s="2654"/>
      <c r="C38" s="2654"/>
      <c r="D38" s="2654"/>
      <c r="E38" s="2654"/>
      <c r="F38" s="2893"/>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2975</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3"/>
      <c r="B40" s="2593"/>
      <c r="C40" s="2593"/>
      <c r="D40" s="2593"/>
      <c r="E40" s="2593"/>
      <c r="F40" s="2593"/>
      <c r="G40" s="2593"/>
      <c r="H40" s="2593"/>
      <c r="I40" s="1762"/>
      <c r="J40" s="2731"/>
      <c r="K40" s="2837"/>
      <c r="L40" s="2673"/>
      <c r="M40" s="2673"/>
      <c r="N40" s="2731"/>
      <c r="O40" s="2673"/>
      <c r="P40" s="2661"/>
      <c r="Q40" s="2661"/>
      <c r="R40" s="2661"/>
      <c r="S40" s="2661"/>
      <c r="T40" s="2661"/>
      <c r="U40" s="2661"/>
      <c r="V40" s="2661"/>
    </row>
    <row r="41" spans="1:30">
      <c r="A41" s="2658" t="s">
        <v>2976</v>
      </c>
      <c r="B41" s="1942"/>
      <c r="C41" s="1556"/>
      <c r="D41" s="2593"/>
      <c r="E41" s="2593"/>
      <c r="F41" s="2593"/>
      <c r="G41" s="2593"/>
      <c r="H41" s="2593"/>
      <c r="I41" s="1760"/>
      <c r="J41" s="2661"/>
      <c r="K41" s="2838"/>
      <c r="L41" s="2835"/>
      <c r="M41" s="2835"/>
      <c r="N41" s="2661"/>
      <c r="O41" s="2672"/>
      <c r="P41" s="2661"/>
      <c r="Q41" s="2661"/>
      <c r="R41" s="2661"/>
      <c r="S41" s="2661"/>
      <c r="T41" s="2661"/>
      <c r="U41" s="2661"/>
      <c r="V41" s="2661"/>
    </row>
    <row r="42" spans="1:30" ht="25.5">
      <c r="A42" s="328" t="s">
        <v>2977</v>
      </c>
      <c r="B42" s="11" t="s">
        <v>2978</v>
      </c>
      <c r="C42" s="11" t="s">
        <v>2979</v>
      </c>
      <c r="D42" s="11" t="s">
        <v>2980</v>
      </c>
      <c r="E42" s="11" t="s">
        <v>2981</v>
      </c>
      <c r="F42" s="11" t="s">
        <v>2982</v>
      </c>
      <c r="G42" s="11" t="s">
        <v>2983</v>
      </c>
      <c r="H42" s="11" t="s">
        <v>2984</v>
      </c>
      <c r="I42" s="11" t="s">
        <v>2985</v>
      </c>
      <c r="J42" s="2849" t="s">
        <v>2986</v>
      </c>
      <c r="K42" s="2850" t="s">
        <v>2987</v>
      </c>
      <c r="L42" s="2850" t="s">
        <v>2988</v>
      </c>
      <c r="M42" s="2850" t="s">
        <v>2989</v>
      </c>
      <c r="N42" s="2843" t="s">
        <v>2990</v>
      </c>
      <c r="O42" s="2843" t="s">
        <v>2991</v>
      </c>
      <c r="P42" s="2843" t="s">
        <v>2992</v>
      </c>
      <c r="Q42" s="2844" t="s">
        <v>2993</v>
      </c>
      <c r="R42" s="2844" t="s">
        <v>2994</v>
      </c>
      <c r="S42" s="2661"/>
      <c r="T42" s="2661"/>
      <c r="U42" s="2661"/>
      <c r="V42" s="2661"/>
    </row>
    <row r="43" spans="1:30" s="1928" customFormat="1">
      <c r="A43" s="1754"/>
      <c r="B43" s="1181"/>
      <c r="C43" s="1181"/>
      <c r="D43" s="1181"/>
      <c r="E43" s="1181"/>
      <c r="F43" s="1181"/>
      <c r="G43" s="1181"/>
      <c r="H43" s="1181"/>
      <c r="I43" s="1181"/>
      <c r="J43" s="2659"/>
      <c r="K43" s="2660"/>
      <c r="L43" s="2660"/>
      <c r="M43" s="1181"/>
      <c r="N43" s="1181"/>
      <c r="O43" s="1181"/>
      <c r="P43" s="1181"/>
      <c r="Q43" s="1181"/>
      <c r="R43" s="1181"/>
      <c r="S43" s="2661"/>
      <c r="T43" s="2661"/>
      <c r="U43" s="2661"/>
      <c r="V43" s="2661"/>
    </row>
    <row r="44" spans="1:30" s="1928" customFormat="1">
      <c r="A44" s="1754"/>
      <c r="B44" s="1754"/>
      <c r="C44" s="1181"/>
      <c r="D44" s="1181"/>
      <c r="E44" s="1181"/>
      <c r="F44" s="1181"/>
      <c r="G44" s="1181"/>
      <c r="H44" s="1181"/>
      <c r="I44" s="1181"/>
      <c r="J44" s="2659"/>
      <c r="K44" s="2660"/>
      <c r="L44" s="2660"/>
      <c r="M44" s="1181"/>
      <c r="N44" s="1181"/>
      <c r="O44" s="1181"/>
      <c r="P44" s="1181"/>
      <c r="Q44" s="1181"/>
      <c r="R44" s="1181"/>
      <c r="S44" s="2661"/>
      <c r="T44" s="2661"/>
      <c r="U44" s="2661"/>
      <c r="V44" s="2661"/>
    </row>
    <row r="45" spans="1:30" s="1928" customFormat="1">
      <c r="A45" s="1754"/>
      <c r="B45" s="1754"/>
      <c r="C45" s="1181"/>
      <c r="D45" s="1181"/>
      <c r="E45" s="1181"/>
      <c r="F45" s="1181"/>
      <c r="G45" s="1181"/>
      <c r="H45" s="1181"/>
      <c r="I45" s="1181"/>
      <c r="J45" s="2659"/>
      <c r="K45" s="2660"/>
      <c r="L45" s="2660"/>
      <c r="M45" s="1181"/>
      <c r="N45" s="1181"/>
      <c r="O45" s="1181"/>
      <c r="P45" s="1181"/>
      <c r="Q45" s="1181"/>
      <c r="R45" s="1181"/>
      <c r="S45" s="2661"/>
      <c r="T45" s="2661"/>
      <c r="U45" s="2661"/>
      <c r="V45" s="2661"/>
    </row>
    <row r="46" spans="1:30" s="1928" customFormat="1">
      <c r="A46" s="1754"/>
      <c r="B46" s="1754"/>
      <c r="C46" s="1181"/>
      <c r="D46" s="1181"/>
      <c r="E46" s="1181"/>
      <c r="F46" s="1181"/>
      <c r="G46" s="1181"/>
      <c r="H46" s="1181"/>
      <c r="I46" s="1181"/>
      <c r="J46" s="2659"/>
      <c r="K46" s="2660"/>
      <c r="L46" s="2660"/>
      <c r="M46" s="1181"/>
      <c r="N46" s="1181"/>
      <c r="O46" s="1181"/>
      <c r="P46" s="1181"/>
      <c r="Q46" s="1181"/>
      <c r="R46" s="1181"/>
      <c r="S46" s="2661"/>
      <c r="T46" s="2661"/>
      <c r="U46" s="2661"/>
      <c r="V46" s="2661"/>
    </row>
    <row r="47" spans="1:30" s="1928" customFormat="1">
      <c r="A47" s="1754"/>
      <c r="B47" s="1754"/>
      <c r="C47" s="1181"/>
      <c r="D47" s="1181"/>
      <c r="E47" s="1181"/>
      <c r="F47" s="1181"/>
      <c r="G47" s="1181"/>
      <c r="H47" s="1181"/>
      <c r="I47" s="1181"/>
      <c r="J47" s="2659"/>
      <c r="K47" s="2660"/>
      <c r="L47" s="2660"/>
      <c r="M47" s="1181"/>
      <c r="N47" s="1181"/>
      <c r="O47" s="1181"/>
      <c r="P47" s="1181"/>
      <c r="Q47" s="1181"/>
      <c r="R47" s="1181"/>
      <c r="S47" s="2661"/>
      <c r="T47" s="2661"/>
      <c r="U47" s="2661"/>
      <c r="V47" s="2661"/>
    </row>
    <row r="48" spans="1:30" s="1928" customFormat="1">
      <c r="A48" s="1754"/>
      <c r="B48" s="1754"/>
      <c r="C48" s="1181"/>
      <c r="D48" s="1181"/>
      <c r="E48" s="1181"/>
      <c r="F48" s="1181"/>
      <c r="G48" s="1181"/>
      <c r="H48" s="1181"/>
      <c r="I48" s="1181"/>
      <c r="J48" s="2659"/>
      <c r="K48" s="2660"/>
      <c r="L48" s="2660"/>
      <c r="M48" s="1181"/>
      <c r="N48" s="1181"/>
      <c r="O48" s="1181"/>
      <c r="P48" s="1181"/>
      <c r="Q48" s="1181"/>
      <c r="R48" s="1181"/>
      <c r="S48" s="2661"/>
      <c r="T48" s="2661"/>
      <c r="U48" s="2661"/>
      <c r="V48" s="2661"/>
    </row>
    <row r="49" spans="1:22" s="1928" customFormat="1">
      <c r="A49" s="1754"/>
      <c r="B49" s="1754"/>
      <c r="C49" s="1181"/>
      <c r="D49" s="1181"/>
      <c r="E49" s="1181"/>
      <c r="F49" s="1181"/>
      <c r="G49" s="1181"/>
      <c r="H49" s="1181"/>
      <c r="I49" s="1181"/>
      <c r="J49" s="2659"/>
      <c r="K49" s="2660"/>
      <c r="L49" s="2660"/>
      <c r="M49" s="1181"/>
      <c r="N49" s="1181"/>
      <c r="O49" s="1181"/>
      <c r="P49" s="1181"/>
      <c r="Q49" s="1181"/>
      <c r="R49" s="1181"/>
      <c r="S49" s="2661"/>
      <c r="T49" s="2661"/>
      <c r="U49" s="2661"/>
      <c r="V49" s="2661"/>
    </row>
    <row r="50" spans="1:22" s="1928" customFormat="1">
      <c r="A50" s="1754"/>
      <c r="B50" s="1754"/>
      <c r="C50" s="1181"/>
      <c r="D50" s="1181"/>
      <c r="E50" s="1181"/>
      <c r="F50" s="1181"/>
      <c r="G50" s="1181"/>
      <c r="H50" s="1181"/>
      <c r="I50" s="1181"/>
      <c r="J50" s="2659"/>
      <c r="K50" s="2660"/>
      <c r="L50" s="2660"/>
      <c r="M50" s="1181"/>
      <c r="N50" s="1181"/>
      <c r="O50" s="1181"/>
      <c r="P50" s="1181"/>
      <c r="Q50" s="1181"/>
      <c r="R50" s="1181"/>
      <c r="S50" s="2661"/>
      <c r="T50" s="2661"/>
      <c r="U50" s="2661"/>
      <c r="V50" s="2661"/>
    </row>
    <row r="51" spans="1:22" s="1928" customFormat="1">
      <c r="A51" s="1754"/>
      <c r="B51" s="1754"/>
      <c r="C51" s="1181"/>
      <c r="D51" s="1181"/>
      <c r="E51" s="1181"/>
      <c r="F51" s="1181"/>
      <c r="G51" s="1181"/>
      <c r="H51" s="1181"/>
      <c r="I51" s="1181"/>
      <c r="J51" s="2659"/>
      <c r="K51" s="2660"/>
      <c r="L51" s="2660"/>
      <c r="M51" s="1181"/>
      <c r="N51" s="1181"/>
      <c r="O51" s="1181"/>
      <c r="P51" s="1181"/>
      <c r="Q51" s="1181"/>
      <c r="R51" s="1181"/>
    </row>
    <row r="52" spans="1:22" s="1928" customFormat="1">
      <c r="A52" s="1754"/>
      <c r="B52" s="1754"/>
      <c r="C52" s="1754"/>
      <c r="D52" s="1754"/>
      <c r="E52" s="1754"/>
      <c r="F52" s="1181"/>
      <c r="G52" s="1754"/>
      <c r="H52" s="1754"/>
      <c r="I52" s="1754"/>
      <c r="J52" s="2662"/>
      <c r="K52" s="2660"/>
      <c r="L52" s="2660"/>
      <c r="M52" s="2660"/>
      <c r="N52" s="1754"/>
      <c r="O52" s="1754"/>
      <c r="P52" s="1754"/>
      <c r="Q52" s="1754"/>
      <c r="R52" s="1754"/>
    </row>
    <row r="53" spans="1:22" s="1928" customFormat="1">
      <c r="A53" s="1754"/>
      <c r="B53" s="1754"/>
      <c r="C53" s="1754"/>
      <c r="D53" s="1754"/>
      <c r="E53" s="1754"/>
      <c r="F53" s="1181"/>
      <c r="G53" s="1754"/>
      <c r="H53" s="1754"/>
      <c r="I53" s="1754"/>
      <c r="J53" s="2662"/>
      <c r="K53" s="2660"/>
      <c r="L53" s="2660"/>
      <c r="M53" s="2660"/>
      <c r="N53" s="1754"/>
      <c r="O53" s="1754"/>
      <c r="P53" s="1754"/>
      <c r="Q53" s="1754"/>
      <c r="R53" s="1754"/>
    </row>
    <row r="54" spans="1:22" s="1928" customFormat="1">
      <c r="A54" s="1754"/>
      <c r="B54" s="1754"/>
      <c r="C54" s="1754"/>
      <c r="D54" s="1754"/>
      <c r="E54" s="1754"/>
      <c r="F54" s="1181"/>
      <c r="G54" s="1754"/>
      <c r="H54" s="1754"/>
      <c r="I54" s="1754"/>
      <c r="J54" s="2662"/>
      <c r="K54" s="2660"/>
      <c r="L54" s="2660"/>
      <c r="M54" s="2660"/>
      <c r="N54" s="1754"/>
      <c r="O54" s="1754"/>
      <c r="P54" s="1754"/>
      <c r="Q54" s="1754"/>
      <c r="R54" s="1754"/>
    </row>
    <row r="55" spans="1:22" s="1928" customFormat="1">
      <c r="A55" s="1754"/>
      <c r="B55" s="1754"/>
      <c r="C55" s="1754"/>
      <c r="D55" s="1754"/>
      <c r="E55" s="1754"/>
      <c r="F55" s="1181"/>
      <c r="G55" s="1754"/>
      <c r="H55" s="1754"/>
      <c r="I55" s="1754"/>
      <c r="J55" s="2662"/>
      <c r="K55" s="2660"/>
      <c r="L55" s="2660"/>
      <c r="M55" s="2660"/>
      <c r="N55" s="1754"/>
      <c r="O55" s="1754"/>
      <c r="P55" s="1754"/>
      <c r="Q55" s="1754"/>
      <c r="R55" s="1754"/>
    </row>
    <row r="56" spans="1:22" s="1928" customFormat="1">
      <c r="A56" s="1754"/>
      <c r="B56" s="1754"/>
      <c r="C56" s="1754"/>
      <c r="D56" s="1754"/>
      <c r="E56" s="1754"/>
      <c r="F56" s="1181"/>
      <c r="G56" s="1754"/>
      <c r="H56" s="1754"/>
      <c r="I56" s="1754"/>
      <c r="J56" s="2662"/>
      <c r="K56" s="2660"/>
      <c r="L56" s="2660"/>
      <c r="M56" s="2660"/>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43638</v>
      </c>
      <c r="B3" s="14">
        <f>IF(C3="否",G5-AT5,G5)</f>
        <v>34910.400000000001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34910.400000000001</v>
      </c>
      <c r="H5" s="16">
        <f t="shared" ref="H5:AT5" si="0">SUM(H13:H656)</f>
        <v>34910.400000000001</v>
      </c>
      <c r="I5" s="16">
        <f t="shared" si="0"/>
        <v>34910.400000000001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34910.400000000001</v>
      </c>
      <c r="BA5" s="18">
        <f t="shared" si="1"/>
        <v>34910.400000000001</v>
      </c>
      <c r="BB5" s="18">
        <f t="shared" si="1"/>
        <v>34910.400000000001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43638</v>
      </c>
      <c r="F6" s="16" t="s">
        <v>1</v>
      </c>
      <c r="G6" s="16" t="s">
        <v>2</v>
      </c>
      <c r="H6" s="20">
        <f>SUMIF(I$12:AB$12,"总值",I6:AB6)</f>
        <v>43638</v>
      </c>
      <c r="I6" s="16">
        <f t="shared" ref="I6:AB6" si="2">ROUND($A$3*I5/$B$3,2)</f>
        <v>43638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43638</v>
      </c>
      <c r="AZ6" s="16" t="s">
        <v>3</v>
      </c>
      <c r="BA6" s="16">
        <f>ROUND($AY$6*BA5/$AZ$5,2)</f>
        <v>43638</v>
      </c>
      <c r="BB6" s="16">
        <f>ROUND($AY$6*BB5/$AZ$5,2)</f>
        <v>43638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3089</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6</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3064"/>
      <c r="D13" s="1809" t="s">
        <v>3090</v>
      </c>
      <c r="E13" s="16">
        <f>IF($C$3="是",ROUND($A$3*G13/$B$3,2),ROUND($A$3*(G13-AT13)/$B$3,2))</f>
        <v>43638</v>
      </c>
      <c r="F13" s="32"/>
      <c r="G13" s="33">
        <f>H13+AC13+AT13</f>
        <v>34910.400000000001</v>
      </c>
      <c r="H13" s="20">
        <f>SUMIF(I$12:AB$12,"总值",I13:AB13)</f>
        <v>34910.400000000001</v>
      </c>
      <c r="I13" s="1810">
        <f>A3*0.8</f>
        <v>34910.400000000001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43638</v>
      </c>
      <c r="AZ13" s="16">
        <f>BA13+BL13</f>
        <v>34910.400000000001</v>
      </c>
      <c r="BA13" s="16">
        <f>SUM(BB13:BK13)</f>
        <v>34910.400000000001</v>
      </c>
      <c r="BB13" s="16">
        <f>IF($D13="是",I13-J13,0)</f>
        <v>34910.400000000001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3065"/>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7"/>
  <sheetViews>
    <sheetView topLeftCell="C1" workbookViewId="0">
      <selection activeCell="D6" sqref="D6"/>
    </sheetView>
  </sheetViews>
  <sheetFormatPr defaultRowHeight="13.5"/>
  <cols>
    <col min="2" max="3" width="35.75" customWidth="1"/>
  </cols>
  <sheetData>
    <row r="1" spans="1:5">
      <c r="A1" t="s">
        <v>3183</v>
      </c>
      <c r="B1" s="3059" t="s">
        <v>3074</v>
      </c>
      <c r="C1" s="3059" t="s">
        <v>3184</v>
      </c>
      <c r="D1" s="3059" t="s">
        <v>3075</v>
      </c>
      <c r="E1" s="3059" t="s">
        <v>3185</v>
      </c>
    </row>
    <row r="2" spans="1:5">
      <c r="A2">
        <v>1</v>
      </c>
      <c r="B2" s="3059" t="s">
        <v>3079</v>
      </c>
      <c r="C2" s="3059" t="s">
        <v>3186</v>
      </c>
      <c r="D2">
        <v>154.22</v>
      </c>
      <c r="E2" t="s">
        <v>3187</v>
      </c>
    </row>
    <row r="3" spans="1:5">
      <c r="A3">
        <v>2</v>
      </c>
      <c r="B3" s="3059" t="s">
        <v>3080</v>
      </c>
      <c r="C3" s="3059" t="s">
        <v>3186</v>
      </c>
      <c r="D3">
        <v>150.22</v>
      </c>
      <c r="E3" t="s">
        <v>3189</v>
      </c>
    </row>
    <row r="4" spans="1:5">
      <c r="A4">
        <v>3</v>
      </c>
      <c r="B4" s="3059" t="s">
        <v>3078</v>
      </c>
      <c r="C4" s="3059" t="s">
        <v>3186</v>
      </c>
      <c r="D4">
        <v>168.24</v>
      </c>
      <c r="E4" t="s">
        <v>3187</v>
      </c>
    </row>
    <row r="5" spans="1:5">
      <c r="A5">
        <v>4</v>
      </c>
      <c r="B5" s="3059" t="s">
        <v>3076</v>
      </c>
      <c r="C5" s="3059" t="s">
        <v>3186</v>
      </c>
      <c r="D5">
        <v>149.38</v>
      </c>
      <c r="E5" t="s">
        <v>3189</v>
      </c>
    </row>
    <row r="6" spans="1:5">
      <c r="A6">
        <v>5</v>
      </c>
      <c r="B6" s="3059" t="s">
        <v>3087</v>
      </c>
      <c r="C6" s="3059" t="s">
        <v>3186</v>
      </c>
      <c r="D6">
        <v>460.92</v>
      </c>
      <c r="E6" t="s">
        <v>3188</v>
      </c>
    </row>
    <row r="7" spans="1:5">
      <c r="A7">
        <v>6</v>
      </c>
      <c r="B7" s="3059" t="s">
        <v>3088</v>
      </c>
      <c r="C7" s="3059" t="s">
        <v>3186</v>
      </c>
      <c r="D7">
        <v>548.19000000000005</v>
      </c>
      <c r="E7" t="s">
        <v>3187</v>
      </c>
    </row>
    <row r="8" spans="1:5">
      <c r="A8">
        <v>7</v>
      </c>
      <c r="B8" s="3059" t="s">
        <v>3085</v>
      </c>
      <c r="C8" s="3059" t="s">
        <v>3186</v>
      </c>
      <c r="D8">
        <v>24.71</v>
      </c>
      <c r="E8" t="s">
        <v>3187</v>
      </c>
    </row>
    <row r="9" spans="1:5">
      <c r="A9">
        <v>8</v>
      </c>
      <c r="B9" s="3059" t="s">
        <v>3082</v>
      </c>
      <c r="C9" s="3059" t="s">
        <v>3186</v>
      </c>
      <c r="D9">
        <v>184.71</v>
      </c>
      <c r="E9" t="s">
        <v>3188</v>
      </c>
    </row>
    <row r="10" spans="1:5">
      <c r="A10">
        <v>9</v>
      </c>
      <c r="B10" s="3059" t="s">
        <v>3086</v>
      </c>
      <c r="C10" s="3059" t="s">
        <v>3186</v>
      </c>
      <c r="D10">
        <v>171.89</v>
      </c>
      <c r="E10" t="s">
        <v>3189</v>
      </c>
    </row>
    <row r="11" spans="1:5">
      <c r="A11">
        <v>10</v>
      </c>
      <c r="B11" s="3059" t="s">
        <v>3081</v>
      </c>
      <c r="C11" s="3059" t="s">
        <v>3186</v>
      </c>
      <c r="D11">
        <v>27.78</v>
      </c>
      <c r="E11" t="s">
        <v>3189</v>
      </c>
    </row>
    <row r="12" spans="1:5">
      <c r="A12">
        <v>11</v>
      </c>
      <c r="B12" s="3059" t="s">
        <v>3077</v>
      </c>
      <c r="C12" s="3059" t="s">
        <v>3186</v>
      </c>
      <c r="D12">
        <v>211.7</v>
      </c>
      <c r="E12" t="s">
        <v>3187</v>
      </c>
    </row>
    <row r="13" spans="1:5">
      <c r="A13">
        <v>12</v>
      </c>
      <c r="B13" s="3059" t="s">
        <v>3084</v>
      </c>
      <c r="C13" s="3059" t="s">
        <v>3186</v>
      </c>
      <c r="D13">
        <v>136.34</v>
      </c>
      <c r="E13" t="s">
        <v>3189</v>
      </c>
    </row>
    <row r="14" spans="1:5">
      <c r="A14">
        <v>13</v>
      </c>
      <c r="B14" s="3059" t="s">
        <v>3083</v>
      </c>
      <c r="C14" s="3059" t="s">
        <v>3186</v>
      </c>
      <c r="D14">
        <v>100.8</v>
      </c>
      <c r="E14" t="s">
        <v>3189</v>
      </c>
    </row>
    <row r="15" spans="1:5">
      <c r="A15">
        <v>14</v>
      </c>
      <c r="B15" s="3059" t="s">
        <v>3182</v>
      </c>
      <c r="C15" s="3059" t="s">
        <v>3192</v>
      </c>
      <c r="D15">
        <v>527.91999999999996</v>
      </c>
      <c r="E15" t="s">
        <v>3190</v>
      </c>
    </row>
    <row r="16" spans="1:5">
      <c r="A16">
        <v>15</v>
      </c>
      <c r="B16" s="3059" t="s">
        <v>3181</v>
      </c>
      <c r="C16" s="3059" t="s">
        <v>3192</v>
      </c>
      <c r="D16">
        <v>24</v>
      </c>
      <c r="E16" t="s">
        <v>3191</v>
      </c>
    </row>
    <row r="17" spans="2:4">
      <c r="B17" s="3059"/>
      <c r="C17" s="3059"/>
      <c r="D17">
        <f>SUM(D2:D16)</f>
        <v>3041.0200000000004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2"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54" t="s">
        <v>1817</v>
      </c>
      <c r="B2" s="3154"/>
      <c r="C2" s="3154"/>
      <c r="D2" s="903" t="s">
        <v>1793</v>
      </c>
      <c r="E2" s="1823" t="s">
        <v>1794</v>
      </c>
      <c r="F2" s="2882"/>
      <c r="G2" s="2873"/>
      <c r="H2" s="2874"/>
      <c r="I2" s="2547" t="s">
        <v>1818</v>
      </c>
      <c r="J2" s="2882"/>
      <c r="K2" s="2882"/>
      <c r="L2" s="2882"/>
      <c r="M2" s="2882"/>
      <c r="N2" s="2884"/>
      <c r="O2" s="2882"/>
      <c r="P2" s="2882"/>
    </row>
    <row r="3" spans="1:16" ht="15.75" thickBot="1">
      <c r="A3" s="3155" t="s">
        <v>1791</v>
      </c>
      <c r="B3" s="3155"/>
      <c r="C3" s="3155"/>
      <c r="D3" s="46">
        <f>'数据-基础表'!AY6</f>
        <v>43638</v>
      </c>
      <c r="E3" s="46">
        <f>'数据-基础表'!AZ5</f>
        <v>34910.400000000001</v>
      </c>
      <c r="F3" s="2882"/>
      <c r="G3" s="1306"/>
      <c r="H3" s="1156" t="s">
        <v>1792</v>
      </c>
      <c r="I3" s="963">
        <f>ROUND('数据-基础表'!B3/'数据-基础表'!A3,2)</f>
        <v>0.8</v>
      </c>
      <c r="J3" s="2882"/>
      <c r="K3" s="2882"/>
      <c r="L3" s="2882"/>
      <c r="M3" s="2882"/>
      <c r="N3" s="2884"/>
      <c r="O3" s="2882"/>
      <c r="P3" s="2882"/>
    </row>
    <row r="4" spans="1:16" ht="15">
      <c r="A4" s="3156"/>
      <c r="B4" s="3157"/>
      <c r="C4" s="3158"/>
      <c r="D4" s="1825" t="s">
        <v>1793</v>
      </c>
      <c r="E4" s="1826" t="s">
        <v>1794</v>
      </c>
      <c r="F4" s="2882"/>
      <c r="G4" s="2875" t="s">
        <v>1819</v>
      </c>
      <c r="H4" s="1156" t="s">
        <v>1799</v>
      </c>
      <c r="I4" s="963">
        <f>ROUND(SUMIF('数据-基础表'!I9:AS9,"地上",'数据-基础表'!I5:AS5)/'数据-基础表'!A3,2)</f>
        <v>0.8</v>
      </c>
      <c r="J4" s="2882"/>
      <c r="K4" s="2882"/>
      <c r="L4" s="2882"/>
      <c r="M4" s="2882"/>
      <c r="N4" s="2884"/>
      <c r="O4" s="2882"/>
      <c r="P4" s="2882"/>
    </row>
    <row r="5" spans="1:16">
      <c r="A5" s="47" t="s">
        <v>1795</v>
      </c>
      <c r="B5" s="3159" t="s">
        <v>1796</v>
      </c>
      <c r="C5" s="3159"/>
      <c r="D5" s="48">
        <f>ROUND($D$3*E5/$E$3,2)</f>
        <v>0</v>
      </c>
      <c r="E5" s="49">
        <f>SUMIF('数据-基础表'!$11:$11,"住宅",'数据-基础表'!$5:$5)</f>
        <v>0</v>
      </c>
      <c r="F5" s="2882"/>
      <c r="G5" s="1306"/>
      <c r="H5" s="1156" t="s">
        <v>1792</v>
      </c>
      <c r="I5" s="963">
        <f>ROUND(E31/D31,2)</f>
        <v>0.8</v>
      </c>
      <c r="J5" s="2882"/>
      <c r="K5" s="2882"/>
      <c r="L5" s="2882"/>
      <c r="M5" s="2882"/>
      <c r="N5" s="2882"/>
      <c r="O5" s="2882"/>
      <c r="P5" s="2882"/>
    </row>
    <row r="6" spans="1:16" ht="15" thickBot="1">
      <c r="A6" s="1828"/>
      <c r="B6" s="3159" t="s">
        <v>1797</v>
      </c>
      <c r="C6" s="3159"/>
      <c r="D6" s="48">
        <f>ROUND($D$3*E6/$E$3,2)</f>
        <v>43638</v>
      </c>
      <c r="E6" s="49">
        <f>E3-E5</f>
        <v>34910.400000000001</v>
      </c>
      <c r="F6" s="2882"/>
      <c r="G6" s="2876" t="s">
        <v>1798</v>
      </c>
      <c r="H6" s="1307" t="s">
        <v>1799</v>
      </c>
      <c r="I6" s="2877">
        <f>ROUND(F31/D31,2)</f>
        <v>0.8</v>
      </c>
      <c r="J6" s="2882"/>
      <c r="K6" s="2882"/>
      <c r="L6" s="2882"/>
      <c r="M6" s="2882"/>
      <c r="N6" s="2882"/>
      <c r="O6" s="2882"/>
      <c r="P6" s="2882"/>
    </row>
    <row r="7" spans="1:16" ht="15.75" thickBot="1">
      <c r="A7" s="3151"/>
      <c r="B7" s="3152"/>
      <c r="C7" s="3153"/>
      <c r="D7" s="1825" t="s">
        <v>1793</v>
      </c>
      <c r="E7" s="1829" t="s">
        <v>1800</v>
      </c>
      <c r="F7" s="2882"/>
      <c r="G7" s="2878" t="s">
        <v>1801</v>
      </c>
      <c r="H7" s="2879"/>
      <c r="I7" s="2880">
        <f>ROUND(明细表!D17/'数据-基础表'!A3,2)</f>
        <v>7.0000000000000007E-2</v>
      </c>
      <c r="J7" s="2882"/>
      <c r="K7" s="2882"/>
      <c r="L7" s="2882"/>
      <c r="M7" s="2882"/>
      <c r="N7" s="2882"/>
      <c r="O7" s="2882"/>
      <c r="P7" s="2882"/>
    </row>
    <row r="8" spans="1:16">
      <c r="A8" s="47" t="s">
        <v>1802</v>
      </c>
      <c r="B8" s="50" t="s">
        <v>1803</v>
      </c>
      <c r="C8" s="48" t="s">
        <v>1804</v>
      </c>
      <c r="D8" s="48">
        <f t="shared" ref="D8:D15" si="0">ROUND($D$3*E8/$E$3,2)</f>
        <v>43638</v>
      </c>
      <c r="E8" s="51">
        <f>SUMIF('数据-基础表'!BB10:BK10,"地上",'数据-基础表'!BB5:BK5)</f>
        <v>34910.400000000001</v>
      </c>
      <c r="F8" s="2882"/>
      <c r="G8" s="2883"/>
      <c r="H8" s="2883"/>
      <c r="I8" s="2882"/>
      <c r="J8" s="2882"/>
      <c r="K8" s="2882"/>
      <c r="L8" s="2882"/>
      <c r="M8" s="2882"/>
      <c r="N8" s="2882"/>
      <c r="O8" s="2882"/>
      <c r="P8" s="2882"/>
    </row>
    <row r="9" spans="1:16">
      <c r="A9" s="1830"/>
      <c r="B9" s="1831"/>
      <c r="C9" s="48" t="s">
        <v>1805</v>
      </c>
      <c r="D9" s="48">
        <f t="shared" si="0"/>
        <v>0</v>
      </c>
      <c r="E9" s="52">
        <v>0</v>
      </c>
      <c r="F9" s="2882"/>
      <c r="G9" s="2883"/>
      <c r="H9" s="2883"/>
      <c r="I9" s="2882"/>
      <c r="J9" s="2882"/>
      <c r="K9" s="2882"/>
      <c r="L9" s="2882"/>
      <c r="M9" s="2882"/>
      <c r="N9" s="2882"/>
      <c r="O9" s="2882"/>
      <c r="P9" s="2882"/>
    </row>
    <row r="10" spans="1:16">
      <c r="A10" s="1830"/>
      <c r="B10" s="1831"/>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0"/>
      <c r="B11" s="1831"/>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0"/>
      <c r="B12" s="1831"/>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0"/>
      <c r="B13" s="1831"/>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0"/>
      <c r="B14" s="1831"/>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0"/>
      <c r="B15" s="1831"/>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8"/>
      <c r="B16" s="1831"/>
      <c r="C16" s="50" t="s">
        <v>1809</v>
      </c>
      <c r="D16" s="50">
        <f>SUM(D8:D15)</f>
        <v>43638</v>
      </c>
      <c r="E16" s="53">
        <f>SUM(E8:E15)</f>
        <v>34910.400000000001</v>
      </c>
      <c r="F16" s="2882"/>
      <c r="G16" s="2883"/>
      <c r="H16" s="1832" t="s">
        <v>1821</v>
      </c>
      <c r="I16" s="1833"/>
      <c r="J16" s="1300"/>
      <c r="K16" s="3148" t="s">
        <v>1821</v>
      </c>
      <c r="L16" s="3149"/>
      <c r="M16" s="3149"/>
      <c r="N16" s="3149"/>
      <c r="O16" s="3149"/>
      <c r="P16" s="3150"/>
    </row>
    <row r="17" spans="1:19" ht="15">
      <c r="A17" s="1834" t="s">
        <v>1822</v>
      </c>
      <c r="B17" s="1835" t="s">
        <v>1823</v>
      </c>
      <c r="C17" s="1836" t="s">
        <v>1824</v>
      </c>
      <c r="D17" s="1837" t="s">
        <v>1812</v>
      </c>
      <c r="E17" s="1838" t="s">
        <v>1813</v>
      </c>
      <c r="F17" s="1839"/>
      <c r="G17" s="1840"/>
      <c r="H17" s="1841" t="s">
        <v>1825</v>
      </c>
      <c r="I17" s="1842" t="s">
        <v>1810</v>
      </c>
      <c r="J17" s="1300"/>
      <c r="K17" s="3145" t="s">
        <v>1826</v>
      </c>
      <c r="L17" s="3146"/>
      <c r="M17" s="3147"/>
      <c r="N17" s="3145" t="s">
        <v>1827</v>
      </c>
      <c r="O17" s="3146"/>
      <c r="P17" s="3147"/>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0" t="s">
        <v>3178</v>
      </c>
      <c r="D19" s="48">
        <f>ROUND($D$3*E19/$E$3,2)</f>
        <v>43638</v>
      </c>
      <c r="E19" s="56">
        <f t="shared" ref="E19:E26" si="1">SUM(F19:G19)</f>
        <v>34910.400000000001</v>
      </c>
      <c r="F19" s="3021">
        <f>'数据-基础表'!I5-F20</f>
        <v>34910.400000000001</v>
      </c>
      <c r="G19" s="3022"/>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43638</v>
      </c>
      <c r="S19" s="1157">
        <f t="shared" si="5"/>
        <v>34910.400000000001</v>
      </c>
    </row>
    <row r="20" spans="1:19">
      <c r="A20" s="1855"/>
      <c r="B20" s="50" t="s">
        <v>1839</v>
      </c>
      <c r="C20" s="3060"/>
      <c r="D20" s="48">
        <f t="shared" ref="D20:D26" si="6">ROUND($D$3*E20/$E$3,2)</f>
        <v>0</v>
      </c>
      <c r="E20" s="56">
        <f t="shared" si="1"/>
        <v>0</v>
      </c>
      <c r="F20" s="3021"/>
      <c r="G20" s="3022"/>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1"/>
      <c r="G21" s="3022"/>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3"/>
      <c r="G22" s="3024"/>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3"/>
      <c r="G23" s="3024"/>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3"/>
      <c r="G24" s="3024"/>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3"/>
      <c r="G25" s="3024"/>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3"/>
      <c r="G26" s="3024"/>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43638</v>
      </c>
      <c r="E27" s="1302">
        <f>IF(SUM(E19:E26)='数据-基础表'!BA5,SUM(E19:E26),IF(F27="地上面积有误","面积有误","地下面积有误"))</f>
        <v>34910.400000000001</v>
      </c>
      <c r="F27" s="1301">
        <f>IF(SUM(F19:F26)=E8,SUM(F19:F26),"地上面积有误")</f>
        <v>34910.400000000001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43638</v>
      </c>
      <c r="S27" s="1156">
        <f>IF(SUM(S19:S26)=$E$3,SUM(S19:S26),SUM(S19:S26)&amp;"误差"&amp;ROUND(SUM(S19:S26)-E3,2))</f>
        <v>34910.400000000001</v>
      </c>
    </row>
    <row r="28" spans="1:19">
      <c r="A28" s="1855"/>
      <c r="B28" s="50" t="s">
        <v>1841</v>
      </c>
      <c r="C28" s="1168" t="s">
        <v>1842</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5"/>
      <c r="B29" s="50" t="s">
        <v>1841</v>
      </c>
      <c r="C29" s="1859"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5"/>
      <c r="B30" s="50"/>
      <c r="C30" s="1860" t="s">
        <v>1840</v>
      </c>
      <c r="D30" s="1301">
        <f>SUM(D28:D29)</f>
        <v>0</v>
      </c>
      <c r="E30" s="1301">
        <f>SUM(E28:E29)</f>
        <v>0</v>
      </c>
      <c r="F30" s="1301">
        <f>SUM(F28:F29)</f>
        <v>0</v>
      </c>
      <c r="G30" s="1303">
        <f>SUM(G28:G29)</f>
        <v>0</v>
      </c>
      <c r="H30" s="2882"/>
      <c r="I30" s="2882"/>
      <c r="J30" s="2882"/>
      <c r="K30" s="2882"/>
      <c r="L30" s="2882"/>
      <c r="M30" s="2882"/>
      <c r="N30" s="2882"/>
      <c r="O30" s="2882"/>
      <c r="P30" s="2882"/>
    </row>
    <row r="31" spans="1:19" ht="15.75" thickBot="1">
      <c r="A31" s="1861"/>
      <c r="B31" s="1862"/>
      <c r="C31" s="943" t="s">
        <v>1844</v>
      </c>
      <c r="D31" s="684">
        <f>D27+D30</f>
        <v>43638</v>
      </c>
      <c r="E31" s="684">
        <f>E27+E30</f>
        <v>34910.400000000001</v>
      </c>
      <c r="F31" s="685">
        <f>F27+F30</f>
        <v>34910.400000000001</v>
      </c>
      <c r="G31" s="686">
        <f>G27+G30</f>
        <v>0</v>
      </c>
      <c r="H31" s="2882"/>
      <c r="I31" s="2882"/>
      <c r="J31" s="2882"/>
      <c r="K31" s="2882"/>
      <c r="L31" s="2882"/>
      <c r="M31" s="2882"/>
      <c r="N31" s="2882"/>
      <c r="O31" s="2882"/>
      <c r="P31" s="2882"/>
    </row>
    <row r="32" spans="1:19">
      <c r="A32" s="1827"/>
      <c r="B32" s="1827" t="s">
        <v>1845</v>
      </c>
      <c r="C32" s="1827"/>
      <c r="D32" s="1827"/>
      <c r="E32" s="1183">
        <f>SUMIF(C19:C26,"*住宅*",E19:E26)</f>
        <v>0</v>
      </c>
      <c r="F32" s="1827"/>
      <c r="G32" s="1827"/>
      <c r="H32" s="2882"/>
      <c r="I32" s="2882"/>
      <c r="J32" s="2882"/>
      <c r="K32" s="2882"/>
      <c r="L32" s="2882"/>
      <c r="M32" s="2882"/>
      <c r="N32" s="2882"/>
      <c r="O32" s="2882"/>
      <c r="P32" s="2882"/>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39" activePane="bottomRight" state="frozen"/>
      <selection activeCell="C50" sqref="C50"/>
      <selection pane="topRight" activeCell="C50" sqref="C50"/>
      <selection pane="bottomLeft" activeCell="C50" sqref="C50"/>
      <selection pane="bottomRight" activeCell="A40" sqref="A4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5"/>
      <c r="AO1" s="2895"/>
      <c r="AP1" s="2895"/>
      <c r="AQ1" s="2895"/>
      <c r="AR1" s="2895"/>
    </row>
    <row r="2" spans="1:67" s="1743" customFormat="1" ht="15.75" thickBot="1">
      <c r="A2" s="1868" t="s">
        <v>1847</v>
      </c>
      <c r="B2" s="1175">
        <f>项目基本情况!D3</f>
        <v>44332</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7"/>
      <c r="AO2" s="2897"/>
      <c r="AP2" s="2897"/>
      <c r="AQ2" s="2897"/>
      <c r="AR2" s="289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7"/>
      <c r="AO3" s="2897"/>
      <c r="AP3" s="2897"/>
      <c r="AQ3" s="2897"/>
      <c r="AR3" s="289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1"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7"/>
      <c r="AO4" s="2897"/>
      <c r="AP4" s="2897"/>
      <c r="AQ4" s="2897"/>
      <c r="AR4" s="289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3179</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仓储</v>
      </c>
      <c r="B6" s="1898" t="str">
        <f>IF(A6=0,"","经营性")</f>
        <v>经营性</v>
      </c>
      <c r="C6" s="1899" t="s">
        <v>6</v>
      </c>
      <c r="D6" s="966">
        <f>SUMIF(项目基本情况!D$12:I$12,C6,项目基本情况!D$14:I$14)</f>
        <v>50</v>
      </c>
      <c r="E6" s="965">
        <f>IF(B6="","",SUMIF(项目基本情况!D$12:I$12,C6,项目基本情况!D$13:I$13))</f>
        <v>58329</v>
      </c>
      <c r="F6" s="68">
        <f>SUMIF(项目基本情况!D$12:I$12,C6,项目基本情况!D$15:I$15)</f>
        <v>38.340000000000003</v>
      </c>
      <c r="G6" s="69">
        <f>IF(ISERROR(ROUND(POWER(1+H6,D6-F6)*(POWER(1+H6,F6)-1)/(POWER(1+H6,D6)-1),3)),0,ROUND(POWER(1+H6,D6-F6)*(POWER(1+H6,F6)-1)/(POWER(1+H6,D6)-1),3))</f>
        <v>0.91700000000000004</v>
      </c>
      <c r="H6" s="740">
        <v>4.4999999999999998E-2</v>
      </c>
      <c r="I6" s="740">
        <v>0.05</v>
      </c>
      <c r="J6" s="70">
        <v>8.5000000000000006E-2</v>
      </c>
      <c r="K6" s="1160">
        <f>SUMIF('数据-汇总表'!C$19:C$33,A6,'数据-汇总表'!E$19:E$33)</f>
        <v>34910.400000000001</v>
      </c>
      <c r="L6" s="741">
        <v>1000</v>
      </c>
      <c r="M6" s="71">
        <f t="shared" ref="M6:M14" si="0">ROUND(K6*L6/10000,0)</f>
        <v>3491</v>
      </c>
      <c r="N6" s="739">
        <v>0</v>
      </c>
      <c r="O6" s="71">
        <f>IF($N$5="成新度","——",ROUND(M6*N6,0))</f>
        <v>0</v>
      </c>
      <c r="P6" s="72">
        <f>IF($N$5="成新度","——",M6-O6)</f>
        <v>3491</v>
      </c>
      <c r="Q6" s="742">
        <v>0.05</v>
      </c>
      <c r="R6" s="73">
        <f ca="1">SUMIF('数据-汇总表'!C$19:C$33,A6,'数据-汇总表'!R$19:R$27)</f>
        <v>43638</v>
      </c>
      <c r="S6" s="54">
        <f>IF('数据-汇总表'!$I$17="按面积比例",SUMIF('数据-汇总表'!C$19:C$33,A6,'数据-汇总表'!K$19:K$33),SUMIF('数据-汇总表'!C$19:C$33,A6,'数据-汇总表'!N$19:N$33))</f>
        <v>0</v>
      </c>
      <c r="T6" s="1333">
        <f>ROUND($L$14*S6/10000,0)</f>
        <v>0</v>
      </c>
      <c r="U6" s="74">
        <v>0.25</v>
      </c>
      <c r="V6" s="75">
        <v>2.5000000000000001E-2</v>
      </c>
      <c r="W6" s="75">
        <v>0.15</v>
      </c>
      <c r="X6" s="1170"/>
      <c r="Y6" s="76">
        <f>N6</f>
        <v>0</v>
      </c>
      <c r="Z6" s="77"/>
      <c r="AA6" s="70"/>
      <c r="AB6" s="70"/>
      <c r="AC6" s="1170"/>
      <c r="AD6" s="78"/>
      <c r="AE6" s="1171">
        <f ca="1">IF(AN6="",0,SUMIF(INDIRECT("'"&amp;AN6&amp;"'"&amp;"!E:E"),$AE$5,INDIRECT("'"&amp;AN6&amp;"'"&amp;"!F:F")))</f>
        <v>38.340000000000003</v>
      </c>
      <c r="AF6" s="1531"/>
      <c r="AG6" s="142">
        <f>IF(AF6="",0,AE6-AF6)</f>
        <v>0</v>
      </c>
      <c r="AH6" s="79"/>
      <c r="AI6" s="81">
        <v>365</v>
      </c>
      <c r="AJ6" s="82"/>
      <c r="AK6" s="83">
        <v>5.0000000000000001E-3</v>
      </c>
      <c r="AL6" s="84">
        <v>1E-3</v>
      </c>
      <c r="AM6" s="85">
        <v>0.01</v>
      </c>
      <c r="AN6" s="1900" t="s">
        <v>3093</v>
      </c>
      <c r="AO6" s="55">
        <f ca="1">SUMIF(INDIRECT("'"&amp;AN6&amp;"'"&amp;"!A:A"),"总价",INDIRECT("'"&amp;AN6&amp;"'"&amp;"!B:B"))</f>
        <v>4631</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t="s">
        <v>6</v>
      </c>
      <c r="D7" s="966">
        <f>SUMIF(项目基本情况!D$12:I$12,C7,项目基本情况!D$14:I$14)</f>
        <v>50</v>
      </c>
      <c r="E7" s="965" t="str">
        <f>IF(B7="","",SUMIF(项目基本情况!D$12:I$12,C7,项目基本情况!D$13:I$13))</f>
        <v/>
      </c>
      <c r="F7" s="68">
        <f>SUMIF(项目基本情况!D$12:I$12,C7,项目基本情况!D$15:I$15)</f>
        <v>38.340000000000003</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5"/>
      <c r="AO14" s="2897"/>
      <c r="AP14" s="2897"/>
      <c r="AQ14" s="2897"/>
      <c r="AR14" s="289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5"/>
      <c r="AO15" s="2897"/>
      <c r="AP15" s="2897"/>
      <c r="AQ15" s="2897"/>
      <c r="AR15" s="289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0.91700000000000004</v>
      </c>
      <c r="H16" s="95">
        <f>ROUND(SUMPRODUCT(H6:H13,K6:K13)/SUMPRODUCT((H6:H13&gt;0)*(K6:K13)),3)</f>
        <v>4.4999999999999998E-2</v>
      </c>
      <c r="I16" s="96"/>
      <c r="J16" s="96"/>
      <c r="K16" s="97">
        <f>SUM(K6:K15)</f>
        <v>34910.400000000001</v>
      </c>
      <c r="L16" s="98">
        <f>ROUND(M16*10000/SUM(K6:K14),0)</f>
        <v>1000</v>
      </c>
      <c r="M16" s="98">
        <f>SUM(M6:M14)</f>
        <v>3491</v>
      </c>
      <c r="N16" s="99">
        <f>ROUND(SUMPRODUCT(M6:M14,N6:N14)/M16,3)</f>
        <v>0</v>
      </c>
      <c r="O16" s="98">
        <f>SUM(O6:O14)</f>
        <v>0</v>
      </c>
      <c r="P16" s="98">
        <f>SUM(P6:P14)</f>
        <v>3491</v>
      </c>
      <c r="Q16" s="100">
        <f>ROUND(SUMPRODUCT(Q6:Q13,K6:K13)/SUMPRODUCT((Q6:Q13&gt;0)*(K6:K13)),2)</f>
        <v>0.05</v>
      </c>
      <c r="R16" s="1164">
        <f ca="1">SUM(R6:R13)</f>
        <v>43638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7" t="s">
        <v>1897</v>
      </c>
      <c r="B19" s="108">
        <v>0</v>
      </c>
      <c r="C19" s="3025" t="s">
        <v>3048</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8" t="s">
        <v>1898</v>
      </c>
      <c r="B20" s="109">
        <v>1</v>
      </c>
      <c r="C20" s="3026" t="s">
        <v>3046</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9" t="s">
        <v>1899</v>
      </c>
      <c r="B21" s="109">
        <v>1</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8" t="s">
        <v>1900</v>
      </c>
      <c r="B22" s="110">
        <f>B19+B20</f>
        <v>1</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9" t="s">
        <v>1901</v>
      </c>
      <c r="B23" s="110">
        <f>B19+B21</f>
        <v>1</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0"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1"/>
      <c r="B25" s="1872"/>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8" t="s">
        <v>1903</v>
      </c>
      <c r="B26" s="1911"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3" customFormat="1" ht="27.75">
      <c r="A27" s="1912" t="s">
        <v>1906</v>
      </c>
      <c r="B27" s="3068"/>
      <c r="C27" s="3027" t="s">
        <v>3050</v>
      </c>
      <c r="D27" s="2903"/>
      <c r="E27" s="2884"/>
      <c r="F27" s="2884"/>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3069"/>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6">
        <v>0</v>
      </c>
      <c r="C29" s="3028" t="s">
        <v>3037</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150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5">
        <f>B30-B32</f>
        <v>150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0.03</v>
      </c>
      <c r="C33" s="3029" t="s">
        <v>3038</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7">
        <v>0</v>
      </c>
      <c r="C34" s="3029" t="s">
        <v>3039</v>
      </c>
      <c r="D34" s="2908" t="s">
        <v>3047</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4">
        <v>150</v>
      </c>
      <c r="C35" s="3029" t="s">
        <v>3040</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8">
        <v>1.4999999999999999E-2</v>
      </c>
      <c r="C36" s="3029" t="s">
        <v>3041</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6" t="s">
        <v>1916</v>
      </c>
      <c r="B37" s="119">
        <v>1.4999999999999999E-2</v>
      </c>
      <c r="C37" s="3029" t="s">
        <v>3042</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4" t="s">
        <v>1917</v>
      </c>
      <c r="B38" s="117">
        <v>1.4999999999999999E-2</v>
      </c>
      <c r="C38" s="3029" t="s">
        <v>3042</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7"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3091</v>
      </c>
      <c r="B40" s="1209">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2" t="s">
        <v>1919</v>
      </c>
      <c r="B41" s="120">
        <f>B42+B43</f>
        <v>5.5000000000000007E-2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8"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8" t="s">
        <v>1921</v>
      </c>
      <c r="B43" s="122">
        <f>B42*(B44+B45+B46)+B47</f>
        <v>5.000000000000001E-3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9" t="s">
        <v>1922</v>
      </c>
      <c r="B44" s="123">
        <v>0.05</v>
      </c>
      <c r="C44" s="3029" t="s">
        <v>3051</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9" t="s">
        <v>1923</v>
      </c>
      <c r="B45" s="121">
        <v>0.03</v>
      </c>
      <c r="C45" s="3028" t="s">
        <v>3043</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9" t="s">
        <v>1924</v>
      </c>
      <c r="B46" s="121">
        <v>0.02</v>
      </c>
      <c r="C46" s="3028" t="s">
        <v>3044</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0" t="s">
        <v>1925</v>
      </c>
      <c r="B47" s="124">
        <v>0</v>
      </c>
      <c r="C47" s="3031" t="s">
        <v>3052</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1" t="s">
        <v>1926</v>
      </c>
      <c r="B48" s="125">
        <v>0.03</v>
      </c>
      <c r="C48" s="3028" t="s">
        <v>3043</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7" t="s">
        <v>1927</v>
      </c>
      <c r="B49" s="121">
        <v>5.0000000000000001E-4</v>
      </c>
      <c r="C49" s="3028" t="s">
        <v>3045</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2" t="s">
        <v>1928</v>
      </c>
      <c r="B50" s="126">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5" t="s">
        <v>1929</v>
      </c>
      <c r="B51" s="127">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2" t="s">
        <v>1930</v>
      </c>
      <c r="B52" s="128">
        <f>SUMIF(A54:A63,B53,B54:B63)</f>
        <v>1.5</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4" t="s">
        <v>1931</v>
      </c>
      <c r="B53" s="1923" t="s">
        <v>56</v>
      </c>
      <c r="C53" s="2884" t="s">
        <v>1932</v>
      </c>
      <c r="D53" s="3030" t="s">
        <v>3049</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4" t="s">
        <v>1933</v>
      </c>
      <c r="B54" s="80">
        <v>16</v>
      </c>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4" t="s">
        <v>1934</v>
      </c>
      <c r="B55" s="80">
        <v>12</v>
      </c>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4" t="s">
        <v>1935</v>
      </c>
      <c r="B56" s="80">
        <v>8</v>
      </c>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4" t="s">
        <v>1936</v>
      </c>
      <c r="B57" s="80">
        <v>4</v>
      </c>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4" t="s">
        <v>1937</v>
      </c>
      <c r="B58" s="80">
        <v>2</v>
      </c>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4" t="s">
        <v>1938</v>
      </c>
      <c r="B59" s="3063">
        <v>1.5</v>
      </c>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4"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4"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4"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5"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0"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0"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0"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0"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0"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2" customWidth="1"/>
    <col min="4" max="4" width="2.625" style="2732" customWidth="1"/>
    <col min="5" max="5" width="5.875" style="2732" customWidth="1"/>
    <col min="6" max="6" width="27" style="1756"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6"/>
    <col min="30" max="16384" width="9" style="1871"/>
  </cols>
  <sheetData>
    <row r="1" spans="1:29" s="2679" customFormat="1" ht="18.75" thickBot="1">
      <c r="A1" s="3160" t="s">
        <v>3029</v>
      </c>
      <c r="B1" s="3161"/>
      <c r="C1" s="3161"/>
      <c r="D1" s="3161"/>
      <c r="E1" s="3161"/>
      <c r="F1" s="3161"/>
      <c r="G1" s="3161"/>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3024</v>
      </c>
      <c r="D2" s="2683"/>
      <c r="E2" s="2680"/>
      <c r="F2" s="2684"/>
      <c r="G2" s="2682" t="s">
        <v>3025</v>
      </c>
      <c r="H2" s="906"/>
      <c r="I2" s="906"/>
      <c r="J2" s="906"/>
      <c r="K2" s="906"/>
      <c r="L2" s="906"/>
      <c r="M2" s="906"/>
      <c r="N2" s="906"/>
      <c r="O2" s="906"/>
      <c r="P2" s="906"/>
      <c r="Q2" s="906"/>
      <c r="R2" s="906"/>
    </row>
    <row r="3" spans="1:29" ht="48">
      <c r="A3" s="2663" t="s">
        <v>3026</v>
      </c>
      <c r="B3" s="2685" t="s">
        <v>2995</v>
      </c>
      <c r="C3" s="2686" t="s">
        <v>3027</v>
      </c>
      <c r="D3" s="2687"/>
      <c r="E3" s="2664" t="s">
        <v>3026</v>
      </c>
      <c r="F3" s="2688" t="s">
        <v>2996</v>
      </c>
      <c r="G3" s="2689" t="s">
        <v>3028</v>
      </c>
      <c r="H3" s="906"/>
      <c r="I3" s="906"/>
      <c r="J3" s="906"/>
      <c r="K3" s="906"/>
      <c r="L3" s="906"/>
      <c r="M3" s="906"/>
      <c r="N3" s="906"/>
      <c r="O3" s="906"/>
      <c r="P3" s="906"/>
      <c r="Q3" s="906"/>
      <c r="R3" s="906"/>
    </row>
    <row r="4" spans="1:29" ht="36.75">
      <c r="A4" s="2664"/>
      <c r="B4" s="328" t="s">
        <v>2997</v>
      </c>
      <c r="C4" s="2690" t="s">
        <v>2998</v>
      </c>
      <c r="D4" s="2687"/>
      <c r="E4" s="2691"/>
      <c r="F4" s="1556" t="s">
        <v>2999</v>
      </c>
      <c r="G4" s="2692" t="s">
        <v>3000</v>
      </c>
      <c r="H4" s="906"/>
      <c r="I4" s="906"/>
      <c r="J4" s="906"/>
      <c r="K4" s="906"/>
      <c r="L4" s="906"/>
      <c r="M4" s="906"/>
      <c r="N4" s="906"/>
      <c r="O4" s="906"/>
      <c r="P4" s="906"/>
      <c r="Q4" s="906"/>
      <c r="R4" s="906"/>
    </row>
    <row r="5" spans="1:29" ht="36.75">
      <c r="A5" s="2664"/>
      <c r="B5" s="328" t="s">
        <v>3001</v>
      </c>
      <c r="C5" s="2690" t="s">
        <v>3002</v>
      </c>
      <c r="D5" s="2687"/>
      <c r="E5" s="2691"/>
      <c r="F5" s="328" t="s">
        <v>3003</v>
      </c>
      <c r="G5" s="2692" t="s">
        <v>3004</v>
      </c>
      <c r="H5" s="906"/>
      <c r="I5" s="906"/>
      <c r="J5" s="906"/>
      <c r="K5" s="906"/>
      <c r="L5" s="906"/>
      <c r="M5" s="906"/>
      <c r="N5" s="906"/>
      <c r="O5" s="906"/>
      <c r="P5" s="906"/>
      <c r="Q5" s="906"/>
      <c r="R5" s="906"/>
    </row>
    <row r="6" spans="1:29" ht="36">
      <c r="A6" s="2664"/>
      <c r="B6" s="328" t="s">
        <v>3005</v>
      </c>
      <c r="C6" s="2692" t="s">
        <v>3000</v>
      </c>
      <c r="D6" s="2687"/>
      <c r="E6" s="2691"/>
      <c r="F6" s="328" t="s">
        <v>3006</v>
      </c>
      <c r="G6" s="2692" t="s">
        <v>3007</v>
      </c>
      <c r="H6" s="906"/>
      <c r="I6" s="906"/>
      <c r="J6" s="906"/>
      <c r="K6" s="906"/>
      <c r="L6" s="906"/>
      <c r="M6" s="906"/>
      <c r="N6" s="906"/>
      <c r="O6" s="906"/>
      <c r="P6" s="906"/>
      <c r="Q6" s="906"/>
      <c r="R6" s="906"/>
    </row>
    <row r="7" spans="1:29" ht="24.75" thickBot="1">
      <c r="A7" s="2664"/>
      <c r="B7" s="328" t="s">
        <v>3003</v>
      </c>
      <c r="C7" s="2692" t="s">
        <v>3004</v>
      </c>
      <c r="D7" s="2693"/>
      <c r="E7" s="2694"/>
      <c r="F7" s="2695" t="s">
        <v>3008</v>
      </c>
      <c r="G7" s="2696" t="s">
        <v>3009</v>
      </c>
      <c r="H7" s="906"/>
      <c r="I7" s="906"/>
      <c r="J7" s="906"/>
      <c r="K7" s="906"/>
      <c r="L7" s="906"/>
      <c r="M7" s="906"/>
      <c r="N7" s="906"/>
      <c r="O7" s="906"/>
      <c r="P7" s="906"/>
      <c r="Q7" s="906"/>
      <c r="R7" s="906"/>
    </row>
    <row r="8" spans="1:29">
      <c r="A8" s="2664"/>
      <c r="B8" s="328" t="s">
        <v>3006</v>
      </c>
      <c r="C8" s="2692" t="s">
        <v>3007</v>
      </c>
      <c r="D8" s="2693"/>
      <c r="E8" s="2693"/>
      <c r="F8" s="2697"/>
      <c r="G8" s="2697"/>
      <c r="H8" s="906"/>
      <c r="I8" s="906"/>
      <c r="J8" s="906"/>
      <c r="K8" s="906"/>
      <c r="L8" s="906"/>
      <c r="M8" s="906"/>
      <c r="N8" s="906"/>
      <c r="O8" s="906"/>
      <c r="P8" s="906"/>
      <c r="Q8" s="906"/>
      <c r="R8" s="906"/>
    </row>
    <row r="9" spans="1:29" ht="24">
      <c r="A9" s="2664"/>
      <c r="B9" s="328" t="s">
        <v>3010</v>
      </c>
      <c r="C9" s="2690" t="s">
        <v>3011</v>
      </c>
      <c r="D9" s="2687"/>
      <c r="E9" s="2693"/>
      <c r="F9" s="2697"/>
      <c r="G9" s="2697"/>
      <c r="H9" s="906"/>
      <c r="I9" s="906"/>
      <c r="J9" s="906"/>
      <c r="K9" s="906"/>
      <c r="L9" s="906"/>
      <c r="M9" s="906"/>
      <c r="N9" s="906"/>
      <c r="O9" s="906"/>
      <c r="P9" s="906"/>
      <c r="Q9" s="906"/>
      <c r="R9" s="906"/>
    </row>
    <row r="10" spans="1:29" s="2703" customFormat="1" ht="15" thickBot="1">
      <c r="A10" s="2665"/>
      <c r="B10" s="2698" t="s">
        <v>3012</v>
      </c>
      <c r="C10" s="2699"/>
      <c r="D10" s="2687"/>
      <c r="E10" s="2687"/>
      <c r="F10" s="2697"/>
      <c r="G10" s="2697"/>
      <c r="H10" s="2700"/>
      <c r="I10" s="2701"/>
      <c r="J10" s="2702"/>
      <c r="K10" s="2700"/>
      <c r="L10" s="2701"/>
      <c r="M10" s="2702"/>
      <c r="N10" s="2700"/>
      <c r="O10" s="2701"/>
      <c r="P10" s="2702"/>
      <c r="Q10" s="2700"/>
      <c r="R10" s="2701"/>
      <c r="S10" s="906"/>
      <c r="T10" s="906"/>
      <c r="U10" s="906"/>
      <c r="V10" s="906"/>
      <c r="W10" s="906"/>
      <c r="X10" s="906"/>
      <c r="Y10" s="906"/>
      <c r="Z10" s="906"/>
      <c r="AA10" s="906"/>
      <c r="AB10" s="906"/>
      <c r="AC10" s="906"/>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6"/>
      <c r="T11" s="906"/>
      <c r="U11" s="906"/>
      <c r="V11" s="906"/>
      <c r="W11" s="906"/>
      <c r="X11" s="906"/>
      <c r="Y11" s="906"/>
      <c r="Z11" s="906"/>
      <c r="AA11" s="906"/>
      <c r="AB11" s="906"/>
      <c r="AC11" s="906"/>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3030</v>
      </c>
      <c r="B13" s="2706"/>
      <c r="C13" s="2706"/>
      <c r="D13" s="2704"/>
      <c r="E13" s="2706"/>
      <c r="F13" s="2706"/>
      <c r="G13" s="2706"/>
    </row>
    <row r="14" spans="1:29" ht="15" thickBot="1">
      <c r="A14" s="2716"/>
      <c r="B14" s="2716"/>
      <c r="C14" s="2717" t="s">
        <v>3013</v>
      </c>
      <c r="D14" s="2687"/>
      <c r="E14" s="2718"/>
      <c r="F14" s="2718"/>
      <c r="G14" s="2682" t="s">
        <v>3014</v>
      </c>
    </row>
    <row r="15" spans="1:29" ht="51">
      <c r="A15" s="2666" t="s">
        <v>3015</v>
      </c>
      <c r="B15" s="2719" t="s">
        <v>2995</v>
      </c>
      <c r="C15" s="2720" t="str">
        <f>C3</f>
        <v>估价对象周边居住用地比例、居住小区规模和社区发展完善程度，综合评价居住社区成熟度一般</v>
      </c>
      <c r="D15" s="2687"/>
      <c r="E15" s="2667" t="s">
        <v>3016</v>
      </c>
      <c r="F15" s="2719" t="s">
        <v>3017</v>
      </c>
      <c r="G15" s="2721" t="str">
        <f>G3</f>
        <v>估价对象位于XX开发区，园区建设成熟度XX，产业集聚程度XX</v>
      </c>
    </row>
    <row r="16" spans="1:29" ht="38.25">
      <c r="A16" s="2668"/>
      <c r="B16" s="2722" t="s">
        <v>2997</v>
      </c>
      <c r="C16" s="2723" t="str">
        <f>C4</f>
        <v>估价对象位于XX商圈，周边商业氛围成熟，人流量大，商业繁华度好</v>
      </c>
      <c r="D16" s="2687"/>
      <c r="E16" s="2669"/>
      <c r="F16" s="2724" t="s">
        <v>2999</v>
      </c>
      <c r="G16" s="2725" t="str">
        <f>G4</f>
        <v>估价对象周边道路状况、公共交通通达情况、停车便捷程度，综合评价交通便捷度较好</v>
      </c>
    </row>
    <row r="17" spans="1:18" ht="38.25">
      <c r="A17" s="2668"/>
      <c r="B17" s="2722" t="s">
        <v>3001</v>
      </c>
      <c r="C17" s="2723" t="str">
        <f>C5</f>
        <v>估价对象位于XX商圈，周边办公楼项目较多，入驻率高，办公集聚程度较好</v>
      </c>
      <c r="D17" s="2693"/>
      <c r="E17" s="2669"/>
      <c r="F17" s="2724" t="s">
        <v>3018</v>
      </c>
      <c r="G17" s="2726"/>
    </row>
    <row r="18" spans="1:18" ht="38.25">
      <c r="A18" s="2668"/>
      <c r="B18" s="2724" t="s">
        <v>3005</v>
      </c>
      <c r="C18" s="2725" t="str">
        <f>C6</f>
        <v>估价对象周边道路状况、公共交通通达情况、停车便捷程度，综合评价交通便捷度较好</v>
      </c>
      <c r="D18" s="2693"/>
      <c r="E18" s="2669"/>
      <c r="F18" s="2724" t="s">
        <v>3008</v>
      </c>
      <c r="G18" s="2725" t="str">
        <f>G7</f>
        <v>该园区内是否有污染型企业，绿化情况，卫生条件，整体环境状况判断</v>
      </c>
    </row>
    <row r="19" spans="1:18" ht="25.5">
      <c r="A19" s="2668"/>
      <c r="B19" s="2724" t="s">
        <v>3019</v>
      </c>
      <c r="C19" s="2726"/>
      <c r="D19" s="2687"/>
      <c r="E19" s="2669"/>
      <c r="F19" s="328" t="s">
        <v>3003</v>
      </c>
      <c r="G19" s="2725" t="str">
        <f>G5</f>
        <v>估价对象所在区域公共配套设施齐备情况</v>
      </c>
    </row>
    <row r="20" spans="1:18" ht="25.5">
      <c r="A20" s="2668"/>
      <c r="B20" s="2724" t="s">
        <v>3020</v>
      </c>
      <c r="C20" s="2723" t="str">
        <f>C9</f>
        <v>区域自然环境：；人文环境；综合评价环境状况一般</v>
      </c>
      <c r="D20" s="2693"/>
      <c r="E20" s="2669"/>
      <c r="F20" s="328" t="s">
        <v>3006</v>
      </c>
      <c r="G20" s="2725" t="str">
        <f>G6</f>
        <v>估价对象所在区域基础设施水平</v>
      </c>
    </row>
    <row r="21" spans="1:18" ht="25.5">
      <c r="A21" s="2668"/>
      <c r="B21" s="328" t="s">
        <v>3003</v>
      </c>
      <c r="C21" s="2725" t="str">
        <f>C7</f>
        <v>估价对象所在区域公共配套设施齐备情况</v>
      </c>
      <c r="D21" s="2687"/>
      <c r="E21" s="2669"/>
      <c r="F21" s="2724" t="s">
        <v>3021</v>
      </c>
      <c r="G21" s="2727"/>
    </row>
    <row r="22" spans="1:18" ht="13.5" customHeight="1">
      <c r="A22" s="2668"/>
      <c r="B22" s="328" t="s">
        <v>3006</v>
      </c>
      <c r="C22" s="2725" t="str">
        <f>C8</f>
        <v>估价对象所在区域基础设施水平</v>
      </c>
      <c r="D22" s="2687"/>
      <c r="E22" s="2669"/>
      <c r="F22" s="2724" t="s">
        <v>3012</v>
      </c>
      <c r="G22" s="2726"/>
    </row>
    <row r="23" spans="1:18" s="906" customFormat="1" ht="15" thickBot="1">
      <c r="A23" s="2668"/>
      <c r="B23" s="2724" t="s">
        <v>3021</v>
      </c>
      <c r="C23" s="2727"/>
      <c r="D23" s="1926"/>
      <c r="E23" s="2670"/>
      <c r="F23" s="2728" t="s">
        <v>3022</v>
      </c>
      <c r="G23" s="2729"/>
      <c r="H23" s="2713"/>
      <c r="I23" s="2714"/>
      <c r="J23" s="2713"/>
      <c r="K23" s="2713"/>
      <c r="L23" s="2714"/>
      <c r="M23" s="2713"/>
      <c r="N23" s="2713"/>
      <c r="O23" s="2714"/>
      <c r="P23" s="2713"/>
      <c r="Q23" s="2713"/>
      <c r="R23" s="2715"/>
    </row>
    <row r="24" spans="1:18" s="906" customFormat="1" ht="15" thickBot="1">
      <c r="A24" s="2671"/>
      <c r="B24" s="2728" t="s">
        <v>3023</v>
      </c>
      <c r="C24" s="2730">
        <f>C10</f>
        <v>0</v>
      </c>
      <c r="D24" s="1926"/>
      <c r="E24" s="2661"/>
      <c r="F24" s="2661"/>
      <c r="G24" s="2731"/>
      <c r="H24" s="2713"/>
      <c r="I24" s="2714"/>
      <c r="J24" s="2713"/>
      <c r="K24" s="2713"/>
      <c r="L24" s="2714"/>
      <c r="M24" s="2713"/>
      <c r="N24" s="2713"/>
      <c r="O24" s="2714"/>
      <c r="P24" s="2713"/>
      <c r="Q24" s="2713"/>
      <c r="R24" s="2715"/>
    </row>
    <row r="25" spans="1:18" s="906" customFormat="1">
      <c r="B25" s="2713"/>
      <c r="C25" s="2713"/>
      <c r="D25" s="2713"/>
      <c r="H25" s="2713"/>
      <c r="I25" s="2714"/>
      <c r="J25" s="2713"/>
      <c r="K25" s="2713"/>
      <c r="L25" s="2714"/>
      <c r="M25" s="2713"/>
      <c r="N25" s="2713"/>
      <c r="O25" s="2714"/>
      <c r="P25" s="2713"/>
      <c r="Q25" s="2713"/>
      <c r="R25" s="2715"/>
    </row>
    <row r="26" spans="1:18" s="906" customFormat="1">
      <c r="B26" s="2713"/>
      <c r="C26" s="2713"/>
      <c r="D26" s="2713"/>
      <c r="H26" s="2713"/>
      <c r="I26" s="2714"/>
      <c r="J26" s="2713"/>
      <c r="K26" s="2713"/>
      <c r="L26" s="2714"/>
      <c r="M26" s="2713"/>
      <c r="N26" s="2713"/>
      <c r="O26" s="2714"/>
      <c r="P26" s="2713"/>
      <c r="Q26" s="2713"/>
      <c r="R26" s="2715"/>
    </row>
    <row r="27" spans="1:18" s="906" customFormat="1">
      <c r="B27" s="2713"/>
      <c r="C27" s="2713"/>
      <c r="D27" s="2713"/>
      <c r="H27" s="2713"/>
      <c r="I27" s="2714"/>
      <c r="J27" s="2713"/>
      <c r="K27" s="2713"/>
      <c r="L27" s="2714"/>
      <c r="M27" s="2713"/>
      <c r="N27" s="2713"/>
      <c r="O27" s="2714"/>
      <c r="P27" s="2713"/>
      <c r="Q27" s="2713"/>
      <c r="R27" s="2715"/>
    </row>
    <row r="28" spans="1:18" s="906" customFormat="1">
      <c r="B28" s="2713"/>
      <c r="C28" s="2713"/>
      <c r="D28" s="2713"/>
      <c r="H28" s="2713"/>
      <c r="I28" s="2714"/>
      <c r="J28" s="2713"/>
      <c r="K28" s="2713"/>
      <c r="L28" s="2714"/>
      <c r="M28" s="2713"/>
      <c r="N28" s="2713"/>
      <c r="O28" s="2714"/>
      <c r="P28" s="2713"/>
      <c r="Q28" s="2713"/>
      <c r="R28" s="2715"/>
    </row>
    <row r="29" spans="1:18" s="906" customFormat="1">
      <c r="B29" s="2713"/>
      <c r="C29" s="2713"/>
      <c r="D29" s="2713"/>
      <c r="H29" s="2713"/>
      <c r="I29" s="2714"/>
      <c r="J29" s="2713"/>
      <c r="K29" s="2713"/>
      <c r="L29" s="2714"/>
      <c r="M29" s="2713"/>
      <c r="N29" s="2713"/>
      <c r="O29" s="2714"/>
      <c r="P29" s="2713"/>
      <c r="Q29" s="2713"/>
      <c r="R29" s="2715"/>
    </row>
    <row r="30" spans="1:18" s="906" customFormat="1">
      <c r="B30" s="2713"/>
      <c r="C30" s="2713"/>
      <c r="D30" s="2713"/>
      <c r="H30" s="2713"/>
      <c r="I30" s="2714"/>
      <c r="J30" s="2713"/>
      <c r="K30" s="2713"/>
      <c r="L30" s="2714"/>
      <c r="M30" s="2713"/>
      <c r="N30" s="2713"/>
      <c r="O30" s="2714"/>
      <c r="P30" s="2713"/>
      <c r="Q30" s="2713"/>
      <c r="R30" s="2715"/>
    </row>
    <row r="31" spans="1:18" s="906" customFormat="1">
      <c r="B31" s="2713"/>
      <c r="C31" s="2713"/>
      <c r="D31" s="2713"/>
      <c r="H31" s="2713"/>
      <c r="I31" s="2714"/>
      <c r="J31" s="2713"/>
      <c r="K31" s="2713"/>
      <c r="L31" s="2714"/>
      <c r="M31" s="2713"/>
      <c r="N31" s="2713"/>
      <c r="O31" s="2714"/>
      <c r="P31" s="2713"/>
      <c r="Q31" s="2713"/>
      <c r="R31" s="2715"/>
    </row>
    <row r="32" spans="1:18" s="906" customFormat="1">
      <c r="B32" s="2713"/>
      <c r="C32" s="2713"/>
      <c r="D32" s="2713"/>
      <c r="H32" s="2713"/>
      <c r="I32" s="2714"/>
      <c r="J32" s="2713"/>
      <c r="K32" s="2713"/>
      <c r="L32" s="2714"/>
      <c r="M32" s="2713"/>
      <c r="N32" s="2713"/>
      <c r="O32" s="2714"/>
      <c r="P32" s="2713"/>
      <c r="Q32" s="2713"/>
      <c r="R32" s="2715"/>
    </row>
    <row r="33" spans="2:18" s="906" customFormat="1">
      <c r="B33" s="2713"/>
      <c r="C33" s="2713"/>
      <c r="D33" s="2713"/>
      <c r="H33" s="2713"/>
      <c r="I33" s="2714"/>
      <c r="J33" s="2713"/>
      <c r="K33" s="2713"/>
      <c r="L33" s="2714"/>
      <c r="M33" s="2713"/>
      <c r="N33" s="2713"/>
      <c r="O33" s="2714"/>
      <c r="P33" s="2713"/>
      <c r="Q33" s="2713"/>
      <c r="R33" s="2715"/>
    </row>
    <row r="34" spans="2:18" s="906" customFormat="1">
      <c r="B34" s="2713"/>
      <c r="C34" s="2713"/>
      <c r="D34" s="2713"/>
      <c r="H34" s="2713"/>
      <c r="I34" s="2714"/>
      <c r="J34" s="2713"/>
      <c r="K34" s="2713"/>
      <c r="L34" s="2714"/>
      <c r="M34" s="2713"/>
      <c r="N34" s="2713"/>
      <c r="O34" s="2714"/>
      <c r="P34" s="2713"/>
      <c r="Q34" s="2713"/>
      <c r="R34" s="2715"/>
    </row>
    <row r="35" spans="2:18" s="906" customFormat="1">
      <c r="B35" s="2713"/>
      <c r="C35" s="2713"/>
      <c r="D35" s="2713"/>
      <c r="H35" s="2713"/>
      <c r="I35" s="2714"/>
      <c r="J35" s="2713"/>
      <c r="K35" s="2713"/>
      <c r="L35" s="2714"/>
      <c r="M35" s="2713"/>
      <c r="N35" s="2713"/>
      <c r="O35" s="2714"/>
      <c r="P35" s="2713"/>
      <c r="Q35" s="2713"/>
      <c r="R35" s="2715"/>
    </row>
    <row r="36" spans="2:18" s="906" customFormat="1">
      <c r="B36" s="2713"/>
      <c r="C36" s="2713"/>
      <c r="D36" s="2713"/>
      <c r="H36" s="2713"/>
      <c r="I36" s="2714"/>
      <c r="J36" s="2713"/>
      <c r="K36" s="2713"/>
      <c r="L36" s="2714"/>
      <c r="M36" s="2713"/>
      <c r="N36" s="2713"/>
      <c r="O36" s="2714"/>
      <c r="P36" s="2713"/>
      <c r="Q36" s="2713"/>
      <c r="R36" s="2715"/>
    </row>
    <row r="37" spans="2:18" s="906" customFormat="1">
      <c r="B37" s="2713"/>
      <c r="C37" s="2713"/>
      <c r="D37" s="2713"/>
      <c r="H37" s="2713"/>
      <c r="I37" s="2714"/>
      <c r="J37" s="2713"/>
      <c r="K37" s="2713"/>
      <c r="L37" s="2714"/>
      <c r="M37" s="2713"/>
      <c r="N37" s="2713"/>
      <c r="O37" s="2714"/>
      <c r="P37" s="2713"/>
      <c r="Q37" s="2713"/>
      <c r="R37" s="2715"/>
    </row>
    <row r="38" spans="2:18" s="906" customFormat="1">
      <c r="B38" s="2713"/>
      <c r="C38" s="2713"/>
      <c r="D38" s="2713"/>
      <c r="E38" s="2713"/>
      <c r="F38" s="2713"/>
      <c r="G38" s="2714"/>
      <c r="H38" s="2713"/>
      <c r="I38" s="2714"/>
      <c r="J38" s="2713"/>
      <c r="K38" s="2713"/>
      <c r="L38" s="2714"/>
      <c r="M38" s="2713"/>
      <c r="N38" s="2713"/>
      <c r="O38" s="2714"/>
      <c r="P38" s="2713"/>
      <c r="Q38" s="2713"/>
      <c r="R38" s="2715"/>
    </row>
    <row r="39" spans="2:18" s="906" customFormat="1">
      <c r="B39" s="2713"/>
      <c r="C39" s="2713"/>
      <c r="D39" s="2713"/>
      <c r="E39" s="2713"/>
      <c r="F39" s="2713"/>
      <c r="G39" s="2714"/>
      <c r="H39" s="2713"/>
      <c r="I39" s="2714"/>
      <c r="J39" s="2713"/>
      <c r="K39" s="2713"/>
      <c r="L39" s="2714"/>
      <c r="M39" s="2713"/>
      <c r="N39" s="2713"/>
      <c r="O39" s="2714"/>
      <c r="P39" s="2713"/>
      <c r="Q39" s="2713"/>
      <c r="R39" s="2715"/>
    </row>
    <row r="40" spans="2:18" s="906" customFormat="1">
      <c r="B40" s="2713"/>
      <c r="C40" s="2713"/>
      <c r="D40" s="2713"/>
      <c r="E40" s="2713"/>
      <c r="F40" s="2713"/>
      <c r="G40" s="2714"/>
      <c r="H40" s="2713"/>
      <c r="I40" s="2714"/>
      <c r="J40" s="2713"/>
      <c r="K40" s="2713"/>
      <c r="L40" s="2714"/>
      <c r="M40" s="2713"/>
      <c r="N40" s="2713"/>
      <c r="O40" s="2714"/>
      <c r="P40" s="2713"/>
      <c r="Q40" s="2713"/>
      <c r="R40" s="2715"/>
    </row>
    <row r="41" spans="2:18" s="906" customFormat="1">
      <c r="B41" s="2713"/>
      <c r="C41" s="2713"/>
      <c r="D41" s="2713"/>
      <c r="E41" s="2713"/>
      <c r="F41" s="2713"/>
      <c r="G41" s="2714"/>
      <c r="H41" s="2713"/>
      <c r="I41" s="2714"/>
      <c r="J41" s="2713"/>
      <c r="K41" s="2713"/>
      <c r="L41" s="2714"/>
      <c r="M41" s="2713"/>
      <c r="N41" s="2713"/>
      <c r="O41" s="2714"/>
      <c r="P41" s="2713"/>
      <c r="Q41" s="2713"/>
      <c r="R41" s="2715"/>
    </row>
    <row r="42" spans="2:18" s="906" customFormat="1">
      <c r="B42" s="2713"/>
      <c r="C42" s="2713"/>
      <c r="D42" s="2713"/>
      <c r="E42" s="2713"/>
      <c r="F42" s="2713"/>
      <c r="G42" s="2714"/>
      <c r="H42" s="2713"/>
      <c r="I42" s="2714"/>
      <c r="J42" s="2713"/>
      <c r="K42" s="2713"/>
      <c r="L42" s="2714"/>
      <c r="M42" s="2713"/>
      <c r="N42" s="2713"/>
      <c r="O42" s="2714"/>
      <c r="P42" s="2713"/>
      <c r="Q42" s="2713"/>
      <c r="R42" s="2715"/>
    </row>
    <row r="43" spans="2:18" s="906" customFormat="1">
      <c r="B43" s="2713"/>
      <c r="C43" s="2713"/>
      <c r="D43" s="2713"/>
      <c r="E43" s="2713"/>
      <c r="F43" s="2713"/>
      <c r="G43" s="2714"/>
      <c r="H43" s="2713"/>
      <c r="I43" s="2714"/>
      <c r="J43" s="2713"/>
      <c r="K43" s="2713"/>
      <c r="L43" s="2714"/>
      <c r="M43" s="2713"/>
      <c r="N43" s="2713"/>
      <c r="O43" s="2714"/>
      <c r="P43" s="2713"/>
      <c r="Q43" s="2713"/>
      <c r="R43" s="2715"/>
    </row>
    <row r="44" spans="2:18" s="906" customFormat="1">
      <c r="B44" s="2713"/>
      <c r="C44" s="2713"/>
      <c r="D44" s="2713"/>
      <c r="E44" s="2713"/>
      <c r="F44" s="2713"/>
      <c r="G44" s="2714"/>
      <c r="H44" s="2713"/>
      <c r="I44" s="2714"/>
      <c r="J44" s="2713"/>
      <c r="K44" s="2713"/>
      <c r="L44" s="2714"/>
      <c r="M44" s="2713"/>
      <c r="N44" s="2713"/>
      <c r="O44" s="2714"/>
      <c r="P44" s="2713"/>
      <c r="Q44" s="2713"/>
      <c r="R44" s="2715"/>
    </row>
    <row r="45" spans="2:18" s="906" customFormat="1">
      <c r="B45" s="2713"/>
      <c r="C45" s="2713"/>
      <c r="D45" s="2713"/>
      <c r="E45" s="2713"/>
      <c r="F45" s="2713"/>
      <c r="G45" s="2714"/>
      <c r="H45" s="2713"/>
      <c r="I45" s="2714"/>
      <c r="J45" s="2713"/>
      <c r="K45" s="2713"/>
      <c r="L45" s="2714"/>
      <c r="M45" s="2713"/>
      <c r="N45" s="2713"/>
      <c r="O45" s="2714"/>
      <c r="P45" s="2713"/>
      <c r="Q45" s="2713"/>
      <c r="R45" s="2715"/>
    </row>
    <row r="46" spans="2:18" s="906" customFormat="1">
      <c r="B46" s="2713"/>
      <c r="C46" s="2713"/>
      <c r="D46" s="2713"/>
      <c r="E46" s="2713"/>
      <c r="F46" s="2713"/>
      <c r="G46" s="2714"/>
      <c r="H46" s="2713"/>
      <c r="I46" s="2714"/>
      <c r="J46" s="2713"/>
      <c r="K46" s="2713"/>
      <c r="L46" s="2714"/>
      <c r="M46" s="2713"/>
      <c r="N46" s="2713"/>
      <c r="O46" s="2714"/>
      <c r="P46" s="2713"/>
      <c r="Q46" s="2713"/>
      <c r="R46" s="2715"/>
    </row>
    <row r="47" spans="2:18" s="906" customFormat="1">
      <c r="B47" s="2713"/>
      <c r="C47" s="2713"/>
      <c r="D47" s="2713"/>
      <c r="E47" s="2713"/>
      <c r="F47" s="2713"/>
      <c r="G47" s="2714"/>
      <c r="H47" s="2713"/>
      <c r="I47" s="2714"/>
      <c r="J47" s="2713"/>
      <c r="K47" s="2713"/>
      <c r="L47" s="2714"/>
      <c r="M47" s="2713"/>
      <c r="N47" s="2713"/>
      <c r="O47" s="2714"/>
      <c r="P47" s="2713"/>
      <c r="Q47" s="2713"/>
      <c r="R47" s="2715"/>
    </row>
    <row r="48" spans="2:18" s="906" customFormat="1">
      <c r="B48" s="2713"/>
      <c r="C48" s="2713"/>
      <c r="D48" s="2713"/>
      <c r="E48" s="2713"/>
      <c r="F48" s="2713"/>
      <c r="G48" s="2714"/>
      <c r="H48" s="2713"/>
      <c r="I48" s="2714"/>
      <c r="J48" s="2713"/>
      <c r="K48" s="2713"/>
      <c r="L48" s="2714"/>
      <c r="M48" s="2713"/>
      <c r="N48" s="2713"/>
      <c r="O48" s="2714"/>
      <c r="P48" s="2713"/>
      <c r="Q48" s="2713"/>
      <c r="R48" s="2715"/>
    </row>
    <row r="49" spans="2:18" s="906" customFormat="1">
      <c r="B49" s="2713"/>
      <c r="C49" s="2713"/>
      <c r="D49" s="2713"/>
      <c r="E49" s="2713"/>
      <c r="F49" s="2713"/>
      <c r="G49" s="2714"/>
      <c r="H49" s="2713"/>
      <c r="I49" s="2714"/>
      <c r="J49" s="2713"/>
      <c r="K49" s="2713"/>
      <c r="L49" s="2714"/>
      <c r="M49" s="2713"/>
      <c r="N49" s="2713"/>
      <c r="O49" s="2714"/>
      <c r="P49" s="2713"/>
      <c r="Q49" s="2713"/>
      <c r="R49" s="2715"/>
    </row>
    <row r="50" spans="2:18" s="906" customFormat="1">
      <c r="B50" s="2713"/>
      <c r="C50" s="2713"/>
      <c r="D50" s="2713"/>
      <c r="E50" s="2713"/>
      <c r="F50" s="2713"/>
      <c r="G50" s="2714"/>
      <c r="H50" s="2713"/>
      <c r="I50" s="2714"/>
      <c r="J50" s="2713"/>
      <c r="K50" s="2713"/>
      <c r="L50" s="2714"/>
      <c r="M50" s="2713"/>
      <c r="N50" s="2713"/>
      <c r="O50" s="2714"/>
      <c r="P50" s="2713"/>
      <c r="Q50" s="2713"/>
      <c r="R50" s="2715"/>
    </row>
    <row r="51" spans="2:18" s="906" customFormat="1">
      <c r="B51" s="2713"/>
      <c r="C51" s="2713"/>
      <c r="D51" s="2713"/>
      <c r="E51" s="2713"/>
      <c r="F51" s="2713"/>
      <c r="G51" s="2714"/>
      <c r="H51" s="2713"/>
      <c r="I51" s="2714"/>
      <c r="J51" s="2713"/>
      <c r="K51" s="2713"/>
      <c r="L51" s="2714"/>
      <c r="M51" s="2713"/>
      <c r="N51" s="2713"/>
      <c r="O51" s="2714"/>
      <c r="P51" s="2713"/>
      <c r="Q51" s="2713"/>
      <c r="R51" s="2715"/>
    </row>
    <row r="52" spans="2:18" s="906" customFormat="1">
      <c r="B52" s="2713"/>
      <c r="C52" s="2713"/>
      <c r="D52" s="2713"/>
      <c r="E52" s="2713"/>
      <c r="F52" s="2713"/>
      <c r="G52" s="2714"/>
      <c r="H52" s="2713"/>
      <c r="I52" s="2714"/>
      <c r="J52" s="2713"/>
      <c r="K52" s="2713"/>
      <c r="L52" s="2714"/>
      <c r="M52" s="2713"/>
      <c r="N52" s="2713"/>
      <c r="O52" s="2714"/>
      <c r="P52" s="2713"/>
      <c r="Q52" s="2713"/>
      <c r="R52" s="2715"/>
    </row>
    <row r="53" spans="2:18" s="906" customFormat="1">
      <c r="B53" s="2713"/>
      <c r="C53" s="2713"/>
      <c r="D53" s="2713"/>
      <c r="E53" s="2713"/>
      <c r="F53" s="2713"/>
      <c r="G53" s="2714"/>
      <c r="H53" s="2713"/>
      <c r="I53" s="2714"/>
      <c r="J53" s="2713"/>
      <c r="K53" s="2713"/>
      <c r="L53" s="2714"/>
      <c r="M53" s="2713"/>
      <c r="N53" s="2713"/>
      <c r="O53" s="2714"/>
      <c r="P53" s="2713"/>
      <c r="Q53" s="2713"/>
      <c r="R53" s="2715"/>
    </row>
    <row r="54" spans="2:18" s="906" customFormat="1">
      <c r="B54" s="2713"/>
      <c r="C54" s="2713"/>
      <c r="D54" s="2713"/>
      <c r="E54" s="2713"/>
      <c r="F54" s="2713"/>
      <c r="G54" s="2714"/>
      <c r="H54" s="2713"/>
      <c r="I54" s="2714"/>
      <c r="J54" s="2713"/>
      <c r="K54" s="2713"/>
      <c r="L54" s="2714"/>
      <c r="M54" s="2713"/>
      <c r="N54" s="2713"/>
      <c r="O54" s="2714"/>
      <c r="P54" s="2713"/>
      <c r="Q54" s="2713"/>
      <c r="R54" s="2715"/>
    </row>
    <row r="55" spans="2:18" s="906" customFormat="1">
      <c r="B55" s="2713"/>
      <c r="C55" s="2713"/>
      <c r="D55" s="2713"/>
      <c r="E55" s="2713"/>
      <c r="F55" s="2713"/>
      <c r="G55" s="2714"/>
      <c r="H55" s="2713"/>
      <c r="I55" s="2714"/>
      <c r="J55" s="2713"/>
      <c r="K55" s="2713"/>
      <c r="L55" s="2714"/>
      <c r="M55" s="2713"/>
      <c r="N55" s="2713"/>
      <c r="O55" s="2714"/>
      <c r="P55" s="2713"/>
      <c r="Q55" s="2713"/>
      <c r="R55" s="2715"/>
    </row>
    <row r="56" spans="2:18" s="906" customFormat="1">
      <c r="B56" s="2713"/>
      <c r="C56" s="2713"/>
      <c r="D56" s="2713"/>
      <c r="E56" s="2713"/>
      <c r="F56" s="2713"/>
      <c r="G56" s="2714"/>
      <c r="H56" s="2713"/>
      <c r="I56" s="2714"/>
      <c r="J56" s="2713"/>
      <c r="K56" s="2713"/>
      <c r="L56" s="2714"/>
      <c r="M56" s="2713"/>
      <c r="N56" s="2713"/>
      <c r="O56" s="2714"/>
      <c r="P56" s="2713"/>
      <c r="Q56" s="2713"/>
      <c r="R56" s="2715"/>
    </row>
    <row r="57" spans="2:18" s="906" customFormat="1">
      <c r="B57" s="2713"/>
      <c r="C57" s="2713"/>
      <c r="D57" s="2713"/>
      <c r="E57" s="2713"/>
      <c r="F57" s="2713"/>
      <c r="G57" s="2714"/>
      <c r="H57" s="2713"/>
      <c r="I57" s="2714"/>
      <c r="J57" s="2713"/>
      <c r="K57" s="2713"/>
      <c r="L57" s="2714"/>
      <c r="M57" s="2713"/>
      <c r="N57" s="2713"/>
      <c r="O57" s="2714"/>
      <c r="P57" s="2713"/>
      <c r="Q57" s="2713"/>
      <c r="R57" s="2715"/>
    </row>
    <row r="58" spans="2:18" s="906" customFormat="1">
      <c r="B58" s="2713"/>
      <c r="C58" s="2713"/>
      <c r="D58" s="2713"/>
      <c r="E58" s="2713"/>
      <c r="F58" s="2713"/>
      <c r="G58" s="2714"/>
      <c r="H58" s="2713"/>
      <c r="I58" s="2714"/>
      <c r="J58" s="2713"/>
      <c r="K58" s="2713"/>
      <c r="L58" s="2714"/>
      <c r="M58" s="2713"/>
      <c r="N58" s="2713"/>
      <c r="O58" s="2714"/>
      <c r="P58" s="2713"/>
      <c r="Q58" s="2713"/>
      <c r="R58" s="2715"/>
    </row>
    <row r="59" spans="2:18" s="906" customFormat="1">
      <c r="B59" s="2713"/>
      <c r="C59" s="2713"/>
      <c r="D59" s="2713"/>
      <c r="E59" s="2713"/>
      <c r="F59" s="2713"/>
      <c r="G59" s="2714"/>
      <c r="H59" s="2713"/>
      <c r="I59" s="2714"/>
      <c r="J59" s="2713"/>
      <c r="K59" s="2713"/>
      <c r="L59" s="2714"/>
      <c r="M59" s="2713"/>
      <c r="N59" s="2713"/>
      <c r="O59" s="2714"/>
      <c r="P59" s="2713"/>
      <c r="Q59" s="2713"/>
      <c r="R59" s="2715"/>
    </row>
    <row r="60" spans="2:18" s="906" customFormat="1">
      <c r="B60" s="2713"/>
      <c r="C60" s="2713"/>
      <c r="D60" s="2713"/>
      <c r="E60" s="2713"/>
      <c r="F60" s="2713"/>
      <c r="G60" s="2714"/>
      <c r="H60" s="2713"/>
      <c r="I60" s="2714"/>
      <c r="J60" s="2713"/>
      <c r="K60" s="2713"/>
      <c r="L60" s="2714"/>
      <c r="M60" s="2713"/>
      <c r="N60" s="2713"/>
      <c r="O60" s="2714"/>
      <c r="P60" s="2713"/>
      <c r="Q60" s="2713"/>
      <c r="R60" s="2715"/>
    </row>
    <row r="61" spans="2:18" s="906" customFormat="1">
      <c r="B61" s="2713"/>
      <c r="C61" s="2713"/>
      <c r="D61" s="2713"/>
      <c r="E61" s="2713"/>
      <c r="F61" s="2713"/>
      <c r="G61" s="2714"/>
      <c r="H61" s="2713"/>
      <c r="I61" s="2714"/>
      <c r="J61" s="2713"/>
      <c r="K61" s="2713"/>
      <c r="L61" s="2714"/>
      <c r="M61" s="2713"/>
      <c r="N61" s="2713"/>
      <c r="O61" s="2714"/>
      <c r="P61" s="2713"/>
      <c r="Q61" s="2713"/>
      <c r="R61" s="2715"/>
    </row>
    <row r="62" spans="2:18" s="906" customFormat="1">
      <c r="B62" s="2713"/>
      <c r="C62" s="2713"/>
      <c r="D62" s="2713"/>
      <c r="E62" s="2713"/>
      <c r="F62" s="2713"/>
      <c r="G62" s="2714"/>
      <c r="H62" s="2713"/>
      <c r="I62" s="2714"/>
      <c r="J62" s="2713"/>
      <c r="K62" s="2713"/>
      <c r="L62" s="2714"/>
      <c r="M62" s="2713"/>
      <c r="N62" s="2713"/>
      <c r="O62" s="2714"/>
      <c r="P62" s="2713"/>
      <c r="Q62" s="2713"/>
      <c r="R62" s="2715"/>
    </row>
    <row r="63" spans="2:18" s="906" customFormat="1">
      <c r="B63" s="2713"/>
      <c r="C63" s="2713"/>
      <c r="D63" s="2713"/>
      <c r="E63" s="2713"/>
      <c r="F63" s="2713"/>
      <c r="G63" s="2714"/>
      <c r="H63" s="2713"/>
      <c r="I63" s="2714"/>
      <c r="J63" s="2713"/>
      <c r="K63" s="2713"/>
      <c r="L63" s="2714"/>
      <c r="M63" s="2713"/>
      <c r="N63" s="2713"/>
      <c r="O63" s="2714"/>
      <c r="P63" s="2713"/>
      <c r="Q63" s="2713"/>
      <c r="R63" s="2715"/>
    </row>
    <row r="64" spans="2:18" s="906" customFormat="1">
      <c r="B64" s="2713"/>
      <c r="C64" s="2713"/>
      <c r="D64" s="2713"/>
      <c r="E64" s="2713"/>
      <c r="F64" s="2713"/>
      <c r="G64" s="2714"/>
      <c r="H64" s="2713"/>
      <c r="I64" s="2714"/>
      <c r="J64" s="2713"/>
      <c r="K64" s="2713"/>
      <c r="L64" s="2714"/>
      <c r="M64" s="2713"/>
      <c r="N64" s="2713"/>
      <c r="O64" s="2714"/>
      <c r="P64" s="2713"/>
      <c r="Q64" s="2713"/>
      <c r="R64" s="2715"/>
    </row>
    <row r="65" spans="2:18" s="906" customFormat="1">
      <c r="B65" s="2713"/>
      <c r="C65" s="2713"/>
      <c r="D65" s="2713"/>
      <c r="E65" s="2713"/>
      <c r="F65" s="2713"/>
      <c r="G65" s="2714"/>
      <c r="H65" s="2713"/>
      <c r="I65" s="2714"/>
      <c r="J65" s="2713"/>
      <c r="K65" s="2713"/>
      <c r="L65" s="2714"/>
      <c r="M65" s="2713"/>
      <c r="N65" s="2713"/>
      <c r="O65" s="2714"/>
      <c r="P65" s="2713"/>
      <c r="Q65" s="2713"/>
      <c r="R65" s="2715"/>
    </row>
    <row r="66" spans="2:18" s="906" customFormat="1">
      <c r="B66" s="2713"/>
      <c r="C66" s="2713"/>
      <c r="D66" s="2713"/>
      <c r="E66" s="2713"/>
      <c r="F66" s="2713"/>
      <c r="G66" s="2714"/>
      <c r="H66" s="2713"/>
      <c r="I66" s="2714"/>
      <c r="J66" s="2713"/>
      <c r="K66" s="2713"/>
      <c r="L66" s="2714"/>
      <c r="M66" s="2713"/>
      <c r="N66" s="2713"/>
      <c r="O66" s="2714"/>
      <c r="P66" s="2713"/>
      <c r="Q66" s="2713"/>
      <c r="R66" s="2715"/>
    </row>
    <row r="67" spans="2:18" s="906" customFormat="1">
      <c r="B67" s="2713"/>
      <c r="C67" s="2713"/>
      <c r="D67" s="2713"/>
      <c r="E67" s="2713"/>
      <c r="F67" s="2713"/>
      <c r="G67" s="2714"/>
      <c r="H67" s="2713"/>
      <c r="I67" s="2714"/>
      <c r="J67" s="2713"/>
      <c r="K67" s="2713"/>
      <c r="L67" s="2714"/>
      <c r="M67" s="2713"/>
      <c r="N67" s="2713"/>
      <c r="O67" s="2714"/>
      <c r="P67" s="2713"/>
      <c r="Q67" s="2713"/>
      <c r="R67" s="2715"/>
    </row>
    <row r="68" spans="2:18" s="906" customFormat="1">
      <c r="B68" s="2713"/>
      <c r="C68" s="2713"/>
      <c r="D68" s="2713"/>
      <c r="E68" s="2713"/>
      <c r="F68" s="2713"/>
      <c r="G68" s="2714"/>
      <c r="H68" s="2713"/>
      <c r="I68" s="2714"/>
      <c r="J68" s="2713"/>
      <c r="K68" s="2713"/>
      <c r="L68" s="2714"/>
      <c r="M68" s="2713"/>
      <c r="N68" s="2713"/>
      <c r="O68" s="2714"/>
      <c r="P68" s="2713"/>
      <c r="Q68" s="2713"/>
      <c r="R68" s="2715"/>
    </row>
    <row r="69" spans="2:18" s="906" customFormat="1">
      <c r="B69" s="2713"/>
      <c r="C69" s="2713"/>
      <c r="D69" s="2713"/>
      <c r="E69" s="2713"/>
      <c r="F69" s="2713"/>
      <c r="G69" s="2714"/>
      <c r="H69" s="2713"/>
      <c r="I69" s="2714"/>
      <c r="J69" s="2713"/>
      <c r="K69" s="2713"/>
      <c r="L69" s="2714"/>
      <c r="M69" s="2713"/>
      <c r="N69" s="2713"/>
      <c r="O69" s="2714"/>
      <c r="P69" s="2713"/>
      <c r="Q69" s="2713"/>
      <c r="R69" s="2715"/>
    </row>
    <row r="70" spans="2:18" s="906" customFormat="1">
      <c r="B70" s="2713"/>
      <c r="C70" s="2713"/>
      <c r="D70" s="2713"/>
      <c r="E70" s="2713"/>
      <c r="F70" s="2713"/>
      <c r="G70" s="2714"/>
      <c r="H70" s="2713"/>
      <c r="I70" s="2714"/>
      <c r="J70" s="2713"/>
      <c r="K70" s="2713"/>
      <c r="L70" s="2714"/>
      <c r="M70" s="2713"/>
      <c r="N70" s="2713"/>
      <c r="O70" s="2714"/>
      <c r="P70" s="2713"/>
      <c r="Q70" s="2713"/>
      <c r="R70" s="2715"/>
    </row>
    <row r="71" spans="2:18" s="906" customFormat="1">
      <c r="B71" s="2713"/>
      <c r="C71" s="2713"/>
      <c r="D71" s="2713"/>
      <c r="E71" s="2713"/>
      <c r="F71" s="2713"/>
      <c r="G71" s="2714"/>
      <c r="H71" s="2713"/>
      <c r="I71" s="2714"/>
      <c r="J71" s="2713"/>
      <c r="K71" s="2713"/>
      <c r="L71" s="2714"/>
      <c r="M71" s="2713"/>
      <c r="N71" s="2713"/>
      <c r="O71" s="2714"/>
      <c r="P71" s="2713"/>
      <c r="Q71" s="2713"/>
      <c r="R71" s="2715"/>
    </row>
    <row r="72" spans="2:18" s="906" customFormat="1">
      <c r="B72" s="2713"/>
      <c r="C72" s="2713"/>
      <c r="D72" s="2713"/>
      <c r="E72" s="2713"/>
      <c r="F72" s="2713"/>
      <c r="G72" s="2714"/>
      <c r="H72" s="2713"/>
      <c r="I72" s="2714"/>
      <c r="J72" s="2713"/>
      <c r="K72" s="2713"/>
      <c r="L72" s="2714"/>
      <c r="M72" s="2713"/>
      <c r="N72" s="2713"/>
      <c r="O72" s="2714"/>
      <c r="P72" s="2713"/>
      <c r="Q72" s="2713"/>
      <c r="R72" s="2715"/>
    </row>
    <row r="73" spans="2:18" s="906" customFormat="1">
      <c r="B73" s="2713"/>
      <c r="C73" s="2713"/>
      <c r="D73" s="2713"/>
      <c r="E73" s="2713"/>
      <c r="F73" s="2713"/>
      <c r="G73" s="2714"/>
      <c r="H73" s="2713"/>
      <c r="I73" s="2714"/>
      <c r="J73" s="2713"/>
      <c r="K73" s="2713"/>
      <c r="L73" s="2714"/>
      <c r="M73" s="2713"/>
      <c r="N73" s="2713"/>
      <c r="O73" s="2714"/>
      <c r="P73" s="2713"/>
      <c r="Q73" s="2713"/>
      <c r="R73" s="2715"/>
    </row>
    <row r="74" spans="2:18" s="906" customFormat="1">
      <c r="B74" s="2713"/>
      <c r="C74" s="2713"/>
      <c r="D74" s="2713"/>
      <c r="E74" s="2713"/>
      <c r="F74" s="2713"/>
      <c r="G74" s="2714"/>
      <c r="H74" s="2713"/>
      <c r="I74" s="2714"/>
      <c r="J74" s="2713"/>
      <c r="K74" s="2713"/>
      <c r="L74" s="2714"/>
      <c r="M74" s="2713"/>
      <c r="N74" s="2713"/>
      <c r="O74" s="2714"/>
      <c r="P74" s="2713"/>
      <c r="Q74" s="2713"/>
      <c r="R74" s="2715"/>
    </row>
    <row r="75" spans="2:18" s="906" customFormat="1">
      <c r="B75" s="2713"/>
      <c r="C75" s="2713"/>
      <c r="D75" s="2713"/>
      <c r="E75" s="2713"/>
      <c r="F75" s="2713"/>
      <c r="G75" s="2714"/>
      <c r="H75" s="2713"/>
      <c r="I75" s="2714"/>
      <c r="J75" s="2713"/>
      <c r="K75" s="2713"/>
      <c r="L75" s="2714"/>
      <c r="M75" s="2713"/>
      <c r="N75" s="2713"/>
      <c r="O75" s="2714"/>
      <c r="P75" s="2713"/>
      <c r="Q75" s="2713"/>
      <c r="R75" s="2715"/>
    </row>
    <row r="76" spans="2:18" s="906" customFormat="1">
      <c r="B76" s="2713"/>
      <c r="C76" s="2713"/>
      <c r="D76" s="2713"/>
      <c r="E76" s="2713"/>
      <c r="F76" s="2713"/>
      <c r="G76" s="2714"/>
      <c r="H76" s="2713"/>
      <c r="I76" s="2714"/>
      <c r="J76" s="2713"/>
      <c r="K76" s="2713"/>
      <c r="L76" s="2714"/>
      <c r="M76" s="2713"/>
      <c r="N76" s="2713"/>
      <c r="O76" s="2714"/>
      <c r="P76" s="2713"/>
      <c r="Q76" s="2713"/>
      <c r="R76" s="2715"/>
    </row>
    <row r="77" spans="2:18" s="906" customFormat="1">
      <c r="B77" s="2713"/>
      <c r="C77" s="2713"/>
      <c r="D77" s="2713"/>
      <c r="E77" s="2713"/>
      <c r="F77" s="2713"/>
      <c r="G77" s="2714"/>
      <c r="H77" s="2713"/>
      <c r="I77" s="2714"/>
      <c r="J77" s="2713"/>
      <c r="K77" s="2713"/>
      <c r="L77" s="2714"/>
      <c r="M77" s="2713"/>
      <c r="N77" s="2713"/>
      <c r="O77" s="2714"/>
      <c r="P77" s="2713"/>
      <c r="Q77" s="2713"/>
      <c r="R77" s="2715"/>
    </row>
    <row r="78" spans="2:18" s="906" customFormat="1">
      <c r="B78" s="2713"/>
      <c r="C78" s="2713"/>
      <c r="D78" s="2713"/>
      <c r="E78" s="2713"/>
      <c r="F78" s="2713"/>
      <c r="G78" s="2714"/>
      <c r="H78" s="2713"/>
      <c r="I78" s="2714"/>
      <c r="J78" s="2713"/>
      <c r="K78" s="2713"/>
      <c r="L78" s="2714"/>
      <c r="M78" s="2713"/>
      <c r="N78" s="2713"/>
      <c r="O78" s="2714"/>
      <c r="P78" s="2713"/>
      <c r="Q78" s="2713"/>
      <c r="R78" s="2715"/>
    </row>
    <row r="79" spans="2:18" s="906" customFormat="1">
      <c r="B79" s="2713"/>
      <c r="C79" s="2713"/>
      <c r="D79" s="2713"/>
      <c r="E79" s="2713"/>
      <c r="F79" s="2713"/>
      <c r="G79" s="2714"/>
      <c r="H79" s="2713"/>
      <c r="I79" s="2714"/>
      <c r="J79" s="2713"/>
      <c r="K79" s="2713"/>
      <c r="L79" s="2714"/>
      <c r="M79" s="2713"/>
      <c r="N79" s="2713"/>
      <c r="O79" s="2714"/>
      <c r="P79" s="2713"/>
      <c r="Q79" s="2713"/>
      <c r="R79" s="2715"/>
    </row>
    <row r="80" spans="2:18" s="906" customFormat="1">
      <c r="B80" s="2713"/>
      <c r="C80" s="2713"/>
      <c r="D80" s="2713"/>
      <c r="E80" s="2713"/>
      <c r="F80" s="2713"/>
      <c r="G80" s="2714"/>
      <c r="H80" s="2713"/>
      <c r="I80" s="2714"/>
      <c r="J80" s="2713"/>
      <c r="K80" s="2713"/>
      <c r="L80" s="2714"/>
      <c r="M80" s="2713"/>
      <c r="N80" s="2713"/>
      <c r="O80" s="2714"/>
      <c r="P80" s="2713"/>
      <c r="Q80" s="2713"/>
      <c r="R80" s="2715"/>
    </row>
    <row r="81" spans="2:18" s="906" customFormat="1">
      <c r="B81" s="2713"/>
      <c r="C81" s="2713"/>
      <c r="D81" s="2713"/>
      <c r="E81" s="2713"/>
      <c r="F81" s="2713"/>
      <c r="G81" s="2714"/>
      <c r="H81" s="2713"/>
      <c r="I81" s="2714"/>
      <c r="J81" s="2713"/>
      <c r="K81" s="2713"/>
      <c r="L81" s="2714"/>
      <c r="M81" s="2713"/>
      <c r="N81" s="2713"/>
      <c r="O81" s="2714"/>
      <c r="P81" s="2713"/>
      <c r="Q81" s="2713"/>
      <c r="R81" s="2715"/>
    </row>
    <row r="82" spans="2:18" s="906" customFormat="1">
      <c r="B82" s="2713"/>
      <c r="C82" s="2713"/>
      <c r="D82" s="2713"/>
      <c r="E82" s="2713"/>
      <c r="F82" s="2713"/>
      <c r="G82" s="2714"/>
      <c r="H82" s="2713"/>
      <c r="I82" s="2714"/>
      <c r="J82" s="2713"/>
      <c r="K82" s="2713"/>
      <c r="L82" s="2714"/>
      <c r="M82" s="2713"/>
      <c r="N82" s="2713"/>
      <c r="O82" s="2714"/>
      <c r="P82" s="2713"/>
      <c r="Q82" s="2713"/>
      <c r="R82" s="2715"/>
    </row>
    <row r="83" spans="2:18" s="906" customFormat="1">
      <c r="B83" s="2713"/>
      <c r="C83" s="2713"/>
      <c r="D83" s="2713"/>
      <c r="E83" s="2713"/>
      <c r="F83" s="2713"/>
      <c r="G83" s="2714"/>
      <c r="H83" s="2713"/>
      <c r="I83" s="2714"/>
      <c r="J83" s="2713"/>
      <c r="K83" s="2713"/>
      <c r="L83" s="2714"/>
      <c r="M83" s="2713"/>
      <c r="N83" s="2713"/>
      <c r="O83" s="2714"/>
      <c r="P83" s="2713"/>
      <c r="Q83" s="2713"/>
      <c r="R83" s="2715"/>
    </row>
    <row r="84" spans="2:18" s="906" customFormat="1">
      <c r="B84" s="2713"/>
      <c r="C84" s="2713"/>
      <c r="D84" s="2713"/>
      <c r="E84" s="2713"/>
      <c r="F84" s="2713"/>
      <c r="G84" s="2714"/>
      <c r="H84" s="2713"/>
      <c r="I84" s="2714"/>
      <c r="J84" s="2713"/>
      <c r="K84" s="2713"/>
      <c r="L84" s="2714"/>
      <c r="M84" s="2713"/>
      <c r="N84" s="2713"/>
      <c r="O84" s="2714"/>
      <c r="P84" s="2713"/>
      <c r="Q84" s="2713"/>
      <c r="R84" s="2715"/>
    </row>
    <row r="85" spans="2:18" s="906" customFormat="1">
      <c r="B85" s="2713"/>
      <c r="C85" s="2713"/>
      <c r="D85" s="2713"/>
      <c r="E85" s="2713"/>
      <c r="F85" s="2713"/>
      <c r="G85" s="2714"/>
      <c r="H85" s="2713"/>
      <c r="I85" s="2714"/>
      <c r="J85" s="2713"/>
      <c r="K85" s="2713"/>
      <c r="L85" s="2714"/>
      <c r="M85" s="2713"/>
      <c r="N85" s="2713"/>
      <c r="O85" s="2714"/>
      <c r="P85" s="2713"/>
      <c r="Q85" s="2713"/>
      <c r="R85" s="2715"/>
    </row>
    <row r="86" spans="2:18" s="906" customFormat="1">
      <c r="B86" s="2713"/>
      <c r="C86" s="2713"/>
      <c r="D86" s="2713"/>
      <c r="E86" s="2713"/>
      <c r="F86" s="2713"/>
      <c r="G86" s="2714"/>
      <c r="H86" s="2713"/>
      <c r="I86" s="2714"/>
      <c r="J86" s="2713"/>
      <c r="K86" s="2713"/>
      <c r="L86" s="2714"/>
      <c r="M86" s="2713"/>
      <c r="N86" s="2713"/>
      <c r="O86" s="2714"/>
      <c r="P86" s="2713"/>
      <c r="Q86" s="2713"/>
      <c r="R86" s="2715"/>
    </row>
    <row r="87" spans="2:18" s="906" customFormat="1">
      <c r="B87" s="2713"/>
      <c r="C87" s="2713"/>
      <c r="D87" s="2713"/>
      <c r="E87" s="2713"/>
      <c r="F87" s="2713"/>
      <c r="G87" s="2714"/>
      <c r="H87" s="2713"/>
      <c r="I87" s="2714"/>
      <c r="J87" s="2713"/>
      <c r="K87" s="2713"/>
      <c r="L87" s="2714"/>
      <c r="M87" s="2713"/>
      <c r="N87" s="2713"/>
      <c r="O87" s="2714"/>
      <c r="P87" s="2713"/>
      <c r="Q87" s="2713"/>
      <c r="R87" s="2715"/>
    </row>
    <row r="88" spans="2:18" s="906" customFormat="1">
      <c r="B88" s="2713"/>
      <c r="C88" s="2713"/>
      <c r="D88" s="2713"/>
      <c r="E88" s="2713"/>
      <c r="F88" s="2713"/>
      <c r="G88" s="2714"/>
      <c r="H88" s="2713"/>
      <c r="I88" s="2714"/>
      <c r="J88" s="2713"/>
      <c r="K88" s="2713"/>
      <c r="L88" s="2714"/>
      <c r="M88" s="2713"/>
      <c r="N88" s="2713"/>
      <c r="O88" s="2714"/>
      <c r="P88" s="2713"/>
      <c r="Q88" s="2713"/>
      <c r="R88" s="2715"/>
    </row>
    <row r="89" spans="2:18" s="906" customFormat="1">
      <c r="B89" s="2713"/>
      <c r="C89" s="2713"/>
      <c r="D89" s="2713"/>
      <c r="E89" s="2713"/>
      <c r="F89" s="2713"/>
      <c r="G89" s="2714"/>
      <c r="H89" s="2713"/>
      <c r="I89" s="2714"/>
      <c r="J89" s="2713"/>
      <c r="K89" s="2713"/>
      <c r="L89" s="2714"/>
      <c r="M89" s="2713"/>
      <c r="N89" s="2713"/>
      <c r="O89" s="2714"/>
      <c r="P89" s="2713"/>
      <c r="Q89" s="2713"/>
      <c r="R89" s="2715"/>
    </row>
    <row r="90" spans="2:18" s="906" customFormat="1">
      <c r="B90" s="2713"/>
      <c r="C90" s="2713"/>
      <c r="D90" s="2713"/>
      <c r="E90" s="2713"/>
      <c r="F90" s="2713"/>
      <c r="G90" s="2714"/>
      <c r="H90" s="2713"/>
      <c r="I90" s="2714"/>
      <c r="J90" s="2713"/>
      <c r="K90" s="2713"/>
      <c r="L90" s="2714"/>
      <c r="M90" s="2713"/>
      <c r="N90" s="2713"/>
      <c r="O90" s="2714"/>
      <c r="P90" s="2713"/>
      <c r="Q90" s="2713"/>
      <c r="R90" s="2715"/>
    </row>
    <row r="91" spans="2:18" s="906" customFormat="1">
      <c r="B91" s="2713"/>
      <c r="C91" s="2713"/>
      <c r="D91" s="2713"/>
      <c r="E91" s="2713"/>
      <c r="F91" s="2713"/>
      <c r="G91" s="2714"/>
      <c r="H91" s="2713"/>
      <c r="I91" s="2714"/>
      <c r="J91" s="2713"/>
      <c r="K91" s="2713"/>
      <c r="L91" s="2714"/>
      <c r="M91" s="2713"/>
      <c r="N91" s="2713"/>
      <c r="O91" s="2714"/>
      <c r="P91" s="2713"/>
      <c r="Q91" s="2713"/>
      <c r="R91" s="2715"/>
    </row>
    <row r="92" spans="2:18" s="906" customFormat="1">
      <c r="B92" s="2713"/>
      <c r="C92" s="2713"/>
      <c r="D92" s="2713"/>
      <c r="E92" s="2713"/>
      <c r="F92" s="2713"/>
      <c r="G92" s="2714"/>
      <c r="H92" s="2713"/>
      <c r="I92" s="2714"/>
      <c r="J92" s="2713"/>
      <c r="K92" s="2713"/>
      <c r="L92" s="2714"/>
      <c r="M92" s="2713"/>
      <c r="N92" s="2713"/>
      <c r="O92" s="2714"/>
      <c r="P92" s="2713"/>
      <c r="Q92" s="2713"/>
      <c r="R92" s="2715"/>
    </row>
    <row r="93" spans="2:18" s="906" customFormat="1">
      <c r="B93" s="2713"/>
      <c r="C93" s="2713"/>
      <c r="D93" s="2713"/>
      <c r="E93" s="2713"/>
      <c r="F93" s="2713"/>
      <c r="G93" s="2714"/>
      <c r="H93" s="2713"/>
      <c r="I93" s="2714"/>
      <c r="J93" s="2713"/>
      <c r="K93" s="2713"/>
      <c r="L93" s="2714"/>
      <c r="M93" s="2713"/>
      <c r="N93" s="2713"/>
      <c r="O93" s="2714"/>
      <c r="P93" s="2713"/>
      <c r="Q93" s="2713"/>
      <c r="R93" s="2715"/>
    </row>
    <row r="94" spans="2:18" s="906" customFormat="1">
      <c r="B94" s="2713"/>
      <c r="C94" s="2713"/>
      <c r="D94" s="2713"/>
      <c r="E94" s="2713"/>
      <c r="F94" s="2713"/>
      <c r="G94" s="2714"/>
      <c r="H94" s="2713"/>
      <c r="I94" s="2714"/>
      <c r="J94" s="2713"/>
      <c r="K94" s="2713"/>
      <c r="L94" s="2714"/>
      <c r="M94" s="2713"/>
      <c r="N94" s="2713"/>
      <c r="O94" s="2714"/>
      <c r="P94" s="2713"/>
      <c r="Q94" s="2713"/>
      <c r="R94" s="2715"/>
    </row>
    <row r="95" spans="2:18" s="906" customFormat="1">
      <c r="B95" s="2713"/>
      <c r="C95" s="2713"/>
      <c r="D95" s="2713"/>
      <c r="E95" s="2713"/>
      <c r="F95" s="2713"/>
      <c r="G95" s="2714"/>
      <c r="H95" s="2713"/>
      <c r="I95" s="2714"/>
      <c r="J95" s="2713"/>
      <c r="K95" s="2713"/>
      <c r="L95" s="2714"/>
      <c r="M95" s="2713"/>
      <c r="N95" s="2713"/>
      <c r="O95" s="2714"/>
      <c r="P95" s="2713"/>
      <c r="Q95" s="2713"/>
      <c r="R95" s="2715"/>
    </row>
    <row r="96" spans="2:18" s="906" customFormat="1">
      <c r="B96" s="2713"/>
      <c r="C96" s="2713"/>
      <c r="D96" s="2713"/>
      <c r="E96" s="2713"/>
      <c r="F96" s="2713"/>
      <c r="G96" s="2714"/>
      <c r="H96" s="2713"/>
      <c r="I96" s="2714"/>
      <c r="J96" s="2713"/>
      <c r="K96" s="2713"/>
      <c r="L96" s="2714"/>
      <c r="M96" s="2713"/>
      <c r="N96" s="2713"/>
      <c r="O96" s="2714"/>
      <c r="P96" s="2713"/>
      <c r="Q96" s="2713"/>
      <c r="R96" s="2715"/>
    </row>
    <row r="97" spans="2:18" s="906" customFormat="1">
      <c r="B97" s="2713"/>
      <c r="C97" s="2713"/>
      <c r="D97" s="2713"/>
      <c r="E97" s="2713"/>
      <c r="F97" s="2713"/>
      <c r="G97" s="2714"/>
      <c r="H97" s="2713"/>
      <c r="I97" s="2714"/>
      <c r="J97" s="2713"/>
      <c r="K97" s="2713"/>
      <c r="L97" s="2714"/>
      <c r="M97" s="2713"/>
      <c r="N97" s="2713"/>
      <c r="O97" s="2714"/>
      <c r="P97" s="2713"/>
      <c r="Q97" s="2713"/>
      <c r="R97" s="2715"/>
    </row>
    <row r="98" spans="2:18" s="906" customFormat="1">
      <c r="B98" s="2713"/>
      <c r="C98" s="2713"/>
      <c r="D98" s="2713"/>
      <c r="E98" s="2713"/>
      <c r="F98" s="2713"/>
      <c r="G98" s="2714"/>
      <c r="H98" s="2713"/>
      <c r="I98" s="2714"/>
      <c r="J98" s="2713"/>
      <c r="K98" s="2713"/>
      <c r="L98" s="2714"/>
      <c r="M98" s="2713"/>
      <c r="N98" s="2713"/>
      <c r="O98" s="2714"/>
      <c r="P98" s="2713"/>
      <c r="Q98" s="2713"/>
      <c r="R98" s="2715"/>
    </row>
    <row r="99" spans="2:18" s="906" customFormat="1">
      <c r="B99" s="2713"/>
      <c r="C99" s="2713"/>
      <c r="D99" s="2713"/>
      <c r="E99" s="2713"/>
      <c r="F99" s="2713"/>
      <c r="G99" s="2714"/>
      <c r="H99" s="2713"/>
      <c r="I99" s="2714"/>
      <c r="J99" s="2713"/>
      <c r="K99" s="2713"/>
      <c r="L99" s="2714"/>
      <c r="M99" s="2713"/>
      <c r="N99" s="2713"/>
      <c r="O99" s="2714"/>
      <c r="P99" s="2713"/>
      <c r="Q99" s="2713"/>
      <c r="R99" s="2715"/>
    </row>
    <row r="100" spans="2:18" s="906" customFormat="1">
      <c r="B100" s="2713"/>
      <c r="C100" s="2713"/>
      <c r="D100" s="2713"/>
      <c r="E100" s="2713"/>
      <c r="F100" s="2713"/>
      <c r="G100" s="2714"/>
      <c r="H100" s="2713"/>
      <c r="I100" s="2714"/>
      <c r="J100" s="2713"/>
      <c r="K100" s="2713"/>
      <c r="L100" s="2714"/>
      <c r="M100" s="2713"/>
      <c r="N100" s="2713"/>
      <c r="O100" s="2714"/>
      <c r="P100" s="2713"/>
      <c r="Q100" s="2713"/>
      <c r="R100" s="2715"/>
    </row>
    <row r="101" spans="2:18" s="906" customFormat="1">
      <c r="B101" s="2713"/>
      <c r="C101" s="2713"/>
      <c r="D101" s="2713"/>
      <c r="E101" s="2713"/>
      <c r="F101" s="2713"/>
      <c r="G101" s="2714"/>
      <c r="H101" s="2713"/>
      <c r="I101" s="2714"/>
      <c r="J101" s="2713"/>
      <c r="K101" s="2713"/>
      <c r="L101" s="2714"/>
      <c r="M101" s="2713"/>
      <c r="N101" s="2713"/>
      <c r="O101" s="2714"/>
      <c r="P101" s="2713"/>
      <c r="Q101" s="2713"/>
      <c r="R101" s="2715"/>
    </row>
    <row r="102" spans="2:18" s="906" customFormat="1">
      <c r="B102" s="2713"/>
      <c r="C102" s="2713"/>
      <c r="D102" s="2713"/>
      <c r="E102" s="2713"/>
      <c r="F102" s="2713"/>
      <c r="G102" s="2714"/>
      <c r="H102" s="2713"/>
      <c r="I102" s="2714"/>
      <c r="J102" s="2713"/>
      <c r="K102" s="2713"/>
      <c r="L102" s="2714"/>
      <c r="M102" s="2713"/>
      <c r="N102" s="2713"/>
      <c r="O102" s="2714"/>
      <c r="P102" s="2713"/>
      <c r="Q102" s="2713"/>
      <c r="R102" s="2715"/>
    </row>
    <row r="103" spans="2:18" s="906" customFormat="1">
      <c r="B103" s="2713"/>
      <c r="C103" s="2713"/>
      <c r="D103" s="2713"/>
      <c r="E103" s="2713"/>
      <c r="F103" s="2713"/>
      <c r="G103" s="2714"/>
      <c r="H103" s="2713"/>
      <c r="I103" s="2714"/>
      <c r="J103" s="2713"/>
      <c r="K103" s="2713"/>
      <c r="L103" s="2714"/>
      <c r="M103" s="2713"/>
      <c r="N103" s="2713"/>
      <c r="O103" s="2714"/>
      <c r="P103" s="2713"/>
      <c r="Q103" s="2713"/>
      <c r="R103" s="2715"/>
    </row>
    <row r="104" spans="2:18" s="906" customFormat="1">
      <c r="B104" s="2713"/>
      <c r="C104" s="2713"/>
      <c r="D104" s="2713"/>
      <c r="E104" s="2713"/>
      <c r="F104" s="2713"/>
      <c r="G104" s="2714"/>
      <c r="H104" s="2713"/>
      <c r="I104" s="2714"/>
      <c r="J104" s="2713"/>
      <c r="K104" s="2713"/>
      <c r="L104" s="2714"/>
      <c r="M104" s="2713"/>
      <c r="N104" s="2713"/>
      <c r="O104" s="2714"/>
      <c r="P104" s="2713"/>
      <c r="Q104" s="2713"/>
      <c r="R104" s="2715"/>
    </row>
    <row r="105" spans="2:18" s="906" customFormat="1">
      <c r="B105" s="2713"/>
      <c r="C105" s="2713"/>
      <c r="D105" s="2713"/>
      <c r="E105" s="2713"/>
      <c r="F105" s="2713"/>
      <c r="G105" s="2714"/>
      <c r="H105" s="2713"/>
      <c r="I105" s="2714"/>
      <c r="J105" s="2713"/>
      <c r="K105" s="2713"/>
      <c r="L105" s="2714"/>
      <c r="M105" s="2713"/>
      <c r="N105" s="2713"/>
      <c r="O105" s="2714"/>
      <c r="P105" s="2713"/>
      <c r="Q105" s="2713"/>
      <c r="R105" s="2715"/>
    </row>
    <row r="106" spans="2:18" s="906" customFormat="1">
      <c r="B106" s="2713"/>
      <c r="C106" s="2713"/>
      <c r="D106" s="2713"/>
      <c r="E106" s="2713"/>
      <c r="F106" s="2713"/>
      <c r="G106" s="2714"/>
      <c r="H106" s="2713"/>
      <c r="I106" s="2714"/>
      <c r="J106" s="2713"/>
      <c r="K106" s="2713"/>
      <c r="L106" s="2714"/>
      <c r="M106" s="2713"/>
      <c r="N106" s="2713"/>
      <c r="O106" s="2714"/>
      <c r="P106" s="2713"/>
      <c r="Q106" s="2713"/>
      <c r="R106" s="2715"/>
    </row>
    <row r="107" spans="2:18" s="906" customFormat="1">
      <c r="B107" s="2713"/>
      <c r="C107" s="2713"/>
      <c r="D107" s="2713"/>
      <c r="E107" s="2713"/>
      <c r="F107" s="2713"/>
      <c r="G107" s="2714"/>
      <c r="H107" s="2713"/>
      <c r="I107" s="2714"/>
      <c r="J107" s="2713"/>
      <c r="K107" s="2713"/>
      <c r="L107" s="2714"/>
      <c r="M107" s="2713"/>
      <c r="N107" s="2713"/>
      <c r="O107" s="2714"/>
      <c r="P107" s="2713"/>
      <c r="Q107" s="2713"/>
      <c r="R107" s="2715"/>
    </row>
    <row r="108" spans="2:18" s="906" customFormat="1">
      <c r="B108" s="2713"/>
      <c r="C108" s="2713"/>
      <c r="D108" s="2713"/>
      <c r="E108" s="2713"/>
      <c r="F108" s="2713"/>
      <c r="G108" s="2714"/>
      <c r="H108" s="2713"/>
      <c r="I108" s="2714"/>
      <c r="J108" s="2713"/>
      <c r="K108" s="2713"/>
      <c r="L108" s="2714"/>
      <c r="M108" s="2713"/>
      <c r="N108" s="2713"/>
      <c r="O108" s="2714"/>
      <c r="P108" s="2713"/>
      <c r="Q108" s="2713"/>
      <c r="R108" s="2715"/>
    </row>
    <row r="109" spans="2:18" s="906" customFormat="1">
      <c r="B109" s="2713"/>
      <c r="C109" s="2713"/>
      <c r="D109" s="2713"/>
      <c r="E109" s="2713"/>
      <c r="F109" s="2713"/>
      <c r="G109" s="2714"/>
      <c r="H109" s="2713"/>
      <c r="I109" s="2714"/>
      <c r="J109" s="2713"/>
      <c r="K109" s="2713"/>
      <c r="L109" s="2714"/>
      <c r="M109" s="2713"/>
      <c r="N109" s="2713"/>
      <c r="O109" s="2714"/>
      <c r="P109" s="2713"/>
      <c r="Q109" s="2713"/>
      <c r="R109" s="2715"/>
    </row>
    <row r="110" spans="2:18" s="906" customFormat="1">
      <c r="B110" s="2713"/>
      <c r="C110" s="2713"/>
      <c r="D110" s="2713"/>
      <c r="E110" s="2713"/>
      <c r="F110" s="2713"/>
      <c r="G110" s="2714"/>
      <c r="H110" s="2713"/>
      <c r="I110" s="2714"/>
      <c r="J110" s="2713"/>
      <c r="K110" s="2713"/>
      <c r="L110" s="2714"/>
      <c r="M110" s="2713"/>
      <c r="N110" s="2713"/>
      <c r="O110" s="2714"/>
      <c r="P110" s="2713"/>
      <c r="Q110" s="2713"/>
      <c r="R110" s="2715"/>
    </row>
    <row r="111" spans="2:18" s="906" customFormat="1">
      <c r="B111" s="2713"/>
      <c r="C111" s="2713"/>
      <c r="D111" s="2713"/>
      <c r="E111" s="2713"/>
      <c r="F111" s="2713"/>
      <c r="G111" s="2714"/>
      <c r="H111" s="2713"/>
      <c r="I111" s="2714"/>
      <c r="J111" s="2713"/>
      <c r="K111" s="2713"/>
      <c r="L111" s="2714"/>
      <c r="M111" s="2713"/>
      <c r="N111" s="2713"/>
      <c r="O111" s="2714"/>
      <c r="P111" s="2713"/>
      <c r="Q111" s="2713"/>
      <c r="R111" s="2715"/>
    </row>
    <row r="112" spans="2:18" s="906" customFormat="1">
      <c r="B112" s="2713"/>
      <c r="C112" s="2713"/>
      <c r="D112" s="2713"/>
      <c r="E112" s="2713"/>
      <c r="F112" s="2713"/>
      <c r="G112" s="2714"/>
      <c r="H112" s="2713"/>
      <c r="I112" s="2714"/>
      <c r="J112" s="2713"/>
      <c r="K112" s="2713"/>
      <c r="L112" s="2714"/>
      <c r="M112" s="2713"/>
      <c r="N112" s="2713"/>
      <c r="O112" s="2714"/>
      <c r="P112" s="2713"/>
      <c r="Q112" s="2713"/>
      <c r="R112" s="2715"/>
    </row>
    <row r="113" spans="2:18" s="906" customFormat="1">
      <c r="B113" s="2713"/>
      <c r="C113" s="2713"/>
      <c r="D113" s="2713"/>
      <c r="E113" s="2713"/>
      <c r="F113" s="2713"/>
      <c r="G113" s="2714"/>
      <c r="H113" s="2713"/>
      <c r="I113" s="2714"/>
      <c r="J113" s="2713"/>
      <c r="K113" s="2713"/>
      <c r="L113" s="2714"/>
      <c r="M113" s="2713"/>
      <c r="N113" s="2713"/>
      <c r="O113" s="2714"/>
      <c r="P113" s="2713"/>
      <c r="Q113" s="2713"/>
      <c r="R113" s="2715"/>
    </row>
    <row r="114" spans="2:18" s="906" customFormat="1">
      <c r="B114" s="2713"/>
      <c r="C114" s="2713"/>
      <c r="D114" s="2713"/>
      <c r="E114" s="2713"/>
      <c r="F114" s="2713"/>
      <c r="G114" s="2714"/>
      <c r="H114" s="2713"/>
      <c r="I114" s="2714"/>
      <c r="J114" s="2713"/>
      <c r="K114" s="2713"/>
      <c r="L114" s="2714"/>
      <c r="M114" s="2713"/>
      <c r="N114" s="2713"/>
      <c r="O114" s="2714"/>
      <c r="P114" s="2713"/>
      <c r="Q114" s="2713"/>
      <c r="R114" s="2715"/>
    </row>
    <row r="115" spans="2:18" s="906" customFormat="1">
      <c r="B115" s="2713"/>
      <c r="C115" s="2713"/>
      <c r="D115" s="2713"/>
      <c r="E115" s="2713"/>
      <c r="F115" s="2713"/>
      <c r="G115" s="2714"/>
      <c r="H115" s="2713"/>
      <c r="I115" s="2714"/>
      <c r="J115" s="2713"/>
      <c r="K115" s="2713"/>
      <c r="L115" s="2714"/>
      <c r="M115" s="2713"/>
      <c r="N115" s="2713"/>
      <c r="O115" s="2714"/>
      <c r="P115" s="2713"/>
      <c r="Q115" s="2713"/>
      <c r="R115" s="2715"/>
    </row>
    <row r="116" spans="2:18" s="906" customFormat="1">
      <c r="B116" s="2713"/>
      <c r="C116" s="2713"/>
      <c r="D116" s="2713"/>
      <c r="E116" s="2713"/>
      <c r="F116" s="2713"/>
      <c r="G116" s="2714"/>
      <c r="H116" s="2713"/>
      <c r="I116" s="2714"/>
      <c r="J116" s="2713"/>
      <c r="K116" s="2713"/>
      <c r="L116" s="2714"/>
      <c r="M116" s="2713"/>
      <c r="N116" s="2713"/>
      <c r="O116" s="2714"/>
      <c r="P116" s="2713"/>
      <c r="Q116" s="2713"/>
      <c r="R116" s="2715"/>
    </row>
    <row r="117" spans="2:18" s="906" customFormat="1">
      <c r="B117" s="2713"/>
      <c r="C117" s="2713"/>
      <c r="D117" s="2713"/>
      <c r="E117" s="2713"/>
      <c r="F117" s="2713"/>
      <c r="G117" s="2714"/>
      <c r="H117" s="2713"/>
      <c r="I117" s="2714"/>
      <c r="J117" s="2713"/>
      <c r="K117" s="2713"/>
      <c r="L117" s="2714"/>
      <c r="M117" s="2713"/>
      <c r="N117" s="2713"/>
      <c r="O117" s="2714"/>
      <c r="P117" s="2713"/>
      <c r="Q117" s="2713"/>
      <c r="R117" s="2715"/>
    </row>
    <row r="118" spans="2:18" s="906" customFormat="1">
      <c r="B118" s="2713"/>
      <c r="C118" s="2713"/>
      <c r="D118" s="2713"/>
      <c r="E118" s="2713"/>
      <c r="F118" s="2713"/>
      <c r="G118" s="2714"/>
      <c r="H118" s="2713"/>
      <c r="I118" s="2714"/>
      <c r="J118" s="2713"/>
      <c r="K118" s="2713"/>
      <c r="L118" s="2714"/>
      <c r="M118" s="2713"/>
      <c r="N118" s="2713"/>
      <c r="O118" s="2714"/>
      <c r="P118" s="2713"/>
      <c r="Q118" s="2713"/>
      <c r="R118" s="2715"/>
    </row>
    <row r="119" spans="2:18" s="906" customFormat="1">
      <c r="B119" s="2713"/>
      <c r="C119" s="2713"/>
      <c r="D119" s="2713"/>
      <c r="E119" s="2713"/>
      <c r="F119" s="2713"/>
      <c r="G119" s="2714"/>
      <c r="H119" s="2713"/>
      <c r="I119" s="2714"/>
      <c r="J119" s="2713"/>
      <c r="K119" s="2713"/>
      <c r="L119" s="2714"/>
      <c r="M119" s="2713"/>
      <c r="N119" s="2713"/>
      <c r="O119" s="2714"/>
      <c r="P119" s="2713"/>
      <c r="Q119" s="2713"/>
      <c r="R119" s="2715"/>
    </row>
    <row r="120" spans="2:18" s="906" customFormat="1">
      <c r="B120" s="2713"/>
      <c r="C120" s="2713"/>
      <c r="D120" s="2713"/>
      <c r="E120" s="2713"/>
      <c r="F120" s="2713"/>
      <c r="G120" s="2714"/>
      <c r="H120" s="2713"/>
      <c r="I120" s="2714"/>
      <c r="J120" s="2713"/>
      <c r="K120" s="2713"/>
      <c r="L120" s="2714"/>
      <c r="M120" s="2713"/>
      <c r="N120" s="2713"/>
      <c r="O120" s="2714"/>
      <c r="P120" s="2713"/>
      <c r="Q120" s="2713"/>
      <c r="R120" s="2715"/>
    </row>
    <row r="121" spans="2:18" s="906" customFormat="1">
      <c r="B121" s="2713"/>
      <c r="C121" s="2713"/>
      <c r="D121" s="2713"/>
      <c r="E121" s="2713"/>
      <c r="F121" s="2713"/>
      <c r="G121" s="2714"/>
      <c r="H121" s="2713"/>
      <c r="I121" s="2714"/>
      <c r="J121" s="2713"/>
      <c r="K121" s="2713"/>
      <c r="L121" s="2714"/>
      <c r="M121" s="2713"/>
      <c r="N121" s="2713"/>
      <c r="O121" s="2714"/>
      <c r="P121" s="2713"/>
      <c r="Q121" s="2713"/>
      <c r="R121" s="2715"/>
    </row>
    <row r="122" spans="2:18" s="906" customFormat="1">
      <c r="B122" s="2713"/>
      <c r="C122" s="2713"/>
      <c r="D122" s="2713"/>
      <c r="E122" s="2713"/>
      <c r="F122" s="2713"/>
      <c r="G122" s="2714"/>
      <c r="H122" s="2713"/>
      <c r="I122" s="2714"/>
      <c r="J122" s="2713"/>
      <c r="K122" s="2713"/>
      <c r="L122" s="2714"/>
      <c r="M122" s="2713"/>
      <c r="N122" s="2713"/>
      <c r="O122" s="2714"/>
      <c r="P122" s="2713"/>
      <c r="Q122" s="2713"/>
      <c r="R122" s="2715"/>
    </row>
    <row r="123" spans="2:18" s="906" customFormat="1">
      <c r="B123" s="2713"/>
      <c r="C123" s="2713"/>
      <c r="D123" s="2713"/>
      <c r="E123" s="2713"/>
      <c r="F123" s="2713"/>
      <c r="G123" s="2714"/>
      <c r="H123" s="2713"/>
      <c r="I123" s="2714"/>
      <c r="J123" s="2713"/>
      <c r="K123" s="2713"/>
      <c r="L123" s="2714"/>
      <c r="M123" s="2713"/>
      <c r="N123" s="2713"/>
      <c r="O123" s="2714"/>
      <c r="P123" s="2713"/>
      <c r="Q123" s="2713"/>
      <c r="R123" s="2715"/>
    </row>
    <row r="124" spans="2:18" s="906" customFormat="1">
      <c r="B124" s="2713"/>
      <c r="C124" s="2713"/>
      <c r="D124" s="2713"/>
      <c r="E124" s="2713"/>
      <c r="F124" s="2713"/>
      <c r="G124" s="2714"/>
      <c r="H124" s="2713"/>
      <c r="I124" s="2714"/>
      <c r="J124" s="2713"/>
      <c r="K124" s="2713"/>
      <c r="L124" s="2714"/>
      <c r="M124" s="2713"/>
      <c r="N124" s="2713"/>
      <c r="O124" s="2714"/>
      <c r="P124" s="2713"/>
      <c r="Q124" s="2713"/>
      <c r="R124" s="2715"/>
    </row>
    <row r="125" spans="2:18" s="906" customFormat="1">
      <c r="B125" s="2713"/>
      <c r="C125" s="2713"/>
      <c r="D125" s="2713"/>
      <c r="E125" s="2713"/>
      <c r="F125" s="2713"/>
      <c r="G125" s="2714"/>
      <c r="H125" s="2713"/>
      <c r="I125" s="2714"/>
      <c r="J125" s="2713"/>
      <c r="K125" s="2713"/>
      <c r="L125" s="2714"/>
      <c r="M125" s="2713"/>
      <c r="N125" s="2713"/>
      <c r="O125" s="2714"/>
      <c r="P125" s="2713"/>
      <c r="Q125" s="2713"/>
      <c r="R125" s="2715"/>
    </row>
    <row r="126" spans="2:18" s="906" customFormat="1">
      <c r="B126" s="2713"/>
      <c r="C126" s="2713"/>
      <c r="D126" s="2713"/>
      <c r="E126" s="2713"/>
      <c r="F126" s="2713"/>
      <c r="G126" s="2714"/>
      <c r="H126" s="2713"/>
      <c r="I126" s="2714"/>
      <c r="J126" s="2713"/>
      <c r="K126" s="2713"/>
      <c r="L126" s="2714"/>
      <c r="M126" s="2713"/>
      <c r="N126" s="2713"/>
      <c r="O126" s="2714"/>
      <c r="P126" s="2713"/>
      <c r="Q126" s="2713"/>
      <c r="R126" s="2715"/>
    </row>
    <row r="127" spans="2:18" s="906" customFormat="1">
      <c r="B127" s="2713"/>
      <c r="C127" s="2713"/>
      <c r="D127" s="2713"/>
      <c r="E127" s="2713"/>
      <c r="F127" s="2713"/>
      <c r="G127" s="2714"/>
      <c r="H127" s="2713"/>
      <c r="I127" s="2714"/>
      <c r="J127" s="2713"/>
      <c r="K127" s="2713"/>
      <c r="L127" s="2714"/>
      <c r="M127" s="2713"/>
      <c r="N127" s="2713"/>
      <c r="O127" s="2714"/>
      <c r="P127" s="2713"/>
      <c r="Q127" s="2713"/>
      <c r="R127" s="2715"/>
    </row>
    <row r="128" spans="2:18" s="906" customFormat="1">
      <c r="B128" s="2713"/>
      <c r="C128" s="2713"/>
      <c r="D128" s="2713"/>
      <c r="E128" s="2713"/>
      <c r="F128" s="2713"/>
      <c r="G128" s="2714"/>
      <c r="H128" s="2713"/>
      <c r="I128" s="2714"/>
      <c r="J128" s="2713"/>
      <c r="K128" s="2713"/>
      <c r="L128" s="2714"/>
      <c r="M128" s="2713"/>
      <c r="N128" s="2713"/>
      <c r="O128" s="2714"/>
      <c r="P128" s="2713"/>
      <c r="Q128" s="2713"/>
      <c r="R128" s="2715"/>
    </row>
    <row r="129" spans="2:18" s="906" customFormat="1">
      <c r="B129" s="2713"/>
      <c r="C129" s="2713"/>
      <c r="D129" s="2713"/>
      <c r="E129" s="2713"/>
      <c r="F129" s="2713"/>
      <c r="G129" s="2714"/>
      <c r="H129" s="2713"/>
      <c r="I129" s="2714"/>
      <c r="J129" s="2713"/>
      <c r="K129" s="2713"/>
      <c r="L129" s="2714"/>
      <c r="M129" s="2713"/>
      <c r="N129" s="2713"/>
      <c r="O129" s="2714"/>
      <c r="P129" s="2713"/>
      <c r="Q129" s="2713"/>
      <c r="R129" s="2715"/>
    </row>
    <row r="130" spans="2:18" s="906" customFormat="1">
      <c r="B130" s="2713"/>
      <c r="C130" s="2713"/>
      <c r="D130" s="2713"/>
      <c r="E130" s="2713"/>
      <c r="F130" s="2713"/>
      <c r="G130" s="2714"/>
      <c r="H130" s="2713"/>
      <c r="I130" s="2714"/>
      <c r="J130" s="2713"/>
      <c r="K130" s="2713"/>
      <c r="L130" s="2714"/>
      <c r="M130" s="2713"/>
      <c r="N130" s="2713"/>
      <c r="O130" s="2714"/>
      <c r="P130" s="2713"/>
      <c r="Q130" s="2713"/>
      <c r="R130" s="2715"/>
    </row>
    <row r="131" spans="2:18" s="906" customFormat="1">
      <c r="B131" s="2713"/>
      <c r="C131" s="2713"/>
      <c r="D131" s="2713"/>
      <c r="E131" s="2713"/>
      <c r="F131" s="2713"/>
      <c r="G131" s="2714"/>
      <c r="H131" s="2713"/>
      <c r="I131" s="2714"/>
      <c r="J131" s="2713"/>
      <c r="K131" s="2713"/>
      <c r="L131" s="2714"/>
      <c r="M131" s="2713"/>
      <c r="N131" s="2713"/>
      <c r="O131" s="2714"/>
      <c r="P131" s="2713"/>
      <c r="Q131" s="2713"/>
      <c r="R131" s="2715"/>
    </row>
    <row r="132" spans="2:18" s="906" customFormat="1">
      <c r="B132" s="2713"/>
      <c r="C132" s="2713"/>
      <c r="D132" s="2713"/>
      <c r="E132" s="2713"/>
      <c r="F132" s="2713"/>
      <c r="G132" s="2714"/>
      <c r="H132" s="2713"/>
      <c r="I132" s="2714"/>
      <c r="J132" s="2713"/>
      <c r="K132" s="2713"/>
      <c r="L132" s="2714"/>
      <c r="M132" s="2713"/>
      <c r="N132" s="2713"/>
      <c r="O132" s="2714"/>
      <c r="P132" s="2713"/>
      <c r="Q132" s="2713"/>
      <c r="R132" s="2715"/>
    </row>
    <row r="133" spans="2:18" s="906" customFormat="1">
      <c r="B133" s="2713"/>
      <c r="C133" s="2713"/>
      <c r="D133" s="2713"/>
      <c r="E133" s="2713"/>
      <c r="F133" s="2713"/>
      <c r="G133" s="2714"/>
      <c r="H133" s="2713"/>
      <c r="I133" s="2714"/>
      <c r="J133" s="2713"/>
      <c r="K133" s="2713"/>
      <c r="L133" s="2714"/>
      <c r="M133" s="2713"/>
      <c r="N133" s="2713"/>
      <c r="O133" s="2714"/>
      <c r="P133" s="2713"/>
      <c r="Q133" s="2713"/>
      <c r="R133" s="2715"/>
    </row>
    <row r="134" spans="2:18" s="906" customFormat="1">
      <c r="B134" s="2713"/>
      <c r="C134" s="2713"/>
      <c r="D134" s="2713"/>
      <c r="E134" s="2713"/>
      <c r="F134" s="2713"/>
      <c r="G134" s="2714"/>
      <c r="H134" s="2713"/>
      <c r="I134" s="2714"/>
      <c r="J134" s="2713"/>
      <c r="K134" s="2713"/>
      <c r="L134" s="2714"/>
      <c r="M134" s="2713"/>
      <c r="N134" s="2713"/>
      <c r="O134" s="2714"/>
      <c r="P134" s="2713"/>
      <c r="Q134" s="2713"/>
      <c r="R134" s="2715"/>
    </row>
    <row r="135" spans="2:18" s="906" customFormat="1">
      <c r="B135" s="2713"/>
      <c r="C135" s="2713"/>
      <c r="D135" s="2713"/>
      <c r="E135" s="2713"/>
      <c r="F135" s="2713"/>
      <c r="G135" s="2714"/>
      <c r="H135" s="2713"/>
      <c r="I135" s="2714"/>
      <c r="J135" s="2713"/>
      <c r="K135" s="2713"/>
      <c r="L135" s="2714"/>
      <c r="M135" s="2713"/>
      <c r="N135" s="2713"/>
      <c r="O135" s="2714"/>
      <c r="P135" s="2713"/>
      <c r="Q135" s="2713"/>
      <c r="R135" s="2715"/>
    </row>
    <row r="136" spans="2:18" s="906" customFormat="1">
      <c r="B136" s="2713"/>
      <c r="C136" s="2713"/>
      <c r="D136" s="2713"/>
      <c r="E136" s="2713"/>
      <c r="F136" s="2713"/>
      <c r="G136" s="2714"/>
      <c r="H136" s="2713"/>
      <c r="I136" s="2714"/>
      <c r="J136" s="2713"/>
      <c r="K136" s="2713"/>
      <c r="L136" s="2714"/>
      <c r="M136" s="2713"/>
      <c r="N136" s="2713"/>
      <c r="O136" s="2714"/>
      <c r="P136" s="2713"/>
      <c r="Q136" s="2713"/>
      <c r="R136" s="2715"/>
    </row>
    <row r="137" spans="2:18" s="906" customFormat="1">
      <c r="B137" s="2713"/>
      <c r="C137" s="2713"/>
      <c r="D137" s="2713"/>
      <c r="E137" s="2713"/>
      <c r="F137" s="2713"/>
      <c r="G137" s="2714"/>
      <c r="H137" s="2713"/>
      <c r="I137" s="2714"/>
      <c r="J137" s="2713"/>
      <c r="K137" s="2713"/>
      <c r="L137" s="2714"/>
      <c r="M137" s="2713"/>
      <c r="N137" s="2713"/>
      <c r="O137" s="2714"/>
      <c r="P137" s="2713"/>
      <c r="Q137" s="2713"/>
      <c r="R137" s="2715"/>
    </row>
    <row r="138" spans="2:18" s="906" customFormat="1">
      <c r="B138" s="2713"/>
      <c r="C138" s="2713"/>
      <c r="D138" s="2713"/>
      <c r="E138" s="2713"/>
      <c r="F138" s="2713"/>
      <c r="G138" s="2714"/>
      <c r="H138" s="2713"/>
      <c r="I138" s="2714"/>
      <c r="J138" s="2713"/>
      <c r="K138" s="2713"/>
      <c r="L138" s="2714"/>
      <c r="M138" s="2713"/>
      <c r="N138" s="2713"/>
      <c r="O138" s="2714"/>
      <c r="P138" s="2713"/>
      <c r="Q138" s="2713"/>
      <c r="R138" s="2715"/>
    </row>
    <row r="139" spans="2:18" s="906" customFormat="1">
      <c r="B139" s="2713"/>
      <c r="C139" s="2713"/>
      <c r="D139" s="2713"/>
      <c r="E139" s="2713"/>
      <c r="F139" s="2713"/>
      <c r="G139" s="2714"/>
      <c r="H139" s="2713"/>
      <c r="I139" s="2714"/>
      <c r="J139" s="2713"/>
      <c r="K139" s="2713"/>
      <c r="L139" s="2714"/>
      <c r="M139" s="2713"/>
      <c r="N139" s="2713"/>
      <c r="O139" s="2714"/>
      <c r="P139" s="2713"/>
      <c r="Q139" s="2713"/>
      <c r="R139" s="2715"/>
    </row>
    <row r="140" spans="2:18" s="906" customFormat="1">
      <c r="B140" s="2713"/>
      <c r="C140" s="2713"/>
      <c r="D140" s="2713"/>
      <c r="E140" s="2713"/>
      <c r="F140" s="2713"/>
      <c r="G140" s="2714"/>
      <c r="H140" s="2713"/>
      <c r="I140" s="2714"/>
      <c r="J140" s="2713"/>
      <c r="K140" s="2713"/>
      <c r="L140" s="2714"/>
      <c r="M140" s="2713"/>
      <c r="N140" s="2713"/>
      <c r="O140" s="2714"/>
      <c r="P140" s="2713"/>
      <c r="Q140" s="2713"/>
      <c r="R140" s="2715"/>
    </row>
    <row r="141" spans="2:18" s="906" customFormat="1">
      <c r="B141" s="2713"/>
      <c r="C141" s="2713"/>
      <c r="D141" s="2713"/>
      <c r="E141" s="2713"/>
      <c r="F141" s="2713"/>
      <c r="G141" s="2714"/>
      <c r="H141" s="2713"/>
      <c r="I141" s="2714"/>
      <c r="J141" s="2713"/>
      <c r="K141" s="2713"/>
      <c r="L141" s="2714"/>
      <c r="M141" s="2713"/>
      <c r="N141" s="2713"/>
      <c r="O141" s="2714"/>
      <c r="P141" s="2713"/>
      <c r="Q141" s="2713"/>
      <c r="R141" s="2715"/>
    </row>
    <row r="142" spans="2:18" s="906" customFormat="1">
      <c r="B142" s="2713"/>
      <c r="C142" s="2713"/>
      <c r="D142" s="2713"/>
      <c r="E142" s="2713"/>
      <c r="F142" s="2713"/>
      <c r="G142" s="2714"/>
      <c r="H142" s="2713"/>
      <c r="I142" s="2714"/>
      <c r="J142" s="2713"/>
      <c r="K142" s="2713"/>
      <c r="L142" s="2714"/>
      <c r="M142" s="2713"/>
      <c r="N142" s="2713"/>
      <c r="O142" s="2714"/>
      <c r="P142" s="2713"/>
      <c r="Q142" s="2713"/>
      <c r="R142" s="2715"/>
    </row>
    <row r="143" spans="2:18" s="906" customFormat="1">
      <c r="B143" s="2713"/>
      <c r="C143" s="2713"/>
      <c r="D143" s="2713"/>
      <c r="E143" s="2713"/>
      <c r="F143" s="2713"/>
      <c r="G143" s="2714"/>
      <c r="H143" s="2713"/>
      <c r="I143" s="2714"/>
      <c r="J143" s="2713"/>
      <c r="K143" s="2713"/>
      <c r="L143" s="2714"/>
      <c r="M143" s="2713"/>
      <c r="N143" s="2713"/>
      <c r="O143" s="2714"/>
      <c r="P143" s="2713"/>
      <c r="Q143" s="2713"/>
      <c r="R143" s="2715"/>
    </row>
    <row r="144" spans="2:18" s="906" customFormat="1">
      <c r="B144" s="2713"/>
      <c r="C144" s="2713"/>
      <c r="D144" s="2713"/>
      <c r="E144" s="2713"/>
      <c r="F144" s="2713"/>
      <c r="G144" s="2714"/>
      <c r="H144" s="2713"/>
      <c r="I144" s="2714"/>
      <c r="J144" s="2713"/>
      <c r="K144" s="2713"/>
      <c r="L144" s="2714"/>
      <c r="M144" s="2713"/>
      <c r="N144" s="2713"/>
      <c r="O144" s="2714"/>
      <c r="P144" s="2713"/>
      <c r="Q144" s="2713"/>
      <c r="R144" s="2715"/>
    </row>
    <row r="145" spans="2:18" s="906" customFormat="1">
      <c r="B145" s="2713"/>
      <c r="C145" s="2713"/>
      <c r="D145" s="2713"/>
      <c r="E145" s="2713"/>
      <c r="F145" s="2713"/>
      <c r="G145" s="2714"/>
      <c r="H145" s="2713"/>
      <c r="I145" s="2714"/>
      <c r="J145" s="2713"/>
      <c r="K145" s="2713"/>
      <c r="L145" s="2714"/>
      <c r="M145" s="2713"/>
      <c r="N145" s="2713"/>
      <c r="O145" s="2714"/>
      <c r="P145" s="2713"/>
      <c r="Q145" s="2713"/>
      <c r="R145" s="2715"/>
    </row>
    <row r="146" spans="2:18" s="906" customFormat="1">
      <c r="B146" s="2713"/>
      <c r="C146" s="2713"/>
      <c r="D146" s="2713"/>
      <c r="E146" s="2713"/>
      <c r="F146" s="2713"/>
      <c r="G146" s="2714"/>
      <c r="H146" s="2713"/>
      <c r="I146" s="2714"/>
      <c r="J146" s="2713"/>
      <c r="K146" s="2713"/>
      <c r="L146" s="2714"/>
      <c r="M146" s="2713"/>
      <c r="N146" s="2713"/>
      <c r="O146" s="2714"/>
      <c r="P146" s="2713"/>
      <c r="Q146" s="2713"/>
      <c r="R146" s="2715"/>
    </row>
    <row r="147" spans="2:18" s="906" customFormat="1">
      <c r="B147" s="2713"/>
      <c r="C147" s="2713"/>
      <c r="D147" s="2713"/>
      <c r="E147" s="2713"/>
      <c r="F147" s="2713"/>
      <c r="G147" s="2714"/>
      <c r="H147" s="2713"/>
      <c r="I147" s="2714"/>
      <c r="J147" s="2713"/>
      <c r="K147" s="2713"/>
      <c r="L147" s="2714"/>
      <c r="M147" s="2713"/>
      <c r="N147" s="2713"/>
      <c r="O147" s="2714"/>
      <c r="P147" s="2713"/>
      <c r="Q147" s="2713"/>
      <c r="R147" s="2715"/>
    </row>
    <row r="148" spans="2:18" s="906" customFormat="1">
      <c r="B148" s="2713"/>
      <c r="C148" s="2713"/>
      <c r="D148" s="2713"/>
      <c r="E148" s="2713"/>
      <c r="F148" s="2713"/>
      <c r="G148" s="2714"/>
      <c r="H148" s="2713"/>
      <c r="I148" s="2714"/>
      <c r="J148" s="2713"/>
      <c r="K148" s="2713"/>
      <c r="L148" s="2714"/>
      <c r="M148" s="2713"/>
      <c r="N148" s="2713"/>
      <c r="O148" s="2714"/>
      <c r="P148" s="2713"/>
      <c r="Q148" s="2713"/>
      <c r="R148" s="2715"/>
    </row>
    <row r="149" spans="2:18" s="906" customFormat="1">
      <c r="B149" s="2713"/>
      <c r="C149" s="2713"/>
      <c r="D149" s="2713"/>
      <c r="E149" s="2713"/>
      <c r="F149" s="2713"/>
      <c r="G149" s="2714"/>
      <c r="H149" s="2713"/>
      <c r="I149" s="2714"/>
      <c r="J149" s="2713"/>
      <c r="K149" s="2713"/>
      <c r="L149" s="2714"/>
      <c r="M149" s="2713"/>
      <c r="N149" s="2713"/>
      <c r="O149" s="2714"/>
      <c r="P149" s="2713"/>
      <c r="Q149" s="2713"/>
      <c r="R149" s="2715"/>
    </row>
    <row r="150" spans="2:18" s="906" customFormat="1">
      <c r="B150" s="2713"/>
      <c r="C150" s="2713"/>
      <c r="D150" s="2713"/>
      <c r="E150" s="2713"/>
      <c r="F150" s="2713"/>
      <c r="G150" s="2714"/>
      <c r="H150" s="2713"/>
      <c r="I150" s="2714"/>
      <c r="J150" s="2713"/>
      <c r="K150" s="2713"/>
      <c r="L150" s="2714"/>
      <c r="M150" s="2713"/>
      <c r="N150" s="2713"/>
      <c r="O150" s="2714"/>
      <c r="P150" s="2713"/>
      <c r="Q150" s="2713"/>
      <c r="R150" s="2715"/>
    </row>
    <row r="151" spans="2:18" s="906" customFormat="1">
      <c r="B151" s="2713"/>
      <c r="C151" s="2713"/>
      <c r="D151" s="2713"/>
      <c r="E151" s="2713"/>
      <c r="F151" s="2713"/>
      <c r="G151" s="2714"/>
      <c r="H151" s="2713"/>
      <c r="I151" s="2714"/>
      <c r="J151" s="2713"/>
      <c r="K151" s="2713"/>
      <c r="L151" s="2714"/>
      <c r="M151" s="2713"/>
      <c r="N151" s="2713"/>
      <c r="O151" s="2714"/>
      <c r="P151" s="2713"/>
      <c r="Q151" s="2713"/>
      <c r="R151" s="2715"/>
    </row>
    <row r="152" spans="2:18" s="906" customFormat="1">
      <c r="B152" s="2713"/>
      <c r="C152" s="2713"/>
      <c r="D152" s="2713"/>
      <c r="E152" s="2713"/>
      <c r="F152" s="2713"/>
      <c r="G152" s="2714"/>
      <c r="H152" s="2713"/>
      <c r="I152" s="2714"/>
      <c r="J152" s="2713"/>
      <c r="K152" s="2713"/>
      <c r="L152" s="2714"/>
      <c r="M152" s="2713"/>
      <c r="N152" s="2713"/>
      <c r="O152" s="2714"/>
      <c r="P152" s="2713"/>
      <c r="Q152" s="2713"/>
      <c r="R152" s="2715"/>
    </row>
    <row r="153" spans="2:18" s="906" customFormat="1">
      <c r="B153" s="2713"/>
      <c r="C153" s="2713"/>
      <c r="D153" s="2713"/>
      <c r="E153" s="2713"/>
      <c r="F153" s="2713"/>
      <c r="G153" s="2714"/>
      <c r="H153" s="2713"/>
      <c r="I153" s="2714"/>
      <c r="J153" s="2713"/>
      <c r="K153" s="2713"/>
      <c r="L153" s="2714"/>
      <c r="M153" s="2713"/>
      <c r="N153" s="2713"/>
      <c r="O153" s="2714"/>
      <c r="P153" s="2713"/>
      <c r="Q153" s="2713"/>
      <c r="R153" s="2715"/>
    </row>
    <row r="154" spans="2:18" s="906" customFormat="1">
      <c r="B154" s="2713"/>
      <c r="C154" s="2713"/>
      <c r="D154" s="2713"/>
      <c r="E154" s="2713"/>
      <c r="F154" s="2713"/>
      <c r="G154" s="2714"/>
      <c r="H154" s="2713"/>
      <c r="I154" s="2714"/>
      <c r="J154" s="2713"/>
      <c r="K154" s="2713"/>
      <c r="L154" s="2714"/>
      <c r="M154" s="2713"/>
      <c r="N154" s="2713"/>
      <c r="O154" s="2714"/>
      <c r="P154" s="2713"/>
      <c r="Q154" s="2713"/>
      <c r="R154" s="2715"/>
    </row>
    <row r="155" spans="2:18" s="906" customFormat="1">
      <c r="B155" s="2713"/>
      <c r="C155" s="2713"/>
      <c r="D155" s="2713"/>
      <c r="E155" s="2713"/>
      <c r="F155" s="2713"/>
      <c r="G155" s="2714"/>
      <c r="H155" s="2713"/>
      <c r="I155" s="2714"/>
      <c r="J155" s="2713"/>
      <c r="K155" s="2713"/>
      <c r="L155" s="2714"/>
      <c r="M155" s="2713"/>
      <c r="N155" s="2713"/>
      <c r="O155" s="2714"/>
      <c r="P155" s="2713"/>
      <c r="Q155" s="2713"/>
      <c r="R155" s="2715"/>
    </row>
    <row r="156" spans="2:18" s="906" customFormat="1">
      <c r="B156" s="2713"/>
      <c r="C156" s="2713"/>
      <c r="D156" s="2713"/>
      <c r="E156" s="2713"/>
      <c r="F156" s="2713"/>
      <c r="G156" s="2714"/>
      <c r="H156" s="2713"/>
      <c r="I156" s="2714"/>
      <c r="J156" s="2713"/>
      <c r="K156" s="2713"/>
      <c r="L156" s="2714"/>
      <c r="M156" s="2713"/>
      <c r="N156" s="2713"/>
      <c r="O156" s="2714"/>
      <c r="P156" s="2713"/>
      <c r="Q156" s="2713"/>
      <c r="R156" s="2715"/>
    </row>
    <row r="157" spans="2:18" s="906" customFormat="1">
      <c r="B157" s="2713"/>
      <c r="C157" s="2713"/>
      <c r="D157" s="2713"/>
      <c r="E157" s="2713"/>
      <c r="F157" s="2713"/>
      <c r="G157" s="2714"/>
      <c r="H157" s="2713"/>
      <c r="I157" s="2714"/>
      <c r="J157" s="2713"/>
      <c r="K157" s="2713"/>
      <c r="L157" s="2714"/>
      <c r="M157" s="2713"/>
      <c r="N157" s="2713"/>
      <c r="O157" s="2714"/>
      <c r="P157" s="2713"/>
      <c r="Q157" s="2713"/>
      <c r="R157" s="2715"/>
    </row>
    <row r="158" spans="2:18" s="906" customFormat="1">
      <c r="B158" s="2713"/>
      <c r="C158" s="2713"/>
      <c r="D158" s="2713"/>
      <c r="E158" s="2713"/>
      <c r="F158" s="2713"/>
      <c r="G158" s="2714"/>
      <c r="H158" s="2713"/>
      <c r="I158" s="2714"/>
      <c r="J158" s="2713"/>
      <c r="K158" s="2713"/>
      <c r="L158" s="2714"/>
      <c r="M158" s="2713"/>
      <c r="N158" s="2713"/>
      <c r="O158" s="2714"/>
      <c r="P158" s="2713"/>
      <c r="Q158" s="2713"/>
      <c r="R158" s="2715"/>
    </row>
    <row r="159" spans="2:18" s="906" customFormat="1">
      <c r="B159" s="2713"/>
      <c r="C159" s="2713"/>
      <c r="D159" s="2713"/>
      <c r="E159" s="2713"/>
      <c r="F159" s="2713"/>
      <c r="G159" s="2714"/>
      <c r="H159" s="2713"/>
      <c r="I159" s="2714"/>
      <c r="J159" s="2713"/>
      <c r="K159" s="2713"/>
      <c r="L159" s="2714"/>
      <c r="M159" s="2713"/>
      <c r="N159" s="2713"/>
      <c r="O159" s="2714"/>
      <c r="P159" s="2713"/>
      <c r="Q159" s="2713"/>
      <c r="R159" s="2715"/>
    </row>
    <row r="160" spans="2:18" s="906" customFormat="1">
      <c r="B160" s="2713"/>
      <c r="C160" s="2713"/>
      <c r="D160" s="2713"/>
      <c r="E160" s="2713"/>
      <c r="F160" s="2713"/>
      <c r="G160" s="2714"/>
      <c r="H160" s="2713"/>
      <c r="I160" s="2714"/>
      <c r="J160" s="2713"/>
      <c r="K160" s="2713"/>
      <c r="L160" s="2714"/>
      <c r="M160" s="2713"/>
      <c r="N160" s="2713"/>
      <c r="O160" s="2714"/>
      <c r="P160" s="2713"/>
      <c r="Q160" s="2713"/>
      <c r="R160" s="2715"/>
    </row>
    <row r="161" spans="2:18" s="906" customFormat="1">
      <c r="B161" s="2713"/>
      <c r="C161" s="2713"/>
      <c r="D161" s="2713"/>
      <c r="E161" s="2713"/>
      <c r="F161" s="2713"/>
      <c r="G161" s="2714"/>
      <c r="H161" s="2713"/>
      <c r="I161" s="2714"/>
      <c r="J161" s="2713"/>
      <c r="K161" s="2713"/>
      <c r="L161" s="2714"/>
      <c r="M161" s="2713"/>
      <c r="N161" s="2713"/>
      <c r="O161" s="2714"/>
      <c r="P161" s="2713"/>
      <c r="Q161" s="2713"/>
      <c r="R161" s="2715"/>
    </row>
    <row r="162" spans="2:18" s="906" customFormat="1">
      <c r="B162" s="2713"/>
      <c r="C162" s="2713"/>
      <c r="D162" s="2713"/>
      <c r="E162" s="2713"/>
      <c r="F162" s="2713"/>
      <c r="G162" s="2714"/>
      <c r="H162" s="2713"/>
      <c r="I162" s="2714"/>
      <c r="J162" s="2713"/>
      <c r="K162" s="2713"/>
      <c r="L162" s="2714"/>
      <c r="M162" s="2713"/>
      <c r="N162" s="2713"/>
      <c r="O162" s="2714"/>
      <c r="P162" s="2713"/>
      <c r="Q162" s="2713"/>
      <c r="R162" s="2715"/>
    </row>
    <row r="163" spans="2:18" s="906" customFormat="1">
      <c r="B163" s="2713"/>
      <c r="C163" s="2713"/>
      <c r="D163" s="2713"/>
      <c r="E163" s="2713"/>
      <c r="F163" s="2713"/>
      <c r="G163" s="2714"/>
      <c r="H163" s="2713"/>
      <c r="I163" s="2714"/>
      <c r="J163" s="2713"/>
      <c r="K163" s="2713"/>
      <c r="L163" s="2714"/>
      <c r="M163" s="2713"/>
      <c r="N163" s="2713"/>
      <c r="O163" s="2714"/>
      <c r="P163" s="2713"/>
      <c r="Q163" s="2713"/>
      <c r="R163" s="2715"/>
    </row>
    <row r="164" spans="2:18" s="906" customFormat="1">
      <c r="B164" s="2713"/>
      <c r="C164" s="2713"/>
      <c r="D164" s="2713"/>
      <c r="E164" s="2713"/>
      <c r="F164" s="2713"/>
      <c r="G164" s="2714"/>
      <c r="H164" s="2713"/>
      <c r="I164" s="2714"/>
      <c r="J164" s="2713"/>
      <c r="K164" s="2713"/>
      <c r="L164" s="2714"/>
      <c r="M164" s="2713"/>
      <c r="N164" s="2713"/>
      <c r="O164" s="2714"/>
      <c r="P164" s="2713"/>
      <c r="Q164" s="2713"/>
      <c r="R164" s="2715"/>
    </row>
    <row r="165" spans="2:18" s="906" customFormat="1">
      <c r="B165" s="2713"/>
      <c r="C165" s="2713"/>
      <c r="D165" s="2713"/>
      <c r="E165" s="2713"/>
      <c r="F165" s="2713"/>
      <c r="G165" s="2714"/>
      <c r="H165" s="2713"/>
      <c r="I165" s="2714"/>
      <c r="J165" s="2713"/>
      <c r="K165" s="2713"/>
      <c r="L165" s="2714"/>
      <c r="M165" s="2713"/>
      <c r="N165" s="2713"/>
      <c r="O165" s="2714"/>
      <c r="P165" s="2713"/>
      <c r="Q165" s="2713"/>
      <c r="R165" s="2715"/>
    </row>
    <row r="166" spans="2:18" s="906" customFormat="1">
      <c r="B166" s="2713"/>
      <c r="C166" s="2713"/>
      <c r="D166" s="2713"/>
      <c r="E166" s="2713"/>
      <c r="F166" s="2713"/>
      <c r="G166" s="2714"/>
      <c r="H166" s="2713"/>
      <c r="I166" s="2714"/>
      <c r="J166" s="2713"/>
      <c r="K166" s="2713"/>
      <c r="L166" s="2714"/>
      <c r="M166" s="2713"/>
      <c r="N166" s="2713"/>
      <c r="O166" s="2714"/>
      <c r="P166" s="2713"/>
      <c r="Q166" s="2713"/>
      <c r="R166" s="2715"/>
    </row>
    <row r="167" spans="2:18" s="906" customFormat="1">
      <c r="B167" s="2713"/>
      <c r="C167" s="2713"/>
      <c r="D167" s="2713"/>
      <c r="E167" s="2713"/>
      <c r="F167" s="2713"/>
      <c r="G167" s="2714"/>
      <c r="H167" s="2713"/>
      <c r="I167" s="2714"/>
      <c r="J167" s="2713"/>
      <c r="K167" s="2713"/>
      <c r="L167" s="2714"/>
      <c r="M167" s="2713"/>
      <c r="N167" s="2713"/>
      <c r="O167" s="2714"/>
      <c r="P167" s="2713"/>
      <c r="Q167" s="2713"/>
      <c r="R167" s="2715"/>
    </row>
    <row r="168" spans="2:18" s="906" customFormat="1">
      <c r="B168" s="2713"/>
      <c r="C168" s="2713"/>
      <c r="D168" s="2713"/>
      <c r="E168" s="2713"/>
      <c r="F168" s="2713"/>
      <c r="G168" s="2714"/>
      <c r="H168" s="2713"/>
      <c r="I168" s="2714"/>
      <c r="J168" s="2713"/>
      <c r="K168" s="2713"/>
      <c r="L168" s="2714"/>
      <c r="M168" s="2713"/>
      <c r="N168" s="2713"/>
      <c r="O168" s="2714"/>
      <c r="P168" s="2713"/>
      <c r="Q168" s="2713"/>
      <c r="R168" s="2715"/>
    </row>
    <row r="169" spans="2:18" s="906" customFormat="1">
      <c r="B169" s="2713"/>
      <c r="C169" s="2713"/>
      <c r="D169" s="2713"/>
      <c r="E169" s="2713"/>
      <c r="F169" s="2713"/>
      <c r="G169" s="2714"/>
      <c r="H169" s="2713"/>
      <c r="I169" s="2714"/>
      <c r="J169" s="2713"/>
      <c r="K169" s="2713"/>
      <c r="L169" s="2714"/>
      <c r="M169" s="2713"/>
      <c r="N169" s="2713"/>
      <c r="O169" s="2714"/>
      <c r="P169" s="2713"/>
      <c r="Q169" s="2713"/>
      <c r="R169" s="2715"/>
    </row>
    <row r="170" spans="2:18" s="906" customFormat="1">
      <c r="B170" s="2713"/>
      <c r="C170" s="2713"/>
      <c r="D170" s="2713"/>
      <c r="E170" s="2713"/>
      <c r="F170" s="2713"/>
      <c r="G170" s="2714"/>
      <c r="H170" s="2713"/>
      <c r="I170" s="2714"/>
      <c r="J170" s="2713"/>
      <c r="K170" s="2713"/>
      <c r="L170" s="2714"/>
      <c r="M170" s="2713"/>
      <c r="N170" s="2713"/>
      <c r="O170" s="2714"/>
      <c r="P170" s="2713"/>
      <c r="Q170" s="2713"/>
      <c r="R170" s="2715"/>
    </row>
    <row r="171" spans="2:18" s="906" customFormat="1">
      <c r="B171" s="2713"/>
      <c r="C171" s="2713"/>
      <c r="D171" s="2713"/>
      <c r="E171" s="2713"/>
      <c r="F171" s="2713"/>
      <c r="G171" s="2714"/>
      <c r="H171" s="2713"/>
      <c r="I171" s="2714"/>
      <c r="J171" s="2713"/>
      <c r="K171" s="2713"/>
      <c r="L171" s="2714"/>
      <c r="M171" s="2713"/>
      <c r="N171" s="2713"/>
      <c r="O171" s="2714"/>
      <c r="P171" s="2713"/>
      <c r="Q171" s="2713"/>
      <c r="R171" s="2715"/>
    </row>
    <row r="172" spans="2:18" s="906" customFormat="1">
      <c r="B172" s="2713"/>
      <c r="C172" s="2713"/>
      <c r="D172" s="2713"/>
      <c r="E172" s="2713"/>
      <c r="F172" s="2713"/>
      <c r="G172" s="2714"/>
      <c r="H172" s="2713"/>
      <c r="I172" s="2714"/>
      <c r="J172" s="2713"/>
      <c r="K172" s="2713"/>
      <c r="L172" s="2714"/>
      <c r="M172" s="2713"/>
      <c r="N172" s="2713"/>
      <c r="O172" s="2714"/>
      <c r="P172" s="2713"/>
      <c r="Q172" s="2713"/>
      <c r="R172" s="2715"/>
    </row>
    <row r="173" spans="2:18" s="906" customFormat="1">
      <c r="B173" s="2713"/>
      <c r="C173" s="2713"/>
      <c r="D173" s="2713"/>
      <c r="E173" s="2713"/>
      <c r="F173" s="2713"/>
      <c r="G173" s="2714"/>
      <c r="H173" s="2713"/>
      <c r="I173" s="2714"/>
      <c r="J173" s="2713"/>
      <c r="K173" s="2713"/>
      <c r="L173" s="2714"/>
      <c r="M173" s="2713"/>
      <c r="N173" s="2713"/>
      <c r="O173" s="2714"/>
      <c r="P173" s="2713"/>
      <c r="Q173" s="2713"/>
      <c r="R173" s="2715"/>
    </row>
    <row r="174" spans="2:18" s="906" customFormat="1">
      <c r="B174" s="2713"/>
      <c r="C174" s="2713"/>
      <c r="D174" s="2713"/>
      <c r="E174" s="2713"/>
      <c r="F174" s="2713"/>
      <c r="G174" s="2714"/>
      <c r="H174" s="2713"/>
      <c r="I174" s="2714"/>
      <c r="J174" s="2713"/>
      <c r="K174" s="2713"/>
      <c r="L174" s="2714"/>
      <c r="M174" s="2713"/>
      <c r="N174" s="2713"/>
      <c r="O174" s="2714"/>
      <c r="P174" s="2713"/>
      <c r="Q174" s="2713"/>
      <c r="R174" s="2715"/>
    </row>
    <row r="175" spans="2:18" s="906" customFormat="1">
      <c r="B175" s="2713"/>
      <c r="C175" s="2713"/>
      <c r="D175" s="2713"/>
      <c r="E175" s="2713"/>
      <c r="F175" s="2713"/>
      <c r="G175" s="2714"/>
      <c r="H175" s="2713"/>
      <c r="I175" s="2714"/>
      <c r="J175" s="2713"/>
      <c r="K175" s="2713"/>
      <c r="L175" s="2714"/>
      <c r="M175" s="2713"/>
      <c r="N175" s="2713"/>
      <c r="O175" s="2714"/>
      <c r="P175" s="2713"/>
      <c r="Q175" s="2713"/>
      <c r="R175" s="2715"/>
    </row>
    <row r="176" spans="2:18" s="906" customFormat="1">
      <c r="B176" s="2713"/>
      <c r="C176" s="2713"/>
      <c r="D176" s="2713"/>
      <c r="E176" s="2713"/>
      <c r="F176" s="2713"/>
      <c r="G176" s="2714"/>
      <c r="H176" s="2713"/>
      <c r="I176" s="2714"/>
      <c r="J176" s="2713"/>
      <c r="K176" s="2713"/>
      <c r="L176" s="2714"/>
      <c r="M176" s="2713"/>
      <c r="N176" s="2713"/>
      <c r="O176" s="2714"/>
      <c r="P176" s="2713"/>
      <c r="Q176" s="2713"/>
      <c r="R176" s="2715"/>
    </row>
    <row r="177" spans="1:18" s="906" customFormat="1">
      <c r="B177" s="2713"/>
      <c r="C177" s="2713"/>
      <c r="D177" s="2713"/>
      <c r="E177" s="2713"/>
      <c r="F177" s="2713"/>
      <c r="G177" s="2714"/>
      <c r="H177" s="2713"/>
      <c r="I177" s="2714"/>
      <c r="J177" s="2713"/>
      <c r="K177" s="2713"/>
      <c r="L177" s="2714"/>
      <c r="M177" s="2713"/>
      <c r="N177" s="2713"/>
      <c r="O177" s="2714"/>
      <c r="P177" s="2713"/>
      <c r="Q177" s="2713"/>
      <c r="R177" s="2715"/>
    </row>
    <row r="178" spans="1:18" s="906" customFormat="1">
      <c r="B178" s="2713"/>
      <c r="C178" s="2713"/>
      <c r="D178" s="2713"/>
      <c r="E178" s="2713"/>
      <c r="F178" s="2713"/>
      <c r="G178" s="2714"/>
      <c r="H178" s="2713"/>
      <c r="I178" s="2714"/>
      <c r="J178" s="2713"/>
      <c r="K178" s="2713"/>
      <c r="L178" s="2714"/>
      <c r="M178" s="2713"/>
      <c r="N178" s="2713"/>
      <c r="O178" s="2714"/>
      <c r="P178" s="2713"/>
      <c r="Q178" s="2713"/>
      <c r="R178" s="2715"/>
    </row>
    <row r="179" spans="1:18" s="906" customFormat="1">
      <c r="B179" s="2713"/>
      <c r="C179" s="2713"/>
      <c r="D179" s="2713"/>
      <c r="E179" s="2713"/>
      <c r="F179" s="2713"/>
      <c r="G179" s="2714"/>
      <c r="H179" s="2713"/>
      <c r="I179" s="2714"/>
      <c r="J179" s="2713"/>
      <c r="K179" s="2713"/>
      <c r="L179" s="2714"/>
      <c r="M179" s="2713"/>
      <c r="N179" s="2713"/>
      <c r="O179" s="2714"/>
      <c r="P179" s="2713"/>
      <c r="Q179" s="2713"/>
      <c r="R179" s="2715"/>
    </row>
    <row r="180" spans="1:18" s="906" customFormat="1">
      <c r="B180" s="2713"/>
      <c r="C180" s="2713"/>
      <c r="D180" s="2713"/>
      <c r="E180" s="2713"/>
      <c r="F180" s="2713"/>
      <c r="G180" s="2714"/>
      <c r="H180" s="2713"/>
      <c r="I180" s="2714"/>
      <c r="J180" s="2713"/>
      <c r="K180" s="2713"/>
      <c r="L180" s="2714"/>
      <c r="M180" s="2713"/>
      <c r="N180" s="2713"/>
      <c r="O180" s="2714"/>
      <c r="P180" s="2713"/>
      <c r="Q180" s="2713"/>
      <c r="R180" s="2715"/>
    </row>
    <row r="181" spans="1:18" s="906" customFormat="1">
      <c r="B181" s="2713"/>
      <c r="C181" s="2713"/>
      <c r="D181" s="2713"/>
      <c r="E181" s="2713"/>
      <c r="F181" s="2713"/>
      <c r="G181" s="2714"/>
      <c r="H181" s="2713"/>
      <c r="I181" s="2714"/>
      <c r="J181" s="2713"/>
      <c r="K181" s="2713"/>
      <c r="L181" s="2714"/>
      <c r="M181" s="2713"/>
      <c r="N181" s="2713"/>
      <c r="O181" s="2714"/>
      <c r="P181" s="2713"/>
      <c r="Q181" s="2713"/>
      <c r="R181" s="2715"/>
    </row>
    <row r="182" spans="1:18" s="906" customFormat="1">
      <c r="B182" s="2713"/>
      <c r="C182" s="2713"/>
      <c r="D182" s="2713"/>
      <c r="E182" s="2713"/>
      <c r="F182" s="2713"/>
      <c r="G182" s="2714"/>
      <c r="H182" s="2713"/>
      <c r="I182" s="2714"/>
      <c r="J182" s="2713"/>
      <c r="K182" s="2713"/>
      <c r="L182" s="2714"/>
      <c r="M182" s="2713"/>
      <c r="N182" s="2713"/>
      <c r="O182" s="2714"/>
      <c r="P182" s="2713"/>
      <c r="Q182" s="2713"/>
      <c r="R182" s="2715"/>
    </row>
    <row r="183" spans="1:18" s="906" customFormat="1">
      <c r="B183" s="2713"/>
      <c r="C183" s="2713"/>
      <c r="D183" s="2713"/>
      <c r="E183" s="2713"/>
      <c r="F183" s="2713"/>
      <c r="G183" s="2714"/>
      <c r="H183" s="2713"/>
      <c r="I183" s="2714"/>
      <c r="J183" s="2713"/>
      <c r="K183" s="2713"/>
      <c r="L183" s="2714"/>
      <c r="M183" s="2713"/>
      <c r="N183" s="2713"/>
      <c r="O183" s="2714"/>
      <c r="P183" s="2713"/>
      <c r="Q183" s="2713"/>
      <c r="R183" s="2715"/>
    </row>
    <row r="184" spans="1:18" s="906" customFormat="1">
      <c r="B184" s="2713"/>
      <c r="C184" s="2713"/>
      <c r="D184" s="2713"/>
      <c r="E184" s="2713"/>
      <c r="F184" s="2713"/>
      <c r="G184" s="2714"/>
      <c r="H184" s="2713"/>
      <c r="I184" s="2714"/>
      <c r="J184" s="2713"/>
      <c r="K184" s="2713"/>
      <c r="L184" s="2714"/>
      <c r="M184" s="2713"/>
      <c r="N184" s="2713"/>
      <c r="O184" s="2714"/>
      <c r="P184" s="2713"/>
      <c r="Q184" s="2713"/>
      <c r="R184" s="2715"/>
    </row>
    <row r="185" spans="1:18" s="90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6"/>
      <c r="B186" s="2713"/>
      <c r="C186" s="2713"/>
      <c r="E186" s="2713"/>
      <c r="F186" s="2713"/>
      <c r="G186" s="2714"/>
    </row>
    <row r="187" spans="1:18">
      <c r="A187" s="906"/>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34910.400000000001</v>
      </c>
      <c r="C1" s="2910"/>
      <c r="D1" s="2910"/>
      <c r="E1" s="2910"/>
      <c r="F1" s="2910"/>
      <c r="G1" s="2911"/>
      <c r="H1" s="2912"/>
      <c r="I1" s="2912"/>
      <c r="J1" s="2912"/>
      <c r="K1" s="2912"/>
    </row>
    <row r="2" spans="1:11" ht="16.5">
      <c r="A2" s="2734" t="s">
        <v>1319</v>
      </c>
      <c r="B2" s="2734">
        <f>SUM(C14:C23)</f>
        <v>43638</v>
      </c>
      <c r="C2" s="2910"/>
      <c r="D2" s="2910"/>
      <c r="E2" s="2910"/>
      <c r="F2" s="2910"/>
      <c r="G2" s="2911"/>
      <c r="H2" s="2912"/>
      <c r="I2" s="2912"/>
      <c r="J2" s="2912"/>
      <c r="K2" s="2912"/>
    </row>
    <row r="3" spans="1:11" ht="16.5">
      <c r="A3" s="2734" t="s">
        <v>1328</v>
      </c>
      <c r="B3" s="2736">
        <f>项目基本情况!D3</f>
        <v>44332</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796</v>
      </c>
      <c r="C5" s="2734">
        <f ca="1">ROUND(B5*10000/$B$1,0)</f>
        <v>228</v>
      </c>
      <c r="D5" s="2734">
        <f ca="1">ROUND(B5*10000/$B$2,0)</f>
        <v>182</v>
      </c>
      <c r="E5" s="2910"/>
      <c r="F5" s="2911"/>
      <c r="G5" s="2911"/>
      <c r="H5" s="2912"/>
      <c r="I5" s="2912"/>
      <c r="J5" s="2912"/>
      <c r="K5" s="2912"/>
    </row>
    <row r="6" spans="1:11" ht="16.5">
      <c r="A6" s="2734" t="s">
        <v>1322</v>
      </c>
      <c r="B6" s="2734">
        <f>SUM(G14:G23)</f>
        <v>0</v>
      </c>
      <c r="C6" s="2734">
        <f>ROUND(B6*10000/$B$1,0)</f>
        <v>0</v>
      </c>
      <c r="D6" s="2734">
        <f>ROUND(B6*10000/$B$2,0)</f>
        <v>0</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SUM(I14:I23)</f>
        <v>0</v>
      </c>
      <c r="C8" s="2734">
        <f>ROUND(B8*10000/$B$1,0)</f>
        <v>0</v>
      </c>
      <c r="D8" s="2734">
        <f>ROUND(B8*10000/$B$2,0)</f>
        <v>0</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34910.400000000001</v>
      </c>
      <c r="C14" s="2740">
        <f>结果表!C118</f>
        <v>43638</v>
      </c>
      <c r="D14" s="2740">
        <f ca="1">结果表!H118+ROUND('成本法 (元)'!C51/10000,0)</f>
        <v>796</v>
      </c>
      <c r="E14" s="2740">
        <f ca="1">ROUND(D14*10000/B14,0)</f>
        <v>228</v>
      </c>
      <c r="F14" s="2740">
        <f ca="1">ROUND(D14*10000/C14,0)</f>
        <v>182</v>
      </c>
      <c r="G14" s="2740" t="s">
        <v>3176</v>
      </c>
      <c r="H14" s="2740" t="str">
        <f>结果表!D124</f>
        <v>——</v>
      </c>
      <c r="I14" s="2740" t="str">
        <f>结果表!D126</f>
        <v>——</v>
      </c>
      <c r="J14" s="2911"/>
      <c r="K14" s="2912"/>
    </row>
    <row r="15" spans="1:11" ht="16.5">
      <c r="A15" s="2739" t="s">
        <v>1315</v>
      </c>
      <c r="B15" s="2741"/>
      <c r="C15" s="2741"/>
      <c r="D15" s="2741"/>
      <c r="E15" s="2740" t="e">
        <f t="shared" ref="E15:E23" si="0">ROUND(D15*10000/B15,0)</f>
        <v>#DIV/0!</v>
      </c>
      <c r="F15" s="2740" t="e">
        <f t="shared" ref="F15:F23" si="1">ROUND(D15*10000/C15,0)</f>
        <v>#DIV/0!</v>
      </c>
      <c r="G15" s="1499"/>
      <c r="H15" s="1499"/>
      <c r="I15" s="2741"/>
      <c r="J15" s="2911"/>
      <c r="K15" s="2912"/>
    </row>
    <row r="16" spans="1:11" ht="16.5">
      <c r="A16" s="2739" t="s">
        <v>1314</v>
      </c>
      <c r="B16" s="2741"/>
      <c r="C16" s="2741"/>
      <c r="D16" s="2741"/>
      <c r="E16" s="2740" t="e">
        <f t="shared" si="0"/>
        <v>#DIV/0!</v>
      </c>
      <c r="F16" s="2740" t="e">
        <f t="shared" si="1"/>
        <v>#DIV/0!</v>
      </c>
      <c r="G16" s="1499"/>
      <c r="H16" s="1499"/>
      <c r="I16" s="2741"/>
      <c r="J16" s="2912"/>
      <c r="K16" s="2912"/>
    </row>
    <row r="17" spans="1:11" ht="16.5">
      <c r="A17" s="2739" t="s">
        <v>1313</v>
      </c>
      <c r="B17" s="2741"/>
      <c r="C17" s="2741"/>
      <c r="D17" s="2741"/>
      <c r="E17" s="2740" t="e">
        <f t="shared" si="0"/>
        <v>#DIV/0!</v>
      </c>
      <c r="F17" s="2740" t="e">
        <f t="shared" si="1"/>
        <v>#DIV/0!</v>
      </c>
      <c r="G17" s="1499"/>
      <c r="H17" s="1499"/>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c r="D1" s="1932"/>
      <c r="E1" s="1932"/>
      <c r="F1" s="1934" t="s">
        <v>1949</v>
      </c>
      <c r="G1" s="1745" t="s">
        <v>3068</v>
      </c>
      <c r="H1" s="1935" t="str">
        <f>IF(G1="现房","——","估价对象范围")</f>
        <v>——</v>
      </c>
      <c r="I1" s="1936" t="s">
        <v>3092</v>
      </c>
    </row>
    <row r="2" spans="1:12" ht="21.75" customHeight="1" thickBot="1">
      <c r="A2" s="3196" t="str">
        <f>项目基本情况!S2</f>
        <v>吉林省辽源市沙河镇沙河村二组房地产</v>
      </c>
      <c r="B2" s="3197"/>
      <c r="C2" s="3197"/>
      <c r="D2" s="3197"/>
      <c r="E2" s="3197"/>
      <c r="F2" s="3197"/>
      <c r="G2" s="3197"/>
      <c r="H2" s="3197"/>
      <c r="I2" s="3198"/>
    </row>
    <row r="3" spans="1:12" ht="12.75">
      <c r="A3" s="3200" t="s">
        <v>1950</v>
      </c>
      <c r="B3" s="3201"/>
      <c r="C3" s="3201"/>
      <c r="D3" s="3201"/>
      <c r="E3" s="3201"/>
      <c r="F3" s="3201"/>
      <c r="G3" s="3201"/>
      <c r="H3" s="3201"/>
      <c r="I3" s="3201"/>
    </row>
    <row r="4" spans="1:12" ht="14.25">
      <c r="A4" s="1939" t="s">
        <v>1951</v>
      </c>
      <c r="B4" s="1940" t="s">
        <v>1952</v>
      </c>
      <c r="C4" s="1941" t="s">
        <v>3173</v>
      </c>
      <c r="D4" s="1941" t="s">
        <v>3180</v>
      </c>
      <c r="E4" s="3202" t="s">
        <v>1953</v>
      </c>
      <c r="F4" s="3203"/>
      <c r="G4" s="3203"/>
      <c r="H4" s="3203"/>
      <c r="I4" s="3204"/>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176" t="s">
        <v>1954</v>
      </c>
      <c r="B5" s="3163">
        <v>25</v>
      </c>
      <c r="C5" s="3179"/>
      <c r="D5" s="3199"/>
      <c r="E5" s="135" t="s">
        <v>1955</v>
      </c>
      <c r="F5" s="1942"/>
      <c r="G5" s="1942"/>
      <c r="H5" s="1942"/>
      <c r="I5" s="1556"/>
    </row>
    <row r="6" spans="1:12" ht="12.75">
      <c r="A6" s="3176"/>
      <c r="B6" s="3163"/>
      <c r="C6" s="3180"/>
      <c r="D6" s="3199"/>
      <c r="E6" s="135" t="s">
        <v>1956</v>
      </c>
      <c r="F6" s="1942"/>
      <c r="G6" s="1942"/>
      <c r="H6" s="1942"/>
      <c r="I6" s="1556"/>
    </row>
    <row r="7" spans="1:12" ht="12.75">
      <c r="A7" s="3176"/>
      <c r="B7" s="3163"/>
      <c r="C7" s="3181"/>
      <c r="D7" s="3199"/>
      <c r="E7" s="135" t="s">
        <v>1957</v>
      </c>
      <c r="F7" s="1942"/>
      <c r="G7" s="1942"/>
      <c r="H7" s="1942"/>
      <c r="I7" s="1556"/>
    </row>
    <row r="8" spans="1:12" ht="12.75">
      <c r="A8" s="3176" t="s">
        <v>1958</v>
      </c>
      <c r="B8" s="3163">
        <v>15</v>
      </c>
      <c r="C8" s="3179"/>
      <c r="D8" s="3199"/>
      <c r="E8" s="135" t="s">
        <v>1959</v>
      </c>
      <c r="F8" s="1942"/>
      <c r="G8" s="1942"/>
      <c r="H8" s="1942"/>
      <c r="I8" s="1556"/>
    </row>
    <row r="9" spans="1:12" ht="12.75">
      <c r="A9" s="3176"/>
      <c r="B9" s="3163"/>
      <c r="C9" s="3181"/>
      <c r="D9" s="3199"/>
      <c r="E9" s="135" t="s">
        <v>1960</v>
      </c>
      <c r="F9" s="1942"/>
      <c r="G9" s="1942"/>
      <c r="H9" s="1942"/>
      <c r="I9" s="1556"/>
    </row>
    <row r="10" spans="1:12" ht="12.75">
      <c r="A10" s="3176" t="s">
        <v>1961</v>
      </c>
      <c r="B10" s="3163">
        <v>15</v>
      </c>
      <c r="C10" s="3179"/>
      <c r="D10" s="3199"/>
      <c r="E10" s="135" t="s">
        <v>1962</v>
      </c>
      <c r="F10" s="1942"/>
      <c r="G10" s="1942"/>
      <c r="H10" s="1942"/>
      <c r="I10" s="1556"/>
    </row>
    <row r="11" spans="1:12" ht="12.75">
      <c r="A11" s="3176"/>
      <c r="B11" s="3163"/>
      <c r="C11" s="3181"/>
      <c r="D11" s="3199"/>
      <c r="E11" s="135" t="s">
        <v>1963</v>
      </c>
      <c r="F11" s="1942"/>
      <c r="G11" s="1942"/>
      <c r="H11" s="1942"/>
      <c r="I11" s="1556"/>
    </row>
    <row r="12" spans="1:12" ht="12.75">
      <c r="A12" s="3176" t="s">
        <v>1964</v>
      </c>
      <c r="B12" s="3163">
        <v>15</v>
      </c>
      <c r="C12" s="3179"/>
      <c r="D12" s="3199"/>
      <c r="E12" s="135" t="s">
        <v>1965</v>
      </c>
      <c r="F12" s="1942"/>
      <c r="G12" s="1942"/>
      <c r="H12" s="1942"/>
      <c r="I12" s="1556"/>
    </row>
    <row r="13" spans="1:12" ht="12.75">
      <c r="A13" s="3176"/>
      <c r="B13" s="3163"/>
      <c r="C13" s="3181"/>
      <c r="D13" s="3199"/>
      <c r="E13" s="135" t="s">
        <v>1966</v>
      </c>
      <c r="F13" s="1942"/>
      <c r="G13" s="1942"/>
      <c r="H13" s="1942"/>
      <c r="I13" s="1556"/>
    </row>
    <row r="14" spans="1:12" ht="12.75">
      <c r="A14" s="3176" t="s">
        <v>1967</v>
      </c>
      <c r="B14" s="3163">
        <v>30</v>
      </c>
      <c r="C14" s="3179">
        <v>1</v>
      </c>
      <c r="D14" s="3199">
        <v>0</v>
      </c>
      <c r="E14" s="135" t="s">
        <v>1968</v>
      </c>
      <c r="F14" s="1942"/>
      <c r="G14" s="1942"/>
      <c r="H14" s="1942"/>
      <c r="I14" s="1556"/>
    </row>
    <row r="15" spans="1:12" ht="12.75">
      <c r="A15" s="3176"/>
      <c r="B15" s="3163"/>
      <c r="C15" s="3180"/>
      <c r="D15" s="3199"/>
      <c r="E15" s="135" t="s">
        <v>1969</v>
      </c>
      <c r="F15" s="1942"/>
      <c r="G15" s="1942"/>
      <c r="H15" s="1942"/>
      <c r="I15" s="1556"/>
    </row>
    <row r="16" spans="1:12" ht="12.75">
      <c r="A16" s="3176"/>
      <c r="B16" s="3163"/>
      <c r="C16" s="3181"/>
      <c r="D16" s="3199"/>
      <c r="E16" s="135" t="s">
        <v>1970</v>
      </c>
      <c r="F16" s="1942"/>
      <c r="G16" s="1942"/>
      <c r="H16" s="1942"/>
      <c r="I16" s="1556"/>
    </row>
    <row r="17" spans="1:36" ht="15">
      <c r="A17" s="1943" t="s">
        <v>1971</v>
      </c>
      <c r="B17" s="60"/>
      <c r="C17" s="136">
        <f>SUM(C5:C16)</f>
        <v>1</v>
      </c>
      <c r="D17" s="136">
        <f>SUM(D5:D16)</f>
        <v>0</v>
      </c>
      <c r="E17" s="133"/>
      <c r="F17" s="133"/>
      <c r="G17" s="133"/>
      <c r="H17" s="133"/>
      <c r="I17" s="133"/>
      <c r="K17" s="307"/>
      <c r="L17" s="307" t="s">
        <v>1972</v>
      </c>
      <c r="M17" s="307" t="s">
        <v>1973</v>
      </c>
    </row>
    <row r="18" spans="1:36" ht="31.9" customHeight="1" thickBot="1">
      <c r="A18" s="1944" t="s">
        <v>1974</v>
      </c>
      <c r="B18" s="1945"/>
      <c r="C18" s="137">
        <f>ROUND(C17/SUM(C17:D17),2)</f>
        <v>1</v>
      </c>
      <c r="D18" s="137">
        <f>1-C18</f>
        <v>0</v>
      </c>
      <c r="E18" s="3186" t="s">
        <v>2870</v>
      </c>
      <c r="F18" s="3187"/>
      <c r="G18" s="3187"/>
      <c r="H18" s="3187"/>
      <c r="I18" s="3187"/>
      <c r="K18" s="307" t="s">
        <v>1975</v>
      </c>
      <c r="L18" s="307">
        <f>IF(C1="",'数据-汇总表'!E3,SUMIF(项目类型,C1,'数据-汇总表'!E17:E26)+SUMIF(项目类型,C1,'数据-汇总表'!I17:I26))</f>
        <v>34910.400000000001</v>
      </c>
      <c r="M18" s="307">
        <f>IF(C1="",'数据-汇总表'!E3,SUMIF(项目类型,C1,'数据-汇总表'!E17:E26))</f>
        <v>34910.400000000001</v>
      </c>
    </row>
    <row r="19" spans="1:36" ht="15">
      <c r="A19" s="1946" t="s">
        <v>1976</v>
      </c>
      <c r="B19" s="1947" t="s">
        <v>1977</v>
      </c>
      <c r="C19" s="138">
        <f ca="1">SUMIF(INDIRECT("'"&amp;C4&amp;"'"&amp;"!A:A"),结果表!B19,INDIRECT("'"&amp;C4&amp;"'"&amp;"!B:B"))</f>
        <v>764</v>
      </c>
      <c r="D19" s="139">
        <f ca="1">SUMIF(INDIRECT("'"&amp;D4&amp;"'"&amp;"!A:A"),结果表!B19,INDIRECT("'"&amp;D4&amp;"'"&amp;"!B:B"))</f>
        <v>486</v>
      </c>
      <c r="E19" s="1946" t="s">
        <v>1978</v>
      </c>
      <c r="F19" s="1947" t="s">
        <v>1977</v>
      </c>
      <c r="G19" s="140">
        <f ca="1">ROUND(C19*$C$18+D19*$D$18,0)</f>
        <v>764</v>
      </c>
      <c r="H19" s="1948" t="s">
        <v>1979</v>
      </c>
      <c r="I19" s="133">
        <f ca="1">G19+ROUND('成本法 (元)'!C51/10000,0)</f>
        <v>796</v>
      </c>
      <c r="K19" s="307" t="s">
        <v>1980</v>
      </c>
      <c r="L19" s="307">
        <f>IF(C1="",'数据-汇总表'!D3,SUMIF(项目类型,C1,'数据-汇总表'!D17:D26)+SUMIF(项目类型,C1,'数据-汇总表'!H17:H27))</f>
        <v>43638</v>
      </c>
      <c r="M19" s="307">
        <f>IF(C1="",'数据-汇总表'!D3,SUMIF(项目类型,C1,'数据-汇总表'!D17:D26))</f>
        <v>43638</v>
      </c>
    </row>
    <row r="20" spans="1:36" ht="15">
      <c r="A20" s="1949"/>
      <c r="B20" s="1156" t="s">
        <v>1981</v>
      </c>
      <c r="C20" s="141">
        <f ca="1">SUMIF(INDIRECT("'"&amp;C4&amp;"'"&amp;"!A:A"),结果表!B20,INDIRECT("'"&amp;C4&amp;"'"&amp;"!B:B"))</f>
        <v>219</v>
      </c>
      <c r="D20" s="142">
        <f ca="1">SUMIF(INDIRECT("'"&amp;D4&amp;"'"&amp;"!A:A"),结果表!B20,INDIRECT("'"&amp;D4&amp;"'"&amp;"!B:B"))</f>
        <v>139</v>
      </c>
      <c r="E20" s="1949"/>
      <c r="F20" s="1156" t="s">
        <v>1981</v>
      </c>
      <c r="G20" s="143">
        <f ca="1">ROUND(C20*$C$18+D20*$D$18,0)</f>
        <v>219</v>
      </c>
      <c r="H20" s="916" t="s">
        <v>1982</v>
      </c>
      <c r="I20" s="133"/>
    </row>
    <row r="21" spans="1:36" ht="15" customHeight="1" thickBot="1">
      <c r="A21" s="936"/>
      <c r="B21" s="1950" t="s">
        <v>1983</v>
      </c>
      <c r="C21" s="727">
        <f ca="1">ROUND(C19*10000/L19,0)</f>
        <v>175</v>
      </c>
      <c r="D21" s="728">
        <f ca="1">ROUND(D19*10000/L19,0)</f>
        <v>111</v>
      </c>
      <c r="E21" s="936"/>
      <c r="F21" s="1950" t="s">
        <v>1983</v>
      </c>
      <c r="G21" s="144">
        <f ca="1">ROUND(G19*10000/L19,0)</f>
        <v>175</v>
      </c>
      <c r="H21" s="1951" t="s">
        <v>1982</v>
      </c>
      <c r="I21" s="133"/>
    </row>
    <row r="22" spans="1:36" ht="15" thickBot="1">
      <c r="A22" s="1873" t="s">
        <v>1984</v>
      </c>
      <c r="B22" s="1952"/>
      <c r="C22" s="1953"/>
      <c r="D22" s="729">
        <f ca="1">IF(C19&lt;D19,D19/C19-1,C19/D19-1)</f>
        <v>0.57201646090534974</v>
      </c>
      <c r="E22" s="133"/>
      <c r="F22" s="133"/>
      <c r="G22" s="133"/>
      <c r="H22" s="133"/>
      <c r="I22" s="133"/>
    </row>
    <row r="23" spans="1:36" ht="13.5" thickBot="1">
      <c r="A23" s="1932"/>
      <c r="B23" s="1932"/>
      <c r="C23" s="1932"/>
      <c r="D23" s="1932"/>
      <c r="E23" s="133"/>
      <c r="F23" s="133"/>
      <c r="G23" s="133"/>
      <c r="H23" s="133"/>
      <c r="I23" s="133"/>
    </row>
    <row r="24" spans="1:36" ht="14.25">
      <c r="A24" s="3170" t="s">
        <v>1985</v>
      </c>
      <c r="B24" s="1947" t="s">
        <v>1977</v>
      </c>
      <c r="C24" s="140">
        <f>IF(B30=0,0,D30)</f>
        <v>0</v>
      </c>
      <c r="D24" s="1954"/>
      <c r="E24" s="133"/>
      <c r="F24" s="133"/>
      <c r="G24" s="133"/>
      <c r="H24" s="133"/>
      <c r="I24" s="133"/>
    </row>
    <row r="25" spans="1:36" ht="14.25">
      <c r="A25" s="3171"/>
      <c r="B25" s="1156"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f ca="1">G19/M19*666.67</f>
        <v>11.671842889224987</v>
      </c>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2871</v>
      </c>
      <c r="F30" s="133"/>
      <c r="G30" s="133"/>
      <c r="H30" s="133"/>
      <c r="I30" s="133"/>
    </row>
    <row r="31" spans="1:36" s="2526" customFormat="1" ht="26.45" customHeight="1" thickTop="1" thickBot="1">
      <c r="A31" s="2521"/>
      <c r="B31" s="2522"/>
      <c r="C31" s="2522"/>
      <c r="D31" s="2522"/>
      <c r="E31" s="2522"/>
      <c r="F31" s="2522"/>
      <c r="G31" s="2522"/>
      <c r="H31" s="2522"/>
      <c r="I31" s="2523" t="s">
        <v>2872</v>
      </c>
      <c r="J31" s="2913"/>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764</v>
      </c>
      <c r="D32" s="1960" t="s">
        <v>3174</v>
      </c>
      <c r="E32" s="133"/>
      <c r="F32" s="133"/>
      <c r="G32" s="133"/>
      <c r="H32" s="133"/>
      <c r="I32" s="133"/>
    </row>
    <row r="33" spans="1:15" ht="15">
      <c r="A33" s="893" t="s">
        <v>1992</v>
      </c>
      <c r="B33" s="1961"/>
      <c r="C33" s="1962" t="s">
        <v>3175</v>
      </c>
      <c r="D33" s="1963"/>
      <c r="E33" s="1964" t="s">
        <v>1993</v>
      </c>
      <c r="F33" s="1965" t="str">
        <f>IF(D32="楼面单价","取值（单价）","取值（总价）")</f>
        <v>取值（总价）</v>
      </c>
      <c r="G33" s="133"/>
      <c r="H33" s="133"/>
      <c r="I33" s="133"/>
    </row>
    <row r="34" spans="1:15" ht="15">
      <c r="A34" s="1966"/>
      <c r="B34" s="1967" t="s">
        <v>1994</v>
      </c>
      <c r="C34" s="152">
        <f>IF(C33="自定义",F34,C32-C35)</f>
        <v>0</v>
      </c>
      <c r="D34" s="969">
        <f ca="1">IF(C33="自定义",ROUND(C34/C32,3),IF(C33="收益比率",SUMIF(INDIRECT("'"&amp;D33&amp;"'"&amp;"!b:b"),"土地收益比率",INDIRECT("'"&amp;D33&amp;"'"&amp;"!c:c")),SUMIF(INDIRECT("'"&amp;D33&amp;"'"&amp;"!b:b"),"土地成本比率",INDIRECT("'"&amp;D33&amp;"'"&amp;"!c:c"))))</f>
        <v>0</v>
      </c>
      <c r="E34" s="1968" t="s">
        <v>1995</v>
      </c>
      <c r="F34" s="1497"/>
      <c r="G34" s="133"/>
      <c r="H34" s="133"/>
      <c r="I34" s="133"/>
    </row>
    <row r="35" spans="1:15" ht="15.75" thickBot="1">
      <c r="A35" s="1969"/>
      <c r="B35" s="1970" t="s">
        <v>1996</v>
      </c>
      <c r="C35" s="1331">
        <f>IF(C33="自定义",F35,ROUND(C32*D35,0))</f>
        <v>0</v>
      </c>
      <c r="D35" s="1332">
        <f ca="1">IF(C33="自定义",ROUND(C35/C32,3),IF(C33="收益比率",SUMIF(INDIRECT("'"&amp;D33&amp;"'"&amp;"!b:b"),"建筑物收益比率",INDIRECT("'"&amp;D33&amp;"'"&amp;"!c:c")),SUMIF(INDIRECT("'"&amp;D33&amp;"'"&amp;"!b:b"),"建筑物成本比率",INDIRECT("'"&amp;D33&amp;"'"&amp;"!c:c"))))</f>
        <v>0</v>
      </c>
      <c r="E35" s="1971" t="s">
        <v>1997</v>
      </c>
      <c r="F35" s="158"/>
      <c r="G35" s="133"/>
      <c r="H35" s="133"/>
      <c r="I35" s="133"/>
    </row>
    <row r="36" spans="1:15" ht="15.75" thickBot="1">
      <c r="A36" s="3190" t="s">
        <v>1998</v>
      </c>
      <c r="B36" s="1972" t="s">
        <v>1999</v>
      </c>
      <c r="C36" s="149"/>
      <c r="D36" s="1973"/>
      <c r="E36" s="1974"/>
      <c r="F36" s="1975"/>
      <c r="G36" s="133"/>
      <c r="H36" s="133"/>
      <c r="I36" s="133"/>
    </row>
    <row r="37" spans="1:15" ht="15.75" thickBot="1">
      <c r="A37" s="3191"/>
      <c r="B37" s="1859" t="s">
        <v>2000</v>
      </c>
      <c r="C37" s="151"/>
      <c r="D37" s="1300"/>
      <c r="E37" s="1300"/>
      <c r="F37" s="1975"/>
      <c r="G37" s="133"/>
      <c r="H37" s="133"/>
      <c r="I37" s="133"/>
    </row>
    <row r="38" spans="1:15" ht="15.75" thickBot="1">
      <c r="A38" s="3192"/>
      <c r="B38" s="1976" t="s">
        <v>2001</v>
      </c>
      <c r="C38" s="682"/>
      <c r="D38" s="1977" t="s">
        <v>2002</v>
      </c>
      <c r="E38" s="1300"/>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67" t="s">
        <v>2012</v>
      </c>
      <c r="B45" s="3168"/>
      <c r="C45" s="3169"/>
      <c r="D45" s="159">
        <f ca="1">ROUND(H101*F45,0)</f>
        <v>764</v>
      </c>
      <c r="E45" s="160" t="s">
        <v>2013</v>
      </c>
      <c r="F45" s="161">
        <v>1</v>
      </c>
      <c r="G45" s="162" t="s">
        <v>2014</v>
      </c>
      <c r="H45" s="133"/>
      <c r="I45" s="133"/>
      <c r="J45" s="3248" t="s">
        <v>2015</v>
      </c>
      <c r="K45" s="3248"/>
      <c r="L45" s="3248"/>
      <c r="M45" s="3248"/>
      <c r="N45" s="3248"/>
      <c r="O45" s="3248"/>
    </row>
    <row r="46" spans="1:15" ht="14.25" customHeight="1">
      <c r="A46" s="3164" t="s">
        <v>2016</v>
      </c>
      <c r="B46" s="3165"/>
      <c r="C46" s="3165"/>
      <c r="D46" s="3165"/>
      <c r="E46" s="3165"/>
      <c r="F46" s="3165"/>
      <c r="G46" s="3166"/>
      <c r="H46" s="1991"/>
      <c r="I46" s="163"/>
      <c r="J46" s="2745">
        <v>1</v>
      </c>
      <c r="K46" s="3229" t="s">
        <v>2017</v>
      </c>
      <c r="L46" s="3229"/>
      <c r="M46" s="3249"/>
      <c r="N46" s="3249"/>
      <c r="O46" s="3249"/>
    </row>
    <row r="47" spans="1:15" ht="12" customHeight="1">
      <c r="A47" s="164" t="s">
        <v>2018</v>
      </c>
      <c r="B47" s="165"/>
      <c r="C47" s="166"/>
      <c r="D47" s="1246" t="s">
        <v>2019</v>
      </c>
      <c r="E47" s="307" t="s">
        <v>2020</v>
      </c>
      <c r="F47" s="167" t="s">
        <v>2021</v>
      </c>
      <c r="G47" s="2768" t="s">
        <v>2022</v>
      </c>
      <c r="H47" s="2769"/>
      <c r="I47" s="163"/>
      <c r="J47" s="2745">
        <v>2</v>
      </c>
      <c r="K47" s="3229" t="s">
        <v>2023</v>
      </c>
      <c r="L47" s="3229"/>
      <c r="M47" s="3250">
        <f>'数据-取费表'!B2</f>
        <v>44332</v>
      </c>
      <c r="N47" s="3250"/>
      <c r="O47" s="3250"/>
    </row>
    <row r="48" spans="1:15" ht="25.5">
      <c r="A48" s="3195" t="s">
        <v>2024</v>
      </c>
      <c r="B48" s="3178"/>
      <c r="C48" s="3178"/>
      <c r="D48" s="2546" t="b">
        <f>IF(H48="情况1",0,IF(H48="情况2",D52,IF(H48="情况3",D53,IF(H48="情况4",D54))))</f>
        <v>0</v>
      </c>
      <c r="E48" s="2556" t="str">
        <f>IF(H48="情况4","(销售额-原购置价)×税（费）率","销售额×税（费）率")</f>
        <v>销售额×税（费）率</v>
      </c>
      <c r="F48" s="2770">
        <f>IF(H48="情况1","免征",'数据-取费表'!B41)</f>
        <v>5.5000000000000007E-2</v>
      </c>
      <c r="G48" s="2771" t="s">
        <v>2025</v>
      </c>
      <c r="H48" s="2772"/>
      <c r="I48" s="1991"/>
      <c r="J48" s="2745">
        <v>3</v>
      </c>
      <c r="K48" s="3229" t="s">
        <v>2026</v>
      </c>
      <c r="L48" s="3229"/>
      <c r="M48" s="3251">
        <f ca="1">H101</f>
        <v>764</v>
      </c>
      <c r="N48" s="3251"/>
      <c r="O48" s="3251"/>
    </row>
    <row r="49" spans="1:35" ht="25.5" customHeight="1">
      <c r="A49" s="2555" t="s">
        <v>2027</v>
      </c>
      <c r="B49" s="3162" t="s">
        <v>2028</v>
      </c>
      <c r="C49" s="3162"/>
      <c r="D49" s="1774">
        <v>0</v>
      </c>
      <c r="E49" s="329" t="s">
        <v>2029</v>
      </c>
      <c r="F49" s="2646" t="s">
        <v>34</v>
      </c>
      <c r="G49" s="3235"/>
      <c r="H49" s="2527" t="s">
        <v>2873</v>
      </c>
      <c r="I49" s="2528"/>
      <c r="J49" s="2745">
        <v>4</v>
      </c>
      <c r="K49" s="3229" t="str">
        <f>IF(项目基本情况!E8="房地产抵押价值","房地产抵押价值","抵押担保权已注销时的房地产抵押价值")</f>
        <v>抵押担保权已注销时的房地产抵押价值</v>
      </c>
      <c r="L49" s="3229"/>
      <c r="M49" s="3251" t="str">
        <f>IF(项目基本情况!E8="房地产抵押价值",H107,H109)</f>
        <v>——</v>
      </c>
      <c r="N49" s="3251"/>
      <c r="O49" s="3251"/>
    </row>
    <row r="50" spans="1:35" ht="25.5" customHeight="1">
      <c r="A50" s="2773"/>
      <c r="B50" s="3162" t="s">
        <v>2030</v>
      </c>
      <c r="C50" s="3162"/>
      <c r="D50" s="2774"/>
      <c r="E50" s="337"/>
      <c r="F50" s="2646"/>
      <c r="G50" s="3236"/>
      <c r="H50" s="2529" t="s">
        <v>2874</v>
      </c>
      <c r="I50" s="2528"/>
      <c r="J50" s="3248" t="s">
        <v>2031</v>
      </c>
      <c r="K50" s="3248"/>
      <c r="L50" s="3248"/>
      <c r="M50" s="3248"/>
      <c r="N50" s="3248"/>
      <c r="O50" s="3248"/>
    </row>
    <row r="51" spans="1:35" ht="20.45" customHeight="1">
      <c r="A51" s="2775"/>
      <c r="B51" s="3162" t="s">
        <v>2032</v>
      </c>
      <c r="C51" s="3162"/>
      <c r="D51" s="1246"/>
      <c r="E51" s="332"/>
      <c r="F51" s="2646"/>
      <c r="G51" s="3237"/>
      <c r="H51" s="2529" t="s">
        <v>2875</v>
      </c>
      <c r="I51" s="2528"/>
      <c r="J51" s="2746" t="s">
        <v>2033</v>
      </c>
      <c r="K51" s="3229" t="s">
        <v>2034</v>
      </c>
      <c r="L51" s="3229"/>
      <c r="M51" s="2746" t="s">
        <v>2035</v>
      </c>
      <c r="N51" s="2746" t="s">
        <v>2036</v>
      </c>
      <c r="O51" s="2746" t="s">
        <v>2037</v>
      </c>
    </row>
    <row r="52" spans="1:35" ht="24" customHeight="1">
      <c r="A52" s="2557" t="s">
        <v>2038</v>
      </c>
      <c r="B52" s="3162" t="s">
        <v>2039</v>
      </c>
      <c r="C52" s="3162"/>
      <c r="D52" s="1246">
        <f ca="1">ROUND(D45*'数据-取费表'!B41/(1+'数据-取费表'!C42),0)</f>
        <v>40</v>
      </c>
      <c r="E52" s="2556" t="s">
        <v>2040</v>
      </c>
      <c r="F52" s="2776">
        <f>'数据-取费表'!B41</f>
        <v>5.5000000000000007E-2</v>
      </c>
      <c r="G52" s="2777"/>
      <c r="H52" s="2766"/>
      <c r="I52" s="1992"/>
      <c r="J52" s="2745">
        <v>1</v>
      </c>
      <c r="K52" s="3230" t="s">
        <v>2041</v>
      </c>
      <c r="L52" s="3230"/>
      <c r="M52" s="2747" t="b">
        <f>D48</f>
        <v>0</v>
      </c>
      <c r="N52" s="2745" t="str">
        <f>E48</f>
        <v>销售额×税（费）率</v>
      </c>
      <c r="O52" s="2748">
        <f>F48</f>
        <v>5.5000000000000007E-2</v>
      </c>
    </row>
    <row r="53" spans="1:35" ht="12" customHeight="1">
      <c r="A53" s="2557" t="s">
        <v>2042</v>
      </c>
      <c r="B53" s="3188" t="s">
        <v>3034</v>
      </c>
      <c r="C53" s="3189"/>
      <c r="D53" s="1246">
        <f ca="1">ROUND(D45*'数据-取费表'!B41/(1+'数据-取费表'!C42),0)</f>
        <v>40</v>
      </c>
      <c r="E53" s="2556" t="s">
        <v>2040</v>
      </c>
      <c r="F53" s="2776">
        <f>'数据-取费表'!B41</f>
        <v>5.5000000000000007E-2</v>
      </c>
      <c r="G53" s="2777"/>
      <c r="H53" s="2766"/>
      <c r="I53" s="1992"/>
      <c r="J53" s="2745">
        <v>2</v>
      </c>
      <c r="K53" s="3230" t="s">
        <v>2043</v>
      </c>
      <c r="L53" s="3230"/>
      <c r="M53" s="2747">
        <f t="shared" ref="M53:O54" ca="1" si="0">D55</f>
        <v>0</v>
      </c>
      <c r="N53" s="2745" t="str">
        <f t="shared" si="0"/>
        <v>销售额×税（费）率</v>
      </c>
      <c r="O53" s="2748" t="str">
        <f t="shared" si="0"/>
        <v>免征</v>
      </c>
    </row>
    <row r="54" spans="1:35" ht="12" customHeight="1">
      <c r="A54" s="2557" t="s">
        <v>2044</v>
      </c>
      <c r="B54" s="3188" t="s">
        <v>3035</v>
      </c>
      <c r="C54" s="3189"/>
      <c r="D54" s="1246">
        <f ca="1">C68</f>
        <v>40</v>
      </c>
      <c r="E54" s="332" t="s">
        <v>2045</v>
      </c>
      <c r="F54" s="2776">
        <f>'数据-取费表'!B41</f>
        <v>5.5000000000000007E-2</v>
      </c>
      <c r="G54" s="2777"/>
      <c r="H54" s="2778"/>
      <c r="I54" s="1992"/>
      <c r="J54" s="2745">
        <v>3</v>
      </c>
      <c r="K54" s="3230" t="s">
        <v>2046</v>
      </c>
      <c r="L54" s="3230"/>
      <c r="M54" s="2747">
        <f t="shared" ca="1" si="0"/>
        <v>433</v>
      </c>
      <c r="N54" s="2745" t="str">
        <f t="shared" si="0"/>
        <v>增值额×税（费）率</v>
      </c>
      <c r="O54" s="2749" t="str">
        <f t="shared" si="0"/>
        <v>免征</v>
      </c>
    </row>
    <row r="55" spans="1:35" ht="24" customHeight="1">
      <c r="A55" s="3177" t="s">
        <v>2047</v>
      </c>
      <c r="B55" s="3178"/>
      <c r="C55" s="3178"/>
      <c r="D55" s="2546">
        <f ca="1">IF(H55="个人住宅",0,ROUND(D45*I55,0))</f>
        <v>0</v>
      </c>
      <c r="E55" s="2556" t="s">
        <v>2048</v>
      </c>
      <c r="F55" s="2776" t="str">
        <f>IF(H55="正常",I55,"免征")</f>
        <v>免征</v>
      </c>
      <c r="G55" s="2777"/>
      <c r="H55" s="2772"/>
      <c r="I55" s="169">
        <f>'数据-取费表'!B49</f>
        <v>5.0000000000000001E-4</v>
      </c>
      <c r="J55" s="2745">
        <f>IF(H59="非个人房产","",4)</f>
        <v>4</v>
      </c>
      <c r="K55" s="3230" t="str">
        <f>IF(H59="非个人房产","——","个人所得税")</f>
        <v>个人所得税</v>
      </c>
      <c r="L55" s="3230"/>
      <c r="M55" s="2750">
        <f ca="1">D59</f>
        <v>7</v>
      </c>
      <c r="N55" s="2227" t="str">
        <f>E59</f>
        <v>差额计税</v>
      </c>
      <c r="O55" s="2751">
        <f>F59</f>
        <v>0.01</v>
      </c>
    </row>
    <row r="56" spans="1:35" ht="24.75">
      <c r="A56" s="3177" t="s">
        <v>2049</v>
      </c>
      <c r="B56" s="3178"/>
      <c r="C56" s="3178"/>
      <c r="D56" s="2546">
        <f ca="1">IF(H56="个人住宅",D57,D58)</f>
        <v>433</v>
      </c>
      <c r="E56" s="2556" t="s">
        <v>2050</v>
      </c>
      <c r="F56" s="2776" t="str">
        <f>IF(H56="正常",F58,"免征")</f>
        <v>免征</v>
      </c>
      <c r="G56" s="2779" t="s">
        <v>2051</v>
      </c>
      <c r="H56" s="2780"/>
      <c r="I56" s="1993"/>
      <c r="J56" s="2745" t="str">
        <f>IF(项目基本情况!K6="上海银行",IF(J55="",4,J55+1),"")</f>
        <v/>
      </c>
      <c r="K56" s="3253" t="str">
        <f>IF(项目基本情况!K6="上海银行","其他处置费用","")</f>
        <v/>
      </c>
      <c r="L56" s="3254"/>
      <c r="M56" s="2747" t="str">
        <f>IF(项目基本情况!K6="上海银行",M69,"")</f>
        <v/>
      </c>
      <c r="N56" s="3253" t="str">
        <f>IF(项目基本情况!K6="上海银行","包含处置中涉及的律师、诉讼、拍卖、评估等费用","")</f>
        <v/>
      </c>
      <c r="O56" s="3256"/>
    </row>
    <row r="57" spans="1:35" ht="12.75">
      <c r="A57" s="2557" t="s">
        <v>2027</v>
      </c>
      <c r="B57" s="3188" t="s">
        <v>2052</v>
      </c>
      <c r="C57" s="3189"/>
      <c r="D57" s="1774">
        <v>0</v>
      </c>
      <c r="E57" s="329" t="s">
        <v>2029</v>
      </c>
      <c r="F57" s="307"/>
      <c r="G57" s="2777"/>
      <c r="H57" s="2781"/>
      <c r="I57" s="1993"/>
      <c r="J57" s="3230">
        <f>IF(AND(J55="",J56=""),4,IF(项目基本情况!K6="上海银行",结果表!J56+1,结果表!J55+1))</f>
        <v>5</v>
      </c>
      <c r="K57" s="3230" t="s">
        <v>2053</v>
      </c>
      <c r="L57" s="2752" t="s">
        <v>2054</v>
      </c>
      <c r="M57" s="2753"/>
      <c r="N57" s="2754">
        <f ca="1">SUMIF(M52:M56,"&lt;9e307")</f>
        <v>440</v>
      </c>
      <c r="O57" s="2755"/>
      <c r="P57" s="2914" t="e">
        <f ca="1">N57/M49</f>
        <v>#VALUE!</v>
      </c>
    </row>
    <row r="58" spans="1:35" ht="24.75">
      <c r="A58" s="2557" t="s">
        <v>2038</v>
      </c>
      <c r="B58" s="3188" t="s">
        <v>2055</v>
      </c>
      <c r="C58" s="3162"/>
      <c r="D58" s="2546">
        <f ca="1">IF(H58="转让取得",C81,C97)</f>
        <v>433</v>
      </c>
      <c r="E58" s="2556" t="s">
        <v>2050</v>
      </c>
      <c r="F58" s="307" t="s">
        <v>34</v>
      </c>
      <c r="G58" s="2777"/>
      <c r="H58" s="2780"/>
      <c r="I58" s="1993"/>
      <c r="J58" s="3230"/>
      <c r="K58" s="3230"/>
      <c r="L58" s="2752" t="s">
        <v>2056</v>
      </c>
      <c r="M58" s="2756"/>
      <c r="N58" s="2757" t="str">
        <f ca="1">NUMBERSTRING(INT(N57*10000),2)&amp;"元整"</f>
        <v>肆佰肆拾万元整</v>
      </c>
      <c r="O58" s="2758"/>
    </row>
    <row r="59" spans="1:35" ht="24.75" thickBot="1">
      <c r="A59" s="3233" t="s">
        <v>2057</v>
      </c>
      <c r="B59" s="3234"/>
      <c r="C59" s="3234"/>
      <c r="D59" s="2782">
        <f ca="1">IF(H59="非个人房产","——",IF(H59="个人住宅（满五唯一有凭证）",0,IF(H59="个人其他（无凭证）",ROUND(D45*F59,0),ROUND(C67*F59,0))))</f>
        <v>7</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1"/>
      <c r="I59" s="2530" t="s">
        <v>2876</v>
      </c>
      <c r="J59" s="3231">
        <f>J57+1</f>
        <v>6</v>
      </c>
      <c r="K59" s="3230" t="s">
        <v>2058</v>
      </c>
      <c r="L59" s="2745" t="s">
        <v>2054</v>
      </c>
      <c r="M59" s="2759"/>
      <c r="N59" s="2760" t="e">
        <f ca="1">M49-N57</f>
        <v>#VALUE!</v>
      </c>
      <c r="O59" s="2761"/>
    </row>
    <row r="60" spans="1:35" ht="12" customHeight="1">
      <c r="A60" s="1994"/>
      <c r="B60" s="1932"/>
      <c r="C60" s="1932"/>
      <c r="D60" s="1932"/>
      <c r="E60" s="1762"/>
      <c r="F60" s="1993"/>
      <c r="G60" s="1993"/>
      <c r="H60" s="1995"/>
      <c r="I60" s="133"/>
      <c r="J60" s="3232"/>
      <c r="K60" s="3230"/>
      <c r="L60" s="2752" t="s">
        <v>2056</v>
      </c>
      <c r="M60" s="2756"/>
      <c r="N60" s="2757" t="e">
        <f ca="1">NUMBERSTRING(INT(N59*10000),2)&amp;"元整"</f>
        <v>#VALUE!</v>
      </c>
      <c r="O60" s="2758"/>
    </row>
    <row r="61" spans="1:35" ht="13.5" thickBot="1">
      <c r="A61" s="3175" t="s">
        <v>2059</v>
      </c>
      <c r="B61" s="3175"/>
      <c r="C61" s="3175"/>
      <c r="D61" s="3175"/>
      <c r="E61" s="3175"/>
      <c r="F61" s="1993"/>
      <c r="G61" s="1993"/>
      <c r="H61" s="1995"/>
      <c r="I61" s="133"/>
      <c r="J61" s="2745">
        <f>J59+1</f>
        <v>7</v>
      </c>
      <c r="K61" s="3230" t="s">
        <v>2060</v>
      </c>
      <c r="L61" s="3230"/>
      <c r="M61" s="2762"/>
      <c r="N61" s="2763" t="e">
        <f ca="1">ROUND(N59*10000/'数据-汇总表'!E3,0)</f>
        <v>#VALUE!</v>
      </c>
      <c r="O61" s="2764"/>
    </row>
    <row r="62" spans="1:35" ht="12.75">
      <c r="A62" s="3193" t="s">
        <v>2061</v>
      </c>
      <c r="B62" s="3194"/>
      <c r="C62" s="2208"/>
      <c r="D62" s="2208" t="s">
        <v>2062</v>
      </c>
      <c r="E62" s="170" t="s">
        <v>2063</v>
      </c>
      <c r="F62" s="1993"/>
      <c r="G62" s="1993"/>
      <c r="H62" s="1995"/>
      <c r="I62" s="133"/>
    </row>
    <row r="63" spans="1:35" ht="12.75">
      <c r="A63" s="177" t="s">
        <v>775</v>
      </c>
      <c r="B63" s="171" t="s">
        <v>2064</v>
      </c>
      <c r="C63" s="2786">
        <f ca="1">ROUND((C64+C65)/(1+'数据-取费表'!C42),0)</f>
        <v>728</v>
      </c>
      <c r="D63" s="171"/>
      <c r="E63" s="172"/>
      <c r="F63" s="1993"/>
      <c r="G63" s="1993"/>
      <c r="H63" s="1995"/>
      <c r="I63" s="133"/>
      <c r="J63" s="3255" t="s">
        <v>2065</v>
      </c>
      <c r="K63" s="1500" t="s">
        <v>2066</v>
      </c>
      <c r="L63" s="1500" t="e">
        <f>IF(M49&gt;10000,M49*0.5%,IF(AND(M49&gt;1000,M49&lt;=10000),M49*1%,IF(AND(M49&gt;100,M49&lt;=1000),M49*3%,IF(AND(M49&gt;10,M49&lt;=100),M49*5%,M49*8%))))</f>
        <v>#VALUE!</v>
      </c>
      <c r="M63" s="307" t="e">
        <f>ROUND(L63,1)</f>
        <v>#VALUE!</v>
      </c>
      <c r="N63" s="2765"/>
      <c r="Z63" s="1937"/>
      <c r="AI63" s="1938"/>
    </row>
    <row r="64" spans="1:35" ht="14.25" customHeight="1">
      <c r="A64" s="173" t="s">
        <v>770</v>
      </c>
      <c r="B64" s="174" t="s">
        <v>2067</v>
      </c>
      <c r="C64" s="2787">
        <f ca="1">D45</f>
        <v>764</v>
      </c>
      <c r="D64" s="174" t="s">
        <v>32</v>
      </c>
      <c r="E64" s="176"/>
      <c r="F64" s="1993"/>
      <c r="G64" s="1993"/>
      <c r="H64" s="1995"/>
      <c r="I64" s="133"/>
      <c r="J64" s="3255"/>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6" t="s">
        <v>2069</v>
      </c>
      <c r="Z64" s="1937"/>
      <c r="AI64" s="1938"/>
    </row>
    <row r="65" spans="1:35" ht="14.25" customHeight="1">
      <c r="A65" s="173" t="s">
        <v>771</v>
      </c>
      <c r="B65" s="174" t="s">
        <v>2070</v>
      </c>
      <c r="C65" s="2788"/>
      <c r="D65" s="174"/>
      <c r="E65" s="176"/>
      <c r="F65" s="1993"/>
      <c r="G65" s="1993"/>
      <c r="H65" s="1995"/>
      <c r="I65" s="133"/>
      <c r="J65" s="3255"/>
      <c r="K65" s="1500" t="s">
        <v>2071</v>
      </c>
      <c r="L65" s="1500" t="e">
        <f>IF(M49&gt;1000,M49*0.1%,IF(AND(M49&gt;500,M49&lt;=1000),M49*0.5%,IF(AND(M49&gt;50,M49&lt;=500),M49*1%,IF(AND(M49&gt;1,M49&lt;=50),M49*1.5%))))</f>
        <v>#VALUE!</v>
      </c>
      <c r="M65" s="307" t="e">
        <f t="shared" si="1"/>
        <v>#VALUE!</v>
      </c>
      <c r="N65" s="2766" t="s">
        <v>2069</v>
      </c>
      <c r="Z65" s="1937"/>
      <c r="AI65" s="1938"/>
    </row>
    <row r="66" spans="1:35" ht="14.25" customHeight="1">
      <c r="A66" s="177" t="s">
        <v>772</v>
      </c>
      <c r="B66" s="178" t="s">
        <v>2072</v>
      </c>
      <c r="C66" s="2789"/>
      <c r="D66" s="178" t="s">
        <v>32</v>
      </c>
      <c r="E66" s="1508" t="s">
        <v>1337</v>
      </c>
      <c r="F66" s="1993"/>
      <c r="G66" s="1993"/>
      <c r="H66" s="1995"/>
      <c r="I66" s="133"/>
      <c r="J66" s="3255"/>
      <c r="K66" s="1500" t="s">
        <v>2073</v>
      </c>
      <c r="L66" s="1500" t="e">
        <f>M49*0.5%</f>
        <v>#VALUE!</v>
      </c>
      <c r="M66" s="307" t="e">
        <f>IF(L66&gt;0.5,0.5,ROUND(L66,0))</f>
        <v>#VALUE!</v>
      </c>
      <c r="N66" s="2766" t="s">
        <v>2074</v>
      </c>
      <c r="Z66" s="1937"/>
      <c r="AI66" s="1938"/>
    </row>
    <row r="67" spans="1:35" ht="14.25" customHeight="1">
      <c r="A67" s="177" t="s">
        <v>773</v>
      </c>
      <c r="B67" s="178" t="s">
        <v>2075</v>
      </c>
      <c r="C67" s="2790">
        <f ca="1">C63-C66</f>
        <v>728</v>
      </c>
      <c r="D67" s="174" t="s">
        <v>32</v>
      </c>
      <c r="E67" s="176"/>
      <c r="F67" s="1993"/>
      <c r="G67" s="1993"/>
      <c r="H67" s="1995"/>
      <c r="I67" s="133"/>
      <c r="J67" s="3255"/>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5"/>
      <c r="Z67" s="1937"/>
      <c r="AI67" s="1938"/>
    </row>
    <row r="68" spans="1:35" ht="14.25" customHeight="1" thickBot="1">
      <c r="A68" s="180" t="s">
        <v>774</v>
      </c>
      <c r="B68" s="181" t="s">
        <v>2077</v>
      </c>
      <c r="C68" s="2791">
        <f ca="1">IF(C67&lt;=0,0,ROUND(C67*D68,0))</f>
        <v>40</v>
      </c>
      <c r="D68" s="2792">
        <f>'数据-取费表'!B41</f>
        <v>5.5000000000000007E-2</v>
      </c>
      <c r="E68" s="183"/>
      <c r="F68" s="1993"/>
      <c r="G68" s="1993"/>
      <c r="H68" s="1995"/>
      <c r="I68" s="133"/>
      <c r="J68" s="3255"/>
      <c r="K68" s="1500" t="s">
        <v>2078</v>
      </c>
      <c r="L68" s="1500" t="e">
        <f>IF(M49&gt;10000,M49*0.5%,IF(AND(M49&gt;5000,M49&lt;=10000),M49*1%,IF(AND(M49&gt;1000,M49&lt;=5000),M49*2%,IF(AND(M49&gt;200,M49&lt;=1000),M49*3%,M49*5%))))</f>
        <v>#VALUE!</v>
      </c>
      <c r="M68" s="307" t="e">
        <f>ROUND(L68,1)</f>
        <v>#VALUE!</v>
      </c>
      <c r="N68" s="2765"/>
      <c r="Z68" s="1937"/>
      <c r="AI68" s="1938"/>
    </row>
    <row r="69" spans="1:35" s="1957" customFormat="1" ht="16.5" customHeight="1">
      <c r="A69" s="1996"/>
      <c r="B69" s="1997"/>
      <c r="C69" s="1998"/>
      <c r="D69" s="1999"/>
      <c r="E69" s="2000"/>
      <c r="F69" s="1762"/>
      <c r="G69" s="1762"/>
      <c r="H69" s="1761"/>
      <c r="I69" s="1932"/>
      <c r="J69" s="3255"/>
      <c r="K69" s="1500" t="s">
        <v>2079</v>
      </c>
      <c r="L69" s="1500"/>
      <c r="M69" s="307" t="e">
        <f>ROUND(SUM(M63:M68),0)</f>
        <v>#VALUE!</v>
      </c>
      <c r="N69" s="2767"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14" t="s">
        <v>2080</v>
      </c>
      <c r="B70" s="3215"/>
      <c r="C70" s="3215"/>
      <c r="D70" s="3215"/>
      <c r="E70" s="3215"/>
      <c r="F70" s="3215"/>
      <c r="G70" s="3215"/>
      <c r="H70" s="3215"/>
      <c r="I70" s="2001"/>
      <c r="J70" s="2915"/>
      <c r="K70" s="2915"/>
      <c r="L70" s="2915"/>
      <c r="M70" s="2915"/>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3" t="s">
        <v>2061</v>
      </c>
      <c r="B71" s="3194"/>
      <c r="C71" s="2208"/>
      <c r="D71" s="2208" t="s">
        <v>2062</v>
      </c>
      <c r="E71" s="184" t="s">
        <v>2063</v>
      </c>
      <c r="F71" s="185"/>
      <c r="G71" s="185"/>
      <c r="H71" s="186"/>
      <c r="I71" s="2005"/>
      <c r="J71" s="2915"/>
      <c r="K71" s="2915"/>
      <c r="L71" s="2915"/>
      <c r="M71" s="2915"/>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0">
        <f ca="1">ROUND(D45/(1+'数据-取费表'!C42),0)</f>
        <v>728</v>
      </c>
      <c r="D72" s="174" t="s">
        <v>32</v>
      </c>
      <c r="E72" s="2553"/>
      <c r="F72" s="2552"/>
      <c r="G72" s="2552"/>
      <c r="H72" s="187"/>
      <c r="I72" s="2005"/>
      <c r="J72" s="2915"/>
      <c r="K72" s="2915"/>
      <c r="L72" s="2915"/>
      <c r="M72" s="2915"/>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0">
        <f ca="1">C74+C78</f>
        <v>4</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3"/>
      <c r="D75" s="174" t="s">
        <v>32</v>
      </c>
      <c r="E75" s="189" t="s">
        <v>2085</v>
      </c>
      <c r="F75" s="2794"/>
      <c r="G75" s="189" t="s">
        <v>2086</v>
      </c>
      <c r="H75" s="2795"/>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6">
        <v>0.05</v>
      </c>
      <c r="E76" s="3188" t="s">
        <v>2088</v>
      </c>
      <c r="F76" s="3162"/>
      <c r="G76" s="3162"/>
      <c r="H76" s="321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797">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798">
        <f ca="1">ROUND(D45*D78/(1+'数据-取费表'!C42),0)</f>
        <v>4</v>
      </c>
      <c r="D78" s="2799">
        <f>'数据-取费表'!B43</f>
        <v>5.000000000000001E-3</v>
      </c>
      <c r="E78" s="3172" t="s">
        <v>2092</v>
      </c>
      <c r="F78" s="3173"/>
      <c r="G78" s="3173"/>
      <c r="H78" s="318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0">
        <f ca="1">C72-C73</f>
        <v>724</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0">
        <f ca="1">IF(C79&lt;=0,0,C79/C73)</f>
        <v>181</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1">
        <f ca="1">ROUND(IF(C79&lt;=0,0,IF(C80&gt;=200%,C79*60%-C73*35%,IF(C80&gt;=100%,C79*50%-C73*15%,IF(C80&gt;=50%,C79*40%-C73*5%,IF(C80&lt;50%,C79*30%,0))))),0)</f>
        <v>433</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4" t="s">
        <v>2096</v>
      </c>
      <c r="B83" s="3215"/>
      <c r="C83" s="3215"/>
      <c r="D83" s="3215"/>
      <c r="E83" s="3215"/>
      <c r="F83" s="3215"/>
      <c r="G83" s="3215"/>
      <c r="H83" s="321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3" t="s">
        <v>2061</v>
      </c>
      <c r="B84" s="3194"/>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0">
        <f ca="1">ROUND(D45/(1+'数据-取费表'!C42),0)</f>
        <v>728</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0">
        <f ca="1">IF(H88="仅含出让金",C87+C90+C91+C92+C93+C94,C87+C91+C92+C93+C94)</f>
        <v>4</v>
      </c>
      <c r="D86" s="2803"/>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798">
        <f>C88+C89</f>
        <v>0</v>
      </c>
      <c r="D87" s="2799"/>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4"/>
      <c r="D88" s="2799"/>
      <c r="E88" s="198" t="s">
        <v>2099</v>
      </c>
      <c r="F88" s="2549"/>
      <c r="G88" s="199" t="s">
        <v>2100</v>
      </c>
      <c r="H88" s="2009"/>
      <c r="I88" s="2006"/>
      <c r="J88" s="2743"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798">
        <f>ROUND(C88*D89,0)</f>
        <v>0</v>
      </c>
      <c r="D89" s="2799">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4"/>
      <c r="D90" s="2799"/>
      <c r="E90" s="198" t="str">
        <f>IF(H88="-","土地取得成本中已包含该笔费用"," ")</f>
        <v xml:space="preserve"> </v>
      </c>
      <c r="F90" s="2549"/>
      <c r="G90" s="3257" t="s">
        <v>2868</v>
      </c>
      <c r="H90" s="3258"/>
      <c r="I90" s="2006"/>
      <c r="J90" s="2743"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798">
        <f>IF(H91="——",成本法!C33,I91)</f>
        <v>0</v>
      </c>
      <c r="D91" s="2799"/>
      <c r="E91" s="3172" t="s">
        <v>2105</v>
      </c>
      <c r="F91" s="3173"/>
      <c r="G91" s="317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798">
        <f>ROUND((C87+C90+C91)*D92,0)</f>
        <v>0</v>
      </c>
      <c r="D92" s="2805"/>
      <c r="E92" s="3172" t="s">
        <v>2108</v>
      </c>
      <c r="F92" s="3173"/>
      <c r="G92" s="3173"/>
      <c r="H92" s="3182"/>
      <c r="I92" s="2006"/>
      <c r="J92" s="2744"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798">
        <f ca="1">ROUND(D45*D93/(1+'数据-取费表'!C42),0)</f>
        <v>4</v>
      </c>
      <c r="D93" s="2799">
        <f>'数据-取费表'!B43</f>
        <v>5.000000000000001E-3</v>
      </c>
      <c r="E93" s="3172" t="s">
        <v>2092</v>
      </c>
      <c r="F93" s="3173"/>
      <c r="G93" s="3173"/>
      <c r="H93" s="318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4">
        <f>ROUND((C87+C90+C91)*D94,0)</f>
        <v>0</v>
      </c>
      <c r="D94" s="2799">
        <v>0.2</v>
      </c>
      <c r="E94" s="3183" t="s">
        <v>2112</v>
      </c>
      <c r="F94" s="3184"/>
      <c r="G94" s="3184"/>
      <c r="H94" s="318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0">
        <f ca="1">ROUND(C85-C86,0)</f>
        <v>724</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0">
        <f ca="1">IF(C95&lt;=0,0,C95/C86)</f>
        <v>181</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1">
        <f ca="1">ROUND(IF(C95&lt;=0,0,IF(C96&gt;=200%,C95*60%-C86*35%,IF(C96&gt;=100%,C95*50%-C86*15%,IF(C96&gt;=50%,C95*40%-C86*5%,IF(C96&lt;50%,C95*30%,0))))),0)</f>
        <v>433</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56" t="s">
        <v>2114</v>
      </c>
      <c r="B100" s="3157"/>
      <c r="C100" s="3157"/>
      <c r="D100" s="3174"/>
      <c r="E100" s="3157" t="s">
        <v>2115</v>
      </c>
      <c r="F100" s="3157"/>
      <c r="G100" s="3157"/>
      <c r="H100" s="3174"/>
      <c r="I100" s="133"/>
    </row>
    <row r="101" spans="1:35" ht="18.75" customHeight="1">
      <c r="A101" s="3238" t="s">
        <v>2116</v>
      </c>
      <c r="B101" s="3239"/>
      <c r="C101" s="2807" t="str">
        <f>C4</f>
        <v>土地比较法-工业</v>
      </c>
      <c r="D101" s="2808" t="str">
        <f>D4</f>
        <v>假设开发法</v>
      </c>
      <c r="E101" s="3252" t="s">
        <v>2117</v>
      </c>
      <c r="F101" s="3206"/>
      <c r="G101" s="2012" t="s">
        <v>2118</v>
      </c>
      <c r="H101" s="2817">
        <f ca="1">H118</f>
        <v>764</v>
      </c>
      <c r="I101" s="133"/>
    </row>
    <row r="102" spans="1:35" ht="18.75" customHeight="1">
      <c r="A102" s="3208" t="s">
        <v>2119</v>
      </c>
      <c r="B102" s="2806" t="s">
        <v>2118</v>
      </c>
      <c r="C102" s="2807">
        <f ca="1">C19</f>
        <v>764</v>
      </c>
      <c r="D102" s="2808">
        <f ca="1">D19</f>
        <v>486</v>
      </c>
      <c r="E102" s="3252"/>
      <c r="F102" s="3206"/>
      <c r="G102" s="2012" t="s">
        <v>2120</v>
      </c>
      <c r="H102" s="2777">
        <f ca="1">I118</f>
        <v>219</v>
      </c>
      <c r="I102" s="133"/>
    </row>
    <row r="103" spans="1:35" ht="42.75" customHeight="1">
      <c r="A103" s="3208"/>
      <c r="B103" s="2806" t="s">
        <v>2120</v>
      </c>
      <c r="C103" s="2809">
        <f ca="1">C20</f>
        <v>219</v>
      </c>
      <c r="D103" s="2810">
        <f ca="1">D20</f>
        <v>139</v>
      </c>
      <c r="E103" s="3246" t="s">
        <v>2121</v>
      </c>
      <c r="F103" s="3247"/>
      <c r="G103" s="2013" t="s">
        <v>2122</v>
      </c>
      <c r="H103" s="2817">
        <f>IF(D36="正常操作",H104+H105+H106,H105+H106)</f>
        <v>0</v>
      </c>
      <c r="I103" s="133"/>
    </row>
    <row r="104" spans="1:35" ht="18.75" customHeight="1">
      <c r="A104" s="3208" t="s">
        <v>2123</v>
      </c>
      <c r="B104" s="2811" t="s">
        <v>2118</v>
      </c>
      <c r="C104" s="2812">
        <f ca="1">H118</f>
        <v>764</v>
      </c>
      <c r="D104" s="2813"/>
      <c r="E104" s="1859" t="s">
        <v>2124</v>
      </c>
      <c r="F104" s="1850"/>
      <c r="G104" s="2013" t="s">
        <v>2122</v>
      </c>
      <c r="H104" s="2818">
        <f>IF(D36="同一抵押权人同一抵押物续贷",C36&amp;"（续贷，未扣减，详见特别提示）",C36)</f>
        <v>0</v>
      </c>
      <c r="I104" s="133"/>
    </row>
    <row r="105" spans="1:35" ht="18.75" customHeight="1" thickBot="1">
      <c r="A105" s="3209"/>
      <c r="B105" s="2814" t="s">
        <v>2120</v>
      </c>
      <c r="C105" s="2815">
        <f ca="1">I118</f>
        <v>219</v>
      </c>
      <c r="D105" s="2816"/>
      <c r="E105" s="1859" t="s">
        <v>2125</v>
      </c>
      <c r="F105" s="1850"/>
      <c r="G105" s="2013" t="s">
        <v>2122</v>
      </c>
      <c r="H105" s="2819">
        <f>C37</f>
        <v>0</v>
      </c>
      <c r="I105" s="133"/>
    </row>
    <row r="106" spans="1:35" ht="18.75" customHeight="1">
      <c r="A106" s="1932" t="s">
        <v>2126</v>
      </c>
      <c r="B106" s="1932"/>
      <c r="C106" s="1932"/>
      <c r="D106" s="1932"/>
      <c r="E106" s="2014" t="s">
        <v>2127</v>
      </c>
      <c r="F106" s="1850"/>
      <c r="G106" s="2013" t="s">
        <v>2122</v>
      </c>
      <c r="H106" s="2819">
        <f>C38</f>
        <v>0</v>
      </c>
      <c r="I106" s="133"/>
    </row>
    <row r="107" spans="1:35" ht="18.75" customHeight="1">
      <c r="A107" s="133"/>
      <c r="B107" s="133"/>
      <c r="C107" s="133"/>
      <c r="D107" s="133"/>
      <c r="E107" s="3205" t="str">
        <f>IF(项目基本情况!E8="已注销","——","3.房地产抵押价值")</f>
        <v>3.房地产抵押价值</v>
      </c>
      <c r="F107" s="3206"/>
      <c r="G107" s="2012" t="s">
        <v>2118</v>
      </c>
      <c r="H107" s="2817">
        <f ca="1">IF(E107="——","——",H101-H103)</f>
        <v>764</v>
      </c>
      <c r="I107" s="133"/>
    </row>
    <row r="108" spans="1:35" ht="18.75" customHeight="1">
      <c r="A108" s="133"/>
      <c r="B108" s="133"/>
      <c r="C108" s="133"/>
      <c r="D108" s="133"/>
      <c r="E108" s="3205"/>
      <c r="F108" s="3206"/>
      <c r="G108" s="2012" t="s">
        <v>2120</v>
      </c>
      <c r="H108" s="2777">
        <f ca="1">ROUND(H107*10000/'数据-汇总表'!E3,0)</f>
        <v>219</v>
      </c>
      <c r="I108" s="133"/>
    </row>
    <row r="109" spans="1:35" ht="18.75" customHeight="1">
      <c r="A109" s="133"/>
      <c r="B109" s="133"/>
      <c r="C109" s="133"/>
      <c r="D109" s="133"/>
      <c r="E109" s="3205" t="str">
        <f>IF(项目基本情况!E8="已注销及未注销","4.抵押担保权已注销时的房地产抵押价值",IF(项目基本情况!E8="已注销","3.抵押担保权已注销时的房地产抵押价值","——"))</f>
        <v>——</v>
      </c>
      <c r="F109" s="3206"/>
      <c r="G109" s="2012" t="s">
        <v>2118</v>
      </c>
      <c r="H109" s="2820" t="str">
        <f>IF(E109="——","——",H101-H105-H106)</f>
        <v>——</v>
      </c>
      <c r="I109" s="133"/>
    </row>
    <row r="110" spans="1:35" ht="18.75" customHeight="1">
      <c r="A110" s="133"/>
      <c r="B110" s="133"/>
      <c r="C110" s="133"/>
      <c r="D110" s="133"/>
      <c r="E110" s="3205"/>
      <c r="F110" s="3206"/>
      <c r="G110" s="2012" t="s">
        <v>2120</v>
      </c>
      <c r="H110" s="2777" t="str">
        <f>IF(H109="——","——",ROUND(H109*10000/'数据-汇总表'!E3,0))</f>
        <v>——</v>
      </c>
      <c r="I110" s="133"/>
    </row>
    <row r="111" spans="1:35" ht="18.75" customHeight="1">
      <c r="A111" s="133"/>
      <c r="B111" s="133"/>
      <c r="C111" s="133"/>
      <c r="D111" s="133"/>
      <c r="E111" s="3240" t="str">
        <f>IF(项目基本情况!E9="抵押净值",IF(OR(项目基本情况!E8="已注销",项目基本情况!E8="房地产抵押价值"),"4.抵押净值","5.抵押净值"),"——")</f>
        <v>——</v>
      </c>
      <c r="F111" s="3207"/>
      <c r="G111" s="2012" t="s">
        <v>2118</v>
      </c>
      <c r="H111" s="2817" t="str">
        <f>IF(E111="——","——",N59)</f>
        <v>——</v>
      </c>
      <c r="I111" s="133"/>
    </row>
    <row r="112" spans="1:35" ht="18.75" customHeight="1" thickBot="1">
      <c r="A112" s="133"/>
      <c r="B112" s="133"/>
      <c r="C112" s="133"/>
      <c r="D112" s="133"/>
      <c r="E112" s="3241"/>
      <c r="F112" s="3242"/>
      <c r="G112" s="2015" t="s">
        <v>2120</v>
      </c>
      <c r="H112" s="2821" t="str">
        <f>IF(E111="——","——",N61)</f>
        <v>——</v>
      </c>
      <c r="I112" s="133"/>
    </row>
    <row r="113" spans="1:27" ht="18.75" customHeight="1">
      <c r="A113" s="133"/>
      <c r="B113" s="133"/>
      <c r="C113" s="133"/>
      <c r="D113" s="133"/>
      <c r="E113" s="3210" t="s">
        <v>2126</v>
      </c>
      <c r="F113" s="3210"/>
      <c r="G113" s="3210"/>
      <c r="H113" s="3210"/>
      <c r="I113" s="133"/>
    </row>
    <row r="114" spans="1:27" ht="3.75" customHeight="1">
      <c r="A114" s="1932"/>
      <c r="B114" s="1932"/>
      <c r="C114" s="1932"/>
      <c r="D114" s="1932"/>
      <c r="E114" s="1994"/>
      <c r="F114" s="1994"/>
      <c r="G114" s="1994"/>
      <c r="H114" s="1994"/>
      <c r="I114" s="1932"/>
    </row>
    <row r="115" spans="1:27" ht="18.75" customHeight="1">
      <c r="A115" s="3223" t="s">
        <v>2128</v>
      </c>
      <c r="B115" s="3224"/>
      <c r="C115" s="3224"/>
      <c r="D115" s="3224"/>
      <c r="E115" s="3224"/>
      <c r="F115" s="3224"/>
      <c r="G115" s="3224"/>
      <c r="H115" s="3224"/>
      <c r="I115" s="3225"/>
    </row>
    <row r="116" spans="1:27" ht="27" customHeight="1">
      <c r="A116" s="3176" t="s">
        <v>2129</v>
      </c>
      <c r="B116" s="3211" t="s">
        <v>2130</v>
      </c>
      <c r="C116" s="3211" t="s">
        <v>2131</v>
      </c>
      <c r="D116" s="3227" t="s">
        <v>2132</v>
      </c>
      <c r="E116" s="3228"/>
      <c r="F116" s="3219" t="s">
        <v>2133</v>
      </c>
      <c r="G116" s="3219"/>
      <c r="H116" s="3176" t="s">
        <v>2134</v>
      </c>
      <c r="I116" s="3176"/>
    </row>
    <row r="117" spans="1:27" ht="18.75" customHeight="1">
      <c r="A117" s="3176"/>
      <c r="B117" s="3212"/>
      <c r="C117" s="3212"/>
      <c r="D117" s="2551" t="s">
        <v>2135</v>
      </c>
      <c r="E117" s="2551" t="s">
        <v>2136</v>
      </c>
      <c r="F117" s="2551" t="s">
        <v>2135</v>
      </c>
      <c r="G117" s="2551" t="s">
        <v>2137</v>
      </c>
      <c r="H117" s="2551" t="s">
        <v>2135</v>
      </c>
      <c r="I117" s="2551" t="s">
        <v>2137</v>
      </c>
    </row>
    <row r="118" spans="1:27" ht="24.75" customHeight="1">
      <c r="A118" s="2822" t="str">
        <f>项目基本情况!S2</f>
        <v>吉林省辽源市沙河镇沙河村二组房地产</v>
      </c>
      <c r="B118" s="2551">
        <f>M18</f>
        <v>34910.400000000001</v>
      </c>
      <c r="C118" s="2551">
        <f>M19</f>
        <v>43638</v>
      </c>
      <c r="D118" s="2551">
        <f>ROUND(IF(D32="总价",C34,E118*B118/10000),0)</f>
        <v>0</v>
      </c>
      <c r="E118" s="2551">
        <f>ROUND(IF(C33="自定义",IF(D32="楼面单价",C34,D118*10000/B118),I118-G118),0)</f>
        <v>0</v>
      </c>
      <c r="F118" s="2551">
        <f>ROUND(IF(D32="总价",C35,G118*B118/10000),0)</f>
        <v>0</v>
      </c>
      <c r="G118" s="2551">
        <f>ROUND(IF(D32="楼面单价",C35,F118*10000/B118),0)</f>
        <v>0</v>
      </c>
      <c r="H118" s="2551">
        <f ca="1">ROUND(IF(D32="总价",C32,I118*B118/10000),0)</f>
        <v>764</v>
      </c>
      <c r="I118" s="2551">
        <f ca="1">ROUND(IF(D32="楼面单价",C32,H118*10000/B118),0)</f>
        <v>219</v>
      </c>
    </row>
    <row r="119" spans="1:27" ht="18.75" customHeight="1">
      <c r="A119" s="3176" t="s">
        <v>2138</v>
      </c>
      <c r="B119" s="3176"/>
      <c r="C119" s="3176"/>
      <c r="D119" s="3216" t="str">
        <f>NUMBERSTRING(INT(D118*10000),2)&amp;"元整"</f>
        <v>零元整</v>
      </c>
      <c r="E119" s="3218"/>
      <c r="F119" s="3216" t="str">
        <f>NUMBERSTRING(INT(F118*10000),2)&amp;"元整"</f>
        <v>零元整</v>
      </c>
      <c r="G119" s="3218"/>
      <c r="H119" s="3216" t="str">
        <f ca="1">NUMBERSTRING(INT(H118*10000),2)&amp;"元整"</f>
        <v>柒佰陆拾肆万元整</v>
      </c>
      <c r="I119" s="3218"/>
    </row>
    <row r="120" spans="1:27" ht="18.75" customHeight="1">
      <c r="A120" s="3243" t="str">
        <f>IF(项目基本情况!B9="房地产市场价值","",MID(E103,3,LEN(E103)-2))</f>
        <v/>
      </c>
      <c r="B120" s="3244"/>
      <c r="C120" s="3245"/>
      <c r="D120" s="3243">
        <f>H103</f>
        <v>0</v>
      </c>
      <c r="E120" s="3244"/>
      <c r="F120" s="3244"/>
      <c r="G120" s="3244"/>
      <c r="H120" s="3244"/>
      <c r="I120" s="3245"/>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0" t="s">
        <v>2138</v>
      </c>
      <c r="B121" s="3221"/>
      <c r="C121" s="3222"/>
      <c r="D121" s="3216" t="str">
        <f>IF(D120=0,"零元整",NUMBERSTRING(INT(D120*10000),2)&amp;"元整")</f>
        <v>零元整</v>
      </c>
      <c r="E121" s="3217"/>
      <c r="F121" s="3217"/>
      <c r="G121" s="3217"/>
      <c r="H121" s="3217"/>
      <c r="I121" s="3218"/>
      <c r="AA121" s="733"/>
    </row>
    <row r="122" spans="1:27" ht="18.75" customHeight="1">
      <c r="A122" s="3207" t="str">
        <f>IF(项目基本情况!B9="房地产市场价值","",MID(E107,3,LEN(E107)-2))</f>
        <v/>
      </c>
      <c r="B122" s="3207"/>
      <c r="C122" s="3207"/>
      <c r="D122" s="3243">
        <f ca="1">H107</f>
        <v>764</v>
      </c>
      <c r="E122" s="3244"/>
      <c r="F122" s="3244"/>
      <c r="G122" s="3244"/>
      <c r="H122" s="3244"/>
      <c r="I122" s="3245"/>
      <c r="AA122" s="733"/>
    </row>
    <row r="123" spans="1:27" ht="18.75" customHeight="1">
      <c r="A123" s="3176" t="s">
        <v>2138</v>
      </c>
      <c r="B123" s="3176"/>
      <c r="C123" s="3176"/>
      <c r="D123" s="3216" t="str">
        <f ca="1">NUMBERSTRING(INT(D122*10000),2)&amp;"元整"</f>
        <v>柒佰陆拾肆万元整</v>
      </c>
      <c r="E123" s="3217"/>
      <c r="F123" s="3217"/>
      <c r="G123" s="3217"/>
      <c r="H123" s="3217"/>
      <c r="I123" s="3218"/>
      <c r="AA123" s="733"/>
    </row>
    <row r="124" spans="1:27" ht="18.75" customHeight="1">
      <c r="A124" s="3207" t="str">
        <f>IF(项目基本情况!B9="房地产市场价值","",MID(E109,3,LEN(E109)-2))</f>
        <v/>
      </c>
      <c r="B124" s="3207"/>
      <c r="C124" s="3207"/>
      <c r="D124" s="3243" t="str">
        <f>H109</f>
        <v>——</v>
      </c>
      <c r="E124" s="3244"/>
      <c r="F124" s="3244"/>
      <c r="G124" s="3244"/>
      <c r="H124" s="3244"/>
      <c r="I124" s="3245"/>
      <c r="AA124" s="733"/>
    </row>
    <row r="125" spans="1:27" ht="18.75" customHeight="1">
      <c r="A125" s="3176" t="s">
        <v>2138</v>
      </c>
      <c r="B125" s="3176"/>
      <c r="C125" s="3176"/>
      <c r="D125" s="3216" t="e">
        <f>NUMBERSTRING(INT(D124*10000),2)&amp;"元整"</f>
        <v>#VALUE!</v>
      </c>
      <c r="E125" s="3217"/>
      <c r="F125" s="3217"/>
      <c r="G125" s="3217"/>
      <c r="H125" s="3217"/>
      <c r="I125" s="3218"/>
      <c r="AA125" s="733"/>
    </row>
    <row r="126" spans="1:27" ht="18.75" customHeight="1">
      <c r="A126" s="3207" t="str">
        <f>IF(项目基本情况!B9="房地产市场价值","",MID(E111,3,LEN(E111)-2))</f>
        <v/>
      </c>
      <c r="B126" s="3207"/>
      <c r="C126" s="3207"/>
      <c r="D126" s="3243" t="str">
        <f>H111</f>
        <v>——</v>
      </c>
      <c r="E126" s="3244"/>
      <c r="F126" s="3244"/>
      <c r="G126" s="3244"/>
      <c r="H126" s="3244"/>
      <c r="I126" s="3245"/>
      <c r="AA126" s="733"/>
    </row>
    <row r="127" spans="1:27" ht="18.75" customHeight="1">
      <c r="A127" s="3176" t="s">
        <v>2138</v>
      </c>
      <c r="B127" s="3176"/>
      <c r="C127" s="3176"/>
      <c r="D127" s="3216" t="e">
        <f>NUMBERSTRING(INT(D126*10000),2)&amp;"元整"</f>
        <v>#VALUE!</v>
      </c>
      <c r="E127" s="3217"/>
      <c r="F127" s="3217"/>
      <c r="G127" s="3217"/>
      <c r="H127" s="3217"/>
      <c r="I127" s="3218"/>
      <c r="AA127" s="733"/>
    </row>
    <row r="128" spans="1:27" ht="21.75" customHeight="1">
      <c r="A128" s="3226" t="s">
        <v>2139</v>
      </c>
      <c r="B128" s="3226"/>
      <c r="C128" s="3226"/>
      <c r="D128" s="3226"/>
      <c r="E128" s="3226"/>
      <c r="F128" s="3226"/>
      <c r="G128" s="3226"/>
      <c r="H128" s="3226"/>
      <c r="I128" s="3226"/>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0" t="str">
        <f>项目基本情况!B1</f>
        <v>吉林省辽源市沙河镇沙河村二组房地产市场价值预评估</v>
      </c>
      <c r="C37" s="3070"/>
      <c r="D37" s="3070"/>
      <c r="E37" s="3070"/>
      <c r="F37" s="3070"/>
      <c r="G37" s="3070"/>
      <c r="H37" s="3070"/>
      <c r="I37" s="3070"/>
    </row>
    <row r="38" spans="1:9">
      <c r="A38" s="952"/>
      <c r="B38" s="952"/>
    </row>
    <row r="39" spans="1:9">
      <c r="A39" s="950" t="s">
        <v>818</v>
      </c>
      <c r="B39" s="950" t="s">
        <v>820</v>
      </c>
    </row>
    <row r="40" spans="1:9">
      <c r="A40" s="950"/>
      <c r="B40" s="1658" t="str">
        <f>项目基本情况!B5</f>
        <v>中谷集团上海粮油有限公司</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50" sqref="I5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27</v>
      </c>
      <c r="C1" s="203"/>
      <c r="D1" s="203"/>
      <c r="E1" s="203"/>
      <c r="F1" s="203"/>
      <c r="G1" s="1287" t="e">
        <f>MATCH(B1,'数据-取费表'!A6:A16,0)+5</f>
        <v>#N/A</v>
      </c>
    </row>
    <row r="2" spans="1:9" s="205" customFormat="1" ht="18" customHeight="1">
      <c r="A2" s="206" t="s">
        <v>2148</v>
      </c>
      <c r="B2" s="207" t="e">
        <f ca="1">IF(D2="——",C52,C52-E2)</f>
        <v>#N/A</v>
      </c>
      <c r="C2" s="204" t="s">
        <v>2149</v>
      </c>
      <c r="D2" s="2038" t="s">
        <v>70</v>
      </c>
      <c r="E2" s="1330" t="e">
        <f ca="1">SUMIF(INDIRECT("'"&amp;G2&amp;"'"&amp;"!A:A"),"承租人权益价值",INDIRECT("'"&amp;G2&amp;"'"&amp;"!c:c"))</f>
        <v>#REF!</v>
      </c>
      <c r="F2" s="2039" t="s">
        <v>2149</v>
      </c>
      <c r="G2" s="2040"/>
    </row>
    <row r="3" spans="1:9" s="205" customFormat="1" ht="18" customHeight="1" thickBot="1">
      <c r="A3" s="208" t="s">
        <v>2150</v>
      </c>
      <c r="B3" s="209" t="e">
        <f ca="1">ROUND(B2*10000/(IF(B1="",'数据-汇总表'!E3,INDIRECT("'数据-取费表'!k"&amp;$G$1))),0)</f>
        <v>#N/A</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t="e">
        <f ca="1">C6+C7+C8</f>
        <v>#N/A</v>
      </c>
      <c r="D5" s="216" t="s">
        <v>2155</v>
      </c>
      <c r="E5" s="217" t="s">
        <v>2156</v>
      </c>
      <c r="F5" s="217" t="s">
        <v>2157</v>
      </c>
      <c r="G5" s="218"/>
    </row>
    <row r="6" spans="1:9" s="219" customFormat="1" ht="13.5" customHeight="1">
      <c r="A6" s="885" t="s">
        <v>2158</v>
      </c>
      <c r="B6" s="220" t="s">
        <v>2159</v>
      </c>
      <c r="C6" s="221">
        <f>'土地比较法-工业'!B2</f>
        <v>764</v>
      </c>
      <c r="D6" s="222"/>
      <c r="E6" s="223"/>
      <c r="F6" s="223"/>
      <c r="G6" s="224"/>
    </row>
    <row r="7" spans="1:9" s="219" customFormat="1" ht="13.5" customHeight="1">
      <c r="A7" s="885" t="s">
        <v>2160</v>
      </c>
      <c r="B7" s="220" t="s">
        <v>2161</v>
      </c>
      <c r="C7" s="225">
        <f>ROUND(C6*F7,0)</f>
        <v>23</v>
      </c>
      <c r="D7" s="225"/>
      <c r="E7" s="223"/>
      <c r="F7" s="226">
        <f>IF(项目基本情况!B8="出让",0,'数据-取费表'!B48+'数据-取费表'!B49)</f>
        <v>3.0499999999999999E-2</v>
      </c>
      <c r="G7" s="224"/>
    </row>
    <row r="8" spans="1:9" s="228" customFormat="1">
      <c r="A8" s="885" t="s">
        <v>2162</v>
      </c>
      <c r="B8" s="220" t="s">
        <v>2163</v>
      </c>
      <c r="C8" s="225" t="e">
        <f ca="1">IF(G8="已包含在土地购买价格中","0",IF(B1="",'数据-取费表'!B29,IF(G9="全部缴纳",C9+C10,H9)))</f>
        <v>#N/A</v>
      </c>
      <c r="D8" s="227"/>
      <c r="E8" s="225"/>
      <c r="F8" s="226"/>
      <c r="G8" s="2041" t="s">
        <v>3163</v>
      </c>
    </row>
    <row r="9" spans="1:9" s="219" customFormat="1" ht="13.5" customHeight="1">
      <c r="A9" s="886" t="s">
        <v>800</v>
      </c>
      <c r="B9" s="229" t="s">
        <v>2164</v>
      </c>
      <c r="C9" s="230" t="e">
        <f ca="1">ROUND(D9*E9/10000,0)</f>
        <v>#N/A</v>
      </c>
      <c r="D9" s="953" t="e">
        <f ca="1">IF(B1="",'数据-汇总表'!E5,IF(INDIRECT("'数据-取费表'!c"&amp;$G$1)="住宅",INDIRECT("'数据-取费表'!k"&amp;$G$1),0))</f>
        <v>#N/A</v>
      </c>
      <c r="E9" s="230">
        <f>'数据-取费表'!B27</f>
        <v>0</v>
      </c>
      <c r="F9" s="226"/>
      <c r="G9" s="2042" t="s">
        <v>3164</v>
      </c>
      <c r="H9" s="1298"/>
      <c r="I9" s="2043" t="s">
        <v>2165</v>
      </c>
    </row>
    <row r="10" spans="1:9" s="219" customFormat="1" ht="13.5" customHeight="1">
      <c r="A10" s="886" t="s">
        <v>801</v>
      </c>
      <c r="B10" s="229" t="s">
        <v>2166</v>
      </c>
      <c r="C10" s="230" t="e">
        <f ca="1">ROUND(D10*E10/10000,0)</f>
        <v>#N/A</v>
      </c>
      <c r="D10" s="953" t="e">
        <f ca="1">IF(B1="",'数据-汇总表'!E6,IF(INDIRECT("'数据-取费表'!c"&amp;$G$1)="住宅",INDIRECT("'数据-取费表'!s"&amp;$G$1),INDIRECT("'数据-取费表'!k"&amp;$G$1)+INDIRECT("'数据-取费表'!s"&amp;$G$1)))</f>
        <v>#N/A</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t="e">
        <f ca="1">D9+D10</f>
        <v>#N/A</v>
      </c>
      <c r="E19" s="216">
        <f>'数据-取费表'!B31</f>
        <v>150</v>
      </c>
      <c r="F19" s="236"/>
      <c r="G19" s="2041" t="s">
        <v>3165</v>
      </c>
    </row>
    <row r="20" spans="1:7" s="219" customFormat="1" ht="13.5" customHeight="1">
      <c r="A20" s="260" t="s">
        <v>2179</v>
      </c>
      <c r="B20" s="215" t="s">
        <v>2180</v>
      </c>
      <c r="C20" s="237" t="e">
        <f ca="1">ROUND((C5+C19)*F20,0)</f>
        <v>#N/A</v>
      </c>
      <c r="D20" s="237"/>
      <c r="E20" s="237"/>
      <c r="F20" s="238">
        <f>'数据-取费表'!B37</f>
        <v>1.4999999999999999E-2</v>
      </c>
      <c r="G20" s="239" t="s">
        <v>2181</v>
      </c>
    </row>
    <row r="21" spans="1:7" s="219" customFormat="1" ht="13.5" customHeight="1">
      <c r="A21" s="260" t="s">
        <v>2182</v>
      </c>
      <c r="B21" s="215" t="s">
        <v>2183</v>
      </c>
      <c r="C21" s="240">
        <f>F21</f>
        <v>1.4999999999999999E-2</v>
      </c>
      <c r="D21" s="241" t="s">
        <v>2184</v>
      </c>
      <c r="E21" s="237"/>
      <c r="F21" s="238">
        <f>'数据-取费表'!B38</f>
        <v>1.4999999999999999E-2</v>
      </c>
      <c r="G21" s="239" t="s">
        <v>2185</v>
      </c>
    </row>
    <row r="22" spans="1:7" s="219" customFormat="1" ht="13.5" customHeight="1">
      <c r="A22" s="260" t="s">
        <v>2186</v>
      </c>
      <c r="B22" s="215" t="s">
        <v>2187</v>
      </c>
      <c r="C22" s="1263" t="e">
        <f ca="1">ROUND(SUM(C23:C25),0)</f>
        <v>#N/A</v>
      </c>
      <c r="D22" s="240">
        <f ca="1">C26</f>
        <v>2.9999999999999997E-4</v>
      </c>
      <c r="E22" s="241" t="s">
        <v>2184</v>
      </c>
      <c r="F22" s="242">
        <f ca="1">'数据-取费表'!B40</f>
        <v>4.3499999999999997E-2</v>
      </c>
      <c r="G22" s="239" t="str">
        <f>IF('数据-取费表'!B22&lt;=1,"单利计息","复利计息")</f>
        <v>单利计息</v>
      </c>
    </row>
    <row r="23" spans="1:7" s="219" customFormat="1" ht="13.5" customHeight="1">
      <c r="A23" s="887" t="s">
        <v>2188</v>
      </c>
      <c r="B23" s="220" t="s">
        <v>2189</v>
      </c>
      <c r="C23" s="1264" t="e">
        <f ca="1">ROUND(IF('数据-取费表'!B22&lt;=1,C5*F22*'数据-取费表'!B23,C5*(POWER((1+F22),'数据-取费表'!B23)-1)),0)</f>
        <v>#N/A</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t="e">
        <f ca="1">ROUND(IF('数据-取费表'!B22&lt;=1,C20*F22*'数据-取费表'!B23/2,C20*(POWER((1+F22),'数据-取费表'!B23/2)-1)),0)</f>
        <v>#N/A</v>
      </c>
      <c r="D25" s="243"/>
      <c r="E25" s="246"/>
      <c r="F25" s="244"/>
      <c r="G25" s="247" t="s">
        <v>2196</v>
      </c>
    </row>
    <row r="26" spans="1:7" s="219" customFormat="1">
      <c r="A26" s="887" t="s">
        <v>795</v>
      </c>
      <c r="B26" s="220" t="s">
        <v>2197</v>
      </c>
      <c r="C26" s="243">
        <f ca="1">ROUND(IF('数据-取费表'!B22&lt;=1,F21*F22*'数据-取费表'!B23/2,F21*(POWER((1+F22),'数据-取费表'!B23/2)-1)),4)</f>
        <v>2.9999999999999997E-4</v>
      </c>
      <c r="D26" s="243"/>
      <c r="E26" s="246"/>
      <c r="F26" s="244"/>
      <c r="G26" s="248"/>
    </row>
    <row r="27" spans="1:7" s="219" customFormat="1" ht="24.75">
      <c r="A27" s="260" t="s">
        <v>2198</v>
      </c>
      <c r="B27" s="249" t="s">
        <v>2199</v>
      </c>
      <c r="C27" s="250" t="e">
        <f ca="1">C28</f>
        <v>#N/A</v>
      </c>
      <c r="D27" s="240" t="e">
        <f ca="1">C29</f>
        <v>#N/A</v>
      </c>
      <c r="E27" s="241" t="s">
        <v>2200</v>
      </c>
      <c r="F27" s="251" t="e">
        <f ca="1">IF(B1="",'数据-取费表'!Q16,INDIRECT("'数据-取费表'!q"&amp;$G$1))</f>
        <v>#N/A</v>
      </c>
      <c r="G27" s="252" t="s">
        <v>2201</v>
      </c>
    </row>
    <row r="28" spans="1:7" s="219" customFormat="1" ht="13.5" customHeight="1">
      <c r="A28" s="887" t="s">
        <v>791</v>
      </c>
      <c r="B28" s="253" t="s">
        <v>2202</v>
      </c>
      <c r="C28" s="254" t="e">
        <f ca="1">ROUND((C5+C19+C20)*F27*'数据-取费表'!B21/'数据-取费表'!B20,0)</f>
        <v>#N/A</v>
      </c>
      <c r="D28" s="240"/>
      <c r="E28" s="241"/>
      <c r="F28" s="251"/>
      <c r="G28" s="252"/>
    </row>
    <row r="29" spans="1:7" s="219" customFormat="1" ht="13.5" customHeight="1">
      <c r="A29" s="887" t="s">
        <v>792</v>
      </c>
      <c r="B29" s="253" t="s">
        <v>2203</v>
      </c>
      <c r="C29" s="243" t="e">
        <f ca="1">ROUND(C21*F27*'数据-取费表'!B21/'数据-取费表'!B20,4)</f>
        <v>#N/A</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t="e">
        <f ca="1">ROUND((C5+C19+C20+C22+C27)/(1-C21-D22-D27-C30),0)</f>
        <v>#N/A</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t="e">
        <f ca="1">SUM(C34:C38)</f>
        <v>#N/A</v>
      </c>
      <c r="D33" s="237"/>
      <c r="E33" s="217"/>
      <c r="F33" s="246"/>
      <c r="G33" s="239"/>
    </row>
    <row r="34" spans="1:7" s="263" customFormat="1" ht="13.5" customHeight="1">
      <c r="A34" s="887" t="s">
        <v>791</v>
      </c>
      <c r="B34" s="220" t="s">
        <v>2211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2212</v>
      </c>
    </row>
    <row r="35" spans="1:7" ht="13.5" customHeight="1">
      <c r="A35" s="887" t="s">
        <v>796</v>
      </c>
      <c r="B35" s="220" t="s">
        <v>2213</v>
      </c>
      <c r="C35" s="225" t="e">
        <f ca="1">ROUND(C34*F35,0)</f>
        <v>#N/A</v>
      </c>
      <c r="D35" s="225"/>
      <c r="E35" s="225"/>
      <c r="F35" s="264">
        <f>'数据-取费表'!B33</f>
        <v>0.03</v>
      </c>
      <c r="G35" s="224" t="s">
        <v>2214</v>
      </c>
    </row>
    <row r="36" spans="1:7" ht="24">
      <c r="A36" s="887" t="s">
        <v>797</v>
      </c>
      <c r="B36" s="220" t="s">
        <v>2215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2216</v>
      </c>
    </row>
    <row r="37" spans="1:7" s="263" customFormat="1" ht="13.5" customHeight="1">
      <c r="A37" s="887" t="s">
        <v>798</v>
      </c>
      <c r="B37" s="220" t="s">
        <v>2217</v>
      </c>
      <c r="C37" s="254" t="e">
        <f ca="1">ROUND(E37*D37*F34/10000,0)</f>
        <v>#N/A</v>
      </c>
      <c r="D37" s="222" t="e">
        <f ca="1">D19</f>
        <v>#N/A</v>
      </c>
      <c r="E37" s="254">
        <f>'数据-取费表'!B35</f>
        <v>150</v>
      </c>
      <c r="F37" s="264"/>
      <c r="G37" s="266" t="s">
        <v>2218</v>
      </c>
    </row>
    <row r="38" spans="1:7" ht="13.5" customHeight="1">
      <c r="A38" s="887" t="s">
        <v>799</v>
      </c>
      <c r="B38" s="220" t="s">
        <v>2219</v>
      </c>
      <c r="C38" s="225" t="e">
        <f ca="1">ROUND(C34*F38,0)</f>
        <v>#N/A</v>
      </c>
      <c r="D38" s="225"/>
      <c r="E38" s="225"/>
      <c r="F38" s="264">
        <f>'数据-取费表'!B36</f>
        <v>1.4999999999999999E-2</v>
      </c>
      <c r="G38" s="224" t="s">
        <v>2214</v>
      </c>
    </row>
    <row r="39" spans="1:7" s="219" customFormat="1" ht="13.5" customHeight="1">
      <c r="A39" s="260" t="s">
        <v>2220</v>
      </c>
      <c r="B39" s="215" t="s">
        <v>2221</v>
      </c>
      <c r="C39" s="237" t="e">
        <f ca="1">ROUND(C33*F20,0)</f>
        <v>#N/A</v>
      </c>
      <c r="D39" s="237"/>
      <c r="E39" s="237"/>
      <c r="F39" s="2534">
        <f>F20</f>
        <v>1.4999999999999999E-2</v>
      </c>
      <c r="G39" s="239" t="s">
        <v>2222</v>
      </c>
    </row>
    <row r="40" spans="1:7" s="219" customFormat="1" ht="13.5" customHeight="1">
      <c r="A40" s="260" t="s">
        <v>2223</v>
      </c>
      <c r="B40" s="215" t="s">
        <v>2224</v>
      </c>
      <c r="C40" s="1494">
        <f>F21</f>
        <v>1.4999999999999999E-2</v>
      </c>
      <c r="D40" s="241" t="s">
        <v>2225</v>
      </c>
      <c r="E40" s="237"/>
      <c r="F40" s="2534">
        <f>F21</f>
        <v>1.4999999999999999E-2</v>
      </c>
      <c r="G40" s="239" t="s">
        <v>2226</v>
      </c>
    </row>
    <row r="41" spans="1:7" s="219" customFormat="1" ht="13.5" customHeight="1">
      <c r="A41" s="260" t="s">
        <v>2227</v>
      </c>
      <c r="B41" s="215" t="s">
        <v>2228</v>
      </c>
      <c r="C41" s="237" t="e">
        <f ca="1">ROUND(SUM(C42:C43),0)</f>
        <v>#N/A</v>
      </c>
      <c r="D41" s="240">
        <f ca="1">C44</f>
        <v>2.9999999999999997E-4</v>
      </c>
      <c r="E41" s="241" t="s">
        <v>2225</v>
      </c>
      <c r="F41" s="2535">
        <f ca="1">F22</f>
        <v>4.3499999999999997E-2</v>
      </c>
      <c r="G41" s="239" t="str">
        <f>IF('数据-取费表'!B22&lt;=1,"单利计息","复利计息")</f>
        <v>单利计息</v>
      </c>
    </row>
    <row r="42" spans="1:7" ht="13.5" customHeight="1">
      <c r="A42" s="887" t="s">
        <v>791</v>
      </c>
      <c r="B42" s="220" t="s">
        <v>2229</v>
      </c>
      <c r="C42" s="243" t="e">
        <f ca="1">ROUND(IF('数据-取费表'!B22&lt;=1,C33*F22*'数据-取费表'!B21/2,C33*(POWER((1+F22),'数据-取费表'!B21/2)-1)),0)</f>
        <v>#N/A</v>
      </c>
      <c r="D42" s="243"/>
      <c r="E42" s="243"/>
      <c r="F42" s="244"/>
      <c r="G42" s="3259" t="s">
        <v>2230</v>
      </c>
    </row>
    <row r="43" spans="1:7" ht="13.5" customHeight="1">
      <c r="A43" s="887" t="s">
        <v>792</v>
      </c>
      <c r="B43" s="220" t="s">
        <v>2231</v>
      </c>
      <c r="C43" s="243" t="e">
        <f ca="1">ROUND(IF('数据-取费表'!B22&lt;=1,C39*F22*'数据-取费表'!B21/2,C39*(POWER((1+F22),'数据-取费表'!B21/2)-1)),0)</f>
        <v>#N/A</v>
      </c>
      <c r="D43" s="243"/>
      <c r="E43" s="243"/>
      <c r="F43" s="244"/>
      <c r="G43" s="3260"/>
    </row>
    <row r="44" spans="1:7" ht="13.5" customHeight="1">
      <c r="A44" s="887" t="s">
        <v>793</v>
      </c>
      <c r="B44" s="220" t="s">
        <v>2232</v>
      </c>
      <c r="C44" s="243">
        <f ca="1">ROUND(IF('数据-取费表'!B22&lt;=1,C40*F22*'数据-取费表'!B21/2,C40*(POWER((1+F22),'数据-取费表'!B21/2)-1)),4)</f>
        <v>2.9999999999999997E-4</v>
      </c>
      <c r="D44" s="243"/>
      <c r="E44" s="243"/>
      <c r="F44" s="244"/>
      <c r="G44" s="3261"/>
    </row>
    <row r="45" spans="1:7" s="219" customFormat="1" ht="13.5" customHeight="1">
      <c r="A45" s="260" t="s">
        <v>2233</v>
      </c>
      <c r="B45" s="249" t="s">
        <v>2199</v>
      </c>
      <c r="C45" s="250" t="e">
        <f ca="1">C46</f>
        <v>#N/A</v>
      </c>
      <c r="D45" s="240" t="e">
        <f ca="1">C47</f>
        <v>#N/A</v>
      </c>
      <c r="E45" s="241" t="s">
        <v>2225</v>
      </c>
      <c r="F45" s="2536" t="e">
        <f ca="1">F27</f>
        <v>#N/A</v>
      </c>
      <c r="G45" s="252" t="s">
        <v>2234</v>
      </c>
    </row>
    <row r="46" spans="1:7" s="219" customFormat="1" ht="13.5" customHeight="1">
      <c r="A46" s="887" t="s">
        <v>791</v>
      </c>
      <c r="B46" s="253" t="s">
        <v>2235</v>
      </c>
      <c r="C46" s="254" t="e">
        <f ca="1">ROUND((C33+C39)*F27,0)</f>
        <v>#N/A</v>
      </c>
      <c r="D46" s="268"/>
      <c r="E46" s="241"/>
      <c r="F46" s="251"/>
      <c r="G46" s="252"/>
    </row>
    <row r="47" spans="1:7" s="219" customFormat="1" ht="13.5" customHeight="1">
      <c r="A47" s="887" t="s">
        <v>792</v>
      </c>
      <c r="B47" s="253" t="s">
        <v>2236</v>
      </c>
      <c r="C47" s="243" t="e">
        <f ca="1">ROUND(C40*F27,4)</f>
        <v>#N/A</v>
      </c>
      <c r="D47" s="268"/>
      <c r="E47" s="241"/>
      <c r="F47" s="251"/>
      <c r="G47" s="252"/>
    </row>
    <row r="48" spans="1:7" s="219" customFormat="1" ht="13.5" customHeight="1">
      <c r="A48" s="260" t="s">
        <v>2198</v>
      </c>
      <c r="B48" s="215" t="s">
        <v>2237</v>
      </c>
      <c r="C48" s="1494">
        <f>ROUND(F30/(1+'数据-取费表'!C42),4)</f>
        <v>5.2400000000000002E-2</v>
      </c>
      <c r="D48" s="241" t="s">
        <v>2225</v>
      </c>
      <c r="E48" s="237"/>
      <c r="F48" s="2535">
        <f>F30</f>
        <v>5.5000000000000007E-2</v>
      </c>
      <c r="G48" s="239" t="s">
        <v>2238</v>
      </c>
    </row>
    <row r="49" spans="1:7" ht="16.5" customHeight="1">
      <c r="A49" s="260" t="s">
        <v>2204</v>
      </c>
      <c r="B49" s="215" t="s">
        <v>2239</v>
      </c>
      <c r="C49" s="237" t="e">
        <f ca="1">ROUND((C33+C39+C41+C45)/(1-C40-D41-D45-C48),0)</f>
        <v>#N/A</v>
      </c>
      <c r="D49" s="237"/>
      <c r="E49" s="237"/>
      <c r="F49" s="269"/>
      <c r="G49" s="239" t="s">
        <v>2240</v>
      </c>
    </row>
    <row r="50" spans="1:7" s="263" customFormat="1" ht="24">
      <c r="A50" s="260" t="s">
        <v>2241</v>
      </c>
      <c r="B50" s="215" t="s">
        <v>2242</v>
      </c>
      <c r="C50" s="237"/>
      <c r="D50" s="237"/>
      <c r="E50" s="237"/>
      <c r="F50" s="269">
        <f>IF('数据-取费表'!B24=0,'数据-取费表'!N16,1)</f>
        <v>0</v>
      </c>
      <c r="G50" s="252" t="s">
        <v>2243</v>
      </c>
    </row>
    <row r="51" spans="1:7" ht="16.5" customHeight="1">
      <c r="A51" s="260" t="s">
        <v>2244</v>
      </c>
      <c r="B51" s="215" t="s">
        <v>2245</v>
      </c>
      <c r="C51" s="237" t="e">
        <f ca="1">ROUND(C49*F50,0)</f>
        <v>#N/A</v>
      </c>
      <c r="D51" s="237"/>
      <c r="E51" s="237"/>
      <c r="F51" s="269"/>
      <c r="G51" s="239" t="s">
        <v>2246</v>
      </c>
    </row>
    <row r="52" spans="1:7" s="213" customFormat="1" ht="16.5" thickBot="1">
      <c r="A52" s="270" t="s">
        <v>2247</v>
      </c>
      <c r="B52" s="271"/>
      <c r="C52" s="272" t="e">
        <f ca="1">C31+C51</f>
        <v>#N/A</v>
      </c>
      <c r="D52" s="271"/>
      <c r="E52" s="271"/>
      <c r="F52" s="271"/>
      <c r="G52" s="273"/>
    </row>
    <row r="55" spans="1:7" ht="15">
      <c r="B55" s="275" t="s">
        <v>2248</v>
      </c>
      <c r="C55" s="276"/>
    </row>
    <row r="56" spans="1:7">
      <c r="B56" s="278" t="s">
        <v>1478</v>
      </c>
      <c r="C56" s="280" t="e">
        <f ca="1">1-C57</f>
        <v>#N/A</v>
      </c>
    </row>
    <row r="57" spans="1:7">
      <c r="B57" s="278" t="s">
        <v>1479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C49" sqref="C49"/>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t="s">
        <v>27</v>
      </c>
      <c r="C1" s="2044" t="s">
        <v>2249</v>
      </c>
      <c r="D1" s="203"/>
      <c r="E1" s="203"/>
      <c r="F1" s="203"/>
      <c r="G1" s="1287" t="e">
        <f>MATCH(B1,'数据-取费表'!A6:A16,0)+5</f>
        <v>#N/A</v>
      </c>
      <c r="H1" s="1191" t="str">
        <f>IF(ISERROR(FIND("住宅",B1)),"非住宅","住宅")</f>
        <v>非住宅</v>
      </c>
    </row>
    <row r="2" spans="1:8" s="205" customFormat="1" ht="18" customHeight="1">
      <c r="A2" s="206" t="s">
        <v>2148</v>
      </c>
      <c r="B2" s="207" t="e">
        <f ca="1">ROUND(IF(D2="——",C52/10000,C52/10000-E2),0)</f>
        <v>#N/A</v>
      </c>
      <c r="C2" s="204" t="s">
        <v>2149</v>
      </c>
      <c r="D2" s="2038" t="s">
        <v>70</v>
      </c>
      <c r="E2" s="1330" t="e">
        <f ca="1">SUMIF(INDIRECT("'"&amp;G2&amp;"'"&amp;"!A:A"),"承租人权益价值",INDIRECT("'"&amp;G2&amp;"'"&amp;"!c:c"))</f>
        <v>#REF!</v>
      </c>
      <c r="F2" s="2039" t="s">
        <v>2149</v>
      </c>
      <c r="G2" s="2040"/>
    </row>
    <row r="3" spans="1:8" s="205" customFormat="1" ht="18" customHeight="1" thickBot="1">
      <c r="A3" s="208" t="s">
        <v>2150</v>
      </c>
      <c r="B3" s="209" t="e">
        <f ca="1">ROUND(B2*10000/(IF(B1="",'数据-汇总表'!E3,INDIRECT("'数据-取费表'!k"&amp;$G$1))),0)</f>
        <v>#N/A</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t="e">
        <f ca="1">C6+C7+C8</f>
        <v>#N/A</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t="e">
        <f ca="1">IF(G8="已包含在土地购买价格中",0,C9+C10)</f>
        <v>#N/A</v>
      </c>
      <c r="D8" s="227"/>
      <c r="E8" s="225"/>
      <c r="F8" s="226"/>
      <c r="G8" s="2041"/>
    </row>
    <row r="9" spans="1:8" s="219" customFormat="1" ht="13.5" customHeight="1">
      <c r="A9" s="886" t="s">
        <v>800</v>
      </c>
      <c r="B9" s="229" t="s">
        <v>2164</v>
      </c>
      <c r="C9" s="230" t="e">
        <f ca="1">ROUND(D9*E9,0)</f>
        <v>#N/A</v>
      </c>
      <c r="D9" s="953" t="e">
        <f ca="1">IF(B1="",'数据-汇总表'!E5,IF(INDIRECT("'数据-取费表'!c"&amp;$G$1)="住宅",INDIRECT("'数据-取费表'!k"&amp;$G$1),0))</f>
        <v>#N/A</v>
      </c>
      <c r="E9" s="230">
        <f>'数据-取费表'!B27</f>
        <v>0</v>
      </c>
      <c r="F9" s="226"/>
      <c r="G9" s="231"/>
    </row>
    <row r="10" spans="1:8" s="219" customFormat="1" ht="13.5" customHeight="1">
      <c r="A10" s="886" t="s">
        <v>801</v>
      </c>
      <c r="B10" s="229" t="s">
        <v>2166</v>
      </c>
      <c r="C10" s="230" t="e">
        <f ca="1">ROUND(D10*E10,0)</f>
        <v>#N/A</v>
      </c>
      <c r="D10" s="953" t="e">
        <f ca="1">IF(B1="",'数据-汇总表'!E6,IF(INDIRECT("'数据-取费表'!c"&amp;$G$1)="住宅",INDIRECT("'数据-取费表'!s"&amp;$G$1),INDIRECT("'数据-取费表'!k"&amp;$G$1)+INDIRECT("'数据-取费表'!s"&amp;$G$1)))</f>
        <v>#N/A</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t="e">
        <f ca="1">IF(G19="已包含在土地取得成本中","0",ROUND(D19*E19,0))</f>
        <v>#N/A</v>
      </c>
      <c r="D19" s="957" t="e">
        <f ca="1">D9+D10</f>
        <v>#N/A</v>
      </c>
      <c r="E19" s="216">
        <f>'数据-取费表'!B31</f>
        <v>150</v>
      </c>
      <c r="F19" s="236"/>
      <c r="G19" s="2041"/>
    </row>
    <row r="20" spans="1:7" s="219" customFormat="1" ht="13.5" customHeight="1">
      <c r="A20" s="260" t="s">
        <v>2260</v>
      </c>
      <c r="B20" s="215" t="s">
        <v>2261</v>
      </c>
      <c r="C20" s="237" t="e">
        <f ca="1">ROUND((C5+C19)*F20,0)</f>
        <v>#N/A</v>
      </c>
      <c r="D20" s="237"/>
      <c r="E20" s="237"/>
      <c r="F20" s="238">
        <f>'数据-取费表'!B37</f>
        <v>1.4999999999999999E-2</v>
      </c>
      <c r="G20" s="239" t="s">
        <v>2262</v>
      </c>
    </row>
    <row r="21" spans="1:7" s="219" customFormat="1" ht="13.5" customHeight="1">
      <c r="A21" s="260" t="s">
        <v>2263</v>
      </c>
      <c r="B21" s="215" t="s">
        <v>2264</v>
      </c>
      <c r="C21" s="240">
        <f>F21</f>
        <v>1.4999999999999999E-2</v>
      </c>
      <c r="D21" s="241" t="s">
        <v>2265</v>
      </c>
      <c r="E21" s="237"/>
      <c r="F21" s="238">
        <f>'数据-取费表'!B38</f>
        <v>1.4999999999999999E-2</v>
      </c>
      <c r="G21" s="239" t="s">
        <v>2266</v>
      </c>
    </row>
    <row r="22" spans="1:7" s="219" customFormat="1" ht="13.5" customHeight="1">
      <c r="A22" s="260" t="s">
        <v>2267</v>
      </c>
      <c r="B22" s="215" t="s">
        <v>2268</v>
      </c>
      <c r="C22" s="1288" t="e">
        <f ca="1">ROUND(SUM(C23:C25),0)</f>
        <v>#N/A</v>
      </c>
      <c r="D22" s="240">
        <f ca="1">C26</f>
        <v>2.9999999999999997E-4</v>
      </c>
      <c r="E22" s="241" t="s">
        <v>2265</v>
      </c>
      <c r="F22" s="242">
        <f ca="1">'数据-取费表'!B40</f>
        <v>4.3499999999999997E-2</v>
      </c>
      <c r="G22" s="239" t="str">
        <f>IF('数据-取费表'!B22&lt;=1,"单利计息","复利计息")</f>
        <v>单利计息</v>
      </c>
    </row>
    <row r="23" spans="1:7" s="219" customFormat="1" ht="13.5" customHeight="1">
      <c r="A23" s="887" t="s">
        <v>2158</v>
      </c>
      <c r="B23" s="220" t="s">
        <v>2269</v>
      </c>
      <c r="C23" s="1289" t="e">
        <f ca="1">ROUND(IF('数据-取费表'!B22&lt;=1,C5*F22*'数据-取费表'!B22,C5*(POWER((1+F22),'数据-取费表'!B22)-1)),0)</f>
        <v>#N/A</v>
      </c>
      <c r="D23" s="243"/>
      <c r="E23" s="243"/>
      <c r="F23" s="244"/>
      <c r="G23" s="245" t="s">
        <v>2270</v>
      </c>
    </row>
    <row r="24" spans="1:7" s="219" customFormat="1" ht="13.5" customHeight="1">
      <c r="A24" s="887" t="s">
        <v>2160</v>
      </c>
      <c r="B24" s="220" t="s">
        <v>2271</v>
      </c>
      <c r="C24" s="1289" t="e">
        <f ca="1">ROUND(IF('数据-取费表'!B22&lt;=1,C19*F22*('数据-取费表'!B19/2+'数据-取费表'!B20),C19*(POWER((1+F22),('数据-取费表'!B19/2+'数据-取费表'!B20))-1)),0)</f>
        <v>#N/A</v>
      </c>
      <c r="D24" s="243"/>
      <c r="E24" s="243"/>
      <c r="F24" s="244"/>
      <c r="G24" s="245" t="s">
        <v>2272</v>
      </c>
    </row>
    <row r="25" spans="1:7" s="219" customFormat="1" ht="24">
      <c r="A25" s="887" t="s">
        <v>2162</v>
      </c>
      <c r="B25" s="220" t="s">
        <v>2273</v>
      </c>
      <c r="C25" s="1289" t="e">
        <f ca="1">ROUND(IF('数据-取费表'!B22&lt;=1,C20*F22*'数据-取费表'!B22/2,C20*(POWER((1+F22),'数据-取费表'!B22/2)-1)),0)</f>
        <v>#N/A</v>
      </c>
      <c r="D25" s="243"/>
      <c r="E25" s="246"/>
      <c r="F25" s="244"/>
      <c r="G25" s="247" t="s">
        <v>2274</v>
      </c>
    </row>
    <row r="26" spans="1:7" s="219" customFormat="1">
      <c r="A26" s="887" t="s">
        <v>795</v>
      </c>
      <c r="B26" s="220" t="s">
        <v>2197</v>
      </c>
      <c r="C26" s="243">
        <f ca="1">ROUND(IF('数据-取费表'!B22&lt;=1,F21*F22*'数据-取费表'!B22/2,F21*(POWER((1+F22),'数据-取费表'!B22/2)-1)),4)</f>
        <v>2.9999999999999997E-4</v>
      </c>
      <c r="D26" s="243"/>
      <c r="E26" s="246"/>
      <c r="F26" s="244"/>
      <c r="G26" s="248"/>
    </row>
    <row r="27" spans="1:7" s="219" customFormat="1" ht="24.75">
      <c r="A27" s="260" t="s">
        <v>2198</v>
      </c>
      <c r="B27" s="249" t="s">
        <v>2199</v>
      </c>
      <c r="C27" s="250" t="e">
        <f ca="1">C28</f>
        <v>#N/A</v>
      </c>
      <c r="D27" s="240">
        <f>C29</f>
        <v>8.0000000000000004E-4</v>
      </c>
      <c r="E27" s="241" t="s">
        <v>2200</v>
      </c>
      <c r="F27" s="251">
        <v>0.05</v>
      </c>
      <c r="G27" s="252" t="s">
        <v>2201</v>
      </c>
    </row>
    <row r="28" spans="1:7" s="219" customFormat="1" ht="13.5" customHeight="1">
      <c r="A28" s="887" t="s">
        <v>791</v>
      </c>
      <c r="B28" s="253" t="s">
        <v>2202</v>
      </c>
      <c r="C28" s="254" t="e">
        <f ca="1">ROUND((C5+C19+C20)*F27,0)</f>
        <v>#N/A</v>
      </c>
      <c r="D28" s="240"/>
      <c r="E28" s="241"/>
      <c r="F28" s="251"/>
      <c r="G28" s="252"/>
    </row>
    <row r="29" spans="1:7" s="219" customFormat="1" ht="13.5" customHeight="1">
      <c r="A29" s="887" t="s">
        <v>792</v>
      </c>
      <c r="B29" s="253" t="s">
        <v>2203</v>
      </c>
      <c r="C29" s="243">
        <f>ROUND(C21*F27,4)</f>
        <v>8.0000000000000004E-4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t="e">
        <f ca="1">ROUND((C5+C19+C20+C22+C27)/(1-C21-D22-D27-C30),0)</f>
        <v>#N/A</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SUM(C34:C38)</f>
        <v>454467</v>
      </c>
      <c r="D33" s="237"/>
      <c r="E33" s="217"/>
      <c r="F33" s="246"/>
      <c r="G33" s="239"/>
    </row>
    <row r="34" spans="1:7" s="263" customFormat="1" ht="13.5" customHeight="1">
      <c r="A34" s="887" t="s">
        <v>791</v>
      </c>
      <c r="B34" s="220" t="s">
        <v>2211</v>
      </c>
      <c r="C34" s="225">
        <f>ROUND(明细表!D6*800,0)</f>
        <v>368736</v>
      </c>
      <c r="D34" s="222"/>
      <c r="E34" s="225"/>
      <c r="F34" s="262"/>
      <c r="G34" s="224"/>
    </row>
    <row r="35" spans="1:7" ht="13.5" customHeight="1">
      <c r="A35" s="887" t="s">
        <v>796</v>
      </c>
      <c r="B35" s="220" t="s">
        <v>2213</v>
      </c>
      <c r="C35" s="225">
        <f>ROUND(C34*F35,0)</f>
        <v>11062</v>
      </c>
      <c r="D35" s="225"/>
      <c r="E35" s="225"/>
      <c r="F35" s="264">
        <f>'数据-取费表'!B33</f>
        <v>0.03</v>
      </c>
      <c r="G35" s="224" t="s">
        <v>2214</v>
      </c>
    </row>
    <row r="36" spans="1:7" ht="24">
      <c r="A36" s="887" t="s">
        <v>797</v>
      </c>
      <c r="B36" s="220" t="s">
        <v>2215</v>
      </c>
      <c r="C36" s="225">
        <v>0</v>
      </c>
      <c r="D36" s="225"/>
      <c r="E36" s="225"/>
      <c r="F36" s="264">
        <f>'数据-取费表'!B34</f>
        <v>0</v>
      </c>
      <c r="G36" s="265" t="s">
        <v>2216</v>
      </c>
    </row>
    <row r="37" spans="1:7" s="263" customFormat="1" ht="13.5" customHeight="1">
      <c r="A37" s="887" t="s">
        <v>798</v>
      </c>
      <c r="B37" s="220" t="s">
        <v>2217</v>
      </c>
      <c r="C37" s="254">
        <f>ROUND(E37*D37,0)</f>
        <v>69138</v>
      </c>
      <c r="D37" s="222">
        <f>明细表!D6</f>
        <v>460.92</v>
      </c>
      <c r="E37" s="254">
        <f>'数据-取费表'!B35</f>
        <v>150</v>
      </c>
      <c r="F37" s="264"/>
      <c r="G37" s="266"/>
    </row>
    <row r="38" spans="1:7" ht="13.5" customHeight="1">
      <c r="A38" s="887" t="s">
        <v>799</v>
      </c>
      <c r="B38" s="220" t="s">
        <v>2219</v>
      </c>
      <c r="C38" s="225">
        <f>ROUND(C34*F38,0)</f>
        <v>5531</v>
      </c>
      <c r="D38" s="225"/>
      <c r="E38" s="225"/>
      <c r="F38" s="264">
        <f>'数据-取费表'!B36</f>
        <v>1.4999999999999999E-2</v>
      </c>
      <c r="G38" s="224" t="s">
        <v>2214</v>
      </c>
    </row>
    <row r="39" spans="1:7" s="219" customFormat="1" ht="13.5" customHeight="1">
      <c r="A39" s="260" t="s">
        <v>2220</v>
      </c>
      <c r="B39" s="215" t="s">
        <v>2221</v>
      </c>
      <c r="C39" s="237">
        <f>ROUND(C33*F20,0)</f>
        <v>6817</v>
      </c>
      <c r="D39" s="237"/>
      <c r="E39" s="237"/>
      <c r="F39" s="2534">
        <f>F20</f>
        <v>1.4999999999999999E-2</v>
      </c>
      <c r="G39" s="239" t="s">
        <v>2222</v>
      </c>
    </row>
    <row r="40" spans="1:7" s="219" customFormat="1" ht="13.5" customHeight="1">
      <c r="A40" s="260" t="s">
        <v>2223</v>
      </c>
      <c r="B40" s="215" t="s">
        <v>2224</v>
      </c>
      <c r="C40" s="1494">
        <f>F21</f>
        <v>1.4999999999999999E-2</v>
      </c>
      <c r="D40" s="241" t="s">
        <v>2225</v>
      </c>
      <c r="E40" s="237"/>
      <c r="F40" s="2534">
        <f>F21</f>
        <v>1.4999999999999999E-2</v>
      </c>
      <c r="G40" s="239" t="s">
        <v>2226</v>
      </c>
    </row>
    <row r="41" spans="1:7" s="219" customFormat="1" ht="13.5" customHeight="1">
      <c r="A41" s="260" t="s">
        <v>2227</v>
      </c>
      <c r="B41" s="215" t="s">
        <v>2228</v>
      </c>
      <c r="C41" s="237">
        <f ca="1">ROUND(SUM(C42:C43),0)</f>
        <v>10033</v>
      </c>
      <c r="D41" s="240">
        <f ca="1">C44</f>
        <v>2.9999999999999997E-4</v>
      </c>
      <c r="E41" s="241" t="s">
        <v>2225</v>
      </c>
      <c r="F41" s="2535">
        <f ca="1">F22</f>
        <v>4.3499999999999997E-2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9885</v>
      </c>
      <c r="D42" s="243"/>
      <c r="E42" s="243"/>
      <c r="F42" s="244"/>
      <c r="G42" s="3259" t="s">
        <v>2277</v>
      </c>
    </row>
    <row r="43" spans="1:7" ht="13.5" customHeight="1">
      <c r="A43" s="887" t="s">
        <v>792</v>
      </c>
      <c r="B43" s="220" t="s">
        <v>2231</v>
      </c>
      <c r="C43" s="243">
        <f ca="1">ROUND(IF('数据-取费表'!B22&lt;=1,C39*F22*'数据-取费表'!B20/2,C39*(POWER((1+F22),'数据-取费表'!B20/2)-1)),0)</f>
        <v>148</v>
      </c>
      <c r="D43" s="243"/>
      <c r="E43" s="243"/>
      <c r="F43" s="244"/>
      <c r="G43" s="3260"/>
    </row>
    <row r="44" spans="1:7" ht="13.5" customHeight="1">
      <c r="A44" s="887" t="s">
        <v>793</v>
      </c>
      <c r="B44" s="220" t="s">
        <v>2232</v>
      </c>
      <c r="C44" s="243">
        <f ca="1">ROUND(IF('数据-取费表'!B22&lt;=1,C40*F22*'数据-取费表'!B20/2,C40*(POWER((1+F22),'数据-取费表'!B20/2)-1)),4)</f>
        <v>2.9999999999999997E-4</v>
      </c>
      <c r="D44" s="243"/>
      <c r="E44" s="243"/>
      <c r="F44" s="244"/>
      <c r="G44" s="3261"/>
    </row>
    <row r="45" spans="1:7" s="219" customFormat="1" ht="13.5" customHeight="1">
      <c r="A45" s="260" t="s">
        <v>2233</v>
      </c>
      <c r="B45" s="249" t="s">
        <v>2199</v>
      </c>
      <c r="C45" s="250">
        <f>C46</f>
        <v>23064</v>
      </c>
      <c r="D45" s="240">
        <f>C47</f>
        <v>8.0000000000000004E-4</v>
      </c>
      <c r="E45" s="241" t="s">
        <v>2225</v>
      </c>
      <c r="F45" s="2536">
        <v>0.05</v>
      </c>
      <c r="G45" s="252" t="s">
        <v>2234</v>
      </c>
    </row>
    <row r="46" spans="1:7" s="219" customFormat="1" ht="13.5" customHeight="1">
      <c r="A46" s="887" t="s">
        <v>791</v>
      </c>
      <c r="B46" s="253" t="s">
        <v>2235</v>
      </c>
      <c r="C46" s="254">
        <f>ROUND((C33+C39)*F27,0)</f>
        <v>23064</v>
      </c>
      <c r="D46" s="268"/>
      <c r="E46" s="241"/>
      <c r="F46" s="251"/>
      <c r="G46" s="252"/>
    </row>
    <row r="47" spans="1:7" s="219" customFormat="1" ht="13.5" customHeight="1">
      <c r="A47" s="887" t="s">
        <v>792</v>
      </c>
      <c r="B47" s="253" t="s">
        <v>2236</v>
      </c>
      <c r="C47" s="243">
        <f>ROUND(C40*F27,4)</f>
        <v>8.0000000000000004E-4</v>
      </c>
      <c r="D47" s="268"/>
      <c r="E47" s="241"/>
      <c r="F47" s="251"/>
      <c r="G47" s="252"/>
    </row>
    <row r="48" spans="1:7" s="219" customFormat="1" ht="13.5" customHeight="1">
      <c r="A48" s="260" t="s">
        <v>2198</v>
      </c>
      <c r="B48" s="215" t="s">
        <v>2237</v>
      </c>
      <c r="C48" s="267">
        <f>ROUND(F30/(1+'数据-取费表'!C42),4)</f>
        <v>5.2400000000000002E-2</v>
      </c>
      <c r="D48" s="241" t="s">
        <v>2225</v>
      </c>
      <c r="E48" s="237"/>
      <c r="F48" s="2535">
        <f>F30</f>
        <v>5.5000000000000007E-2</v>
      </c>
      <c r="G48" s="239" t="s">
        <v>2238</v>
      </c>
    </row>
    <row r="49" spans="1:7" ht="16.5" customHeight="1">
      <c r="A49" s="260" t="s">
        <v>2204</v>
      </c>
      <c r="B49" s="215" t="s">
        <v>2278</v>
      </c>
      <c r="C49" s="237">
        <f ca="1">ROUND((C33+C39+C41+C45)/(1-C40-D41-D45-C48),0)</f>
        <v>530736</v>
      </c>
      <c r="D49" s="237"/>
      <c r="E49" s="237"/>
      <c r="F49" s="269"/>
      <c r="G49" s="239" t="s">
        <v>2240</v>
      </c>
    </row>
    <row r="50" spans="1:7" s="263" customFormat="1">
      <c r="A50" s="260" t="s">
        <v>2241</v>
      </c>
      <c r="B50" s="215" t="s">
        <v>2242</v>
      </c>
      <c r="C50" s="237"/>
      <c r="D50" s="237"/>
      <c r="E50" s="237"/>
      <c r="F50" s="269">
        <v>0.6</v>
      </c>
      <c r="G50" s="252"/>
    </row>
    <row r="51" spans="1:7" ht="16.5" customHeight="1">
      <c r="A51" s="260" t="s">
        <v>2244</v>
      </c>
      <c r="B51" s="215" t="s">
        <v>2279</v>
      </c>
      <c r="C51" s="237">
        <f ca="1">ROUND(C49*F50,0)</f>
        <v>318442</v>
      </c>
      <c r="D51" s="237"/>
      <c r="E51" s="237"/>
      <c r="F51" s="269"/>
      <c r="G51" s="239" t="s">
        <v>2246</v>
      </c>
    </row>
    <row r="52" spans="1:7" s="213" customFormat="1" ht="16.5" thickBot="1">
      <c r="A52" s="270" t="s">
        <v>2247</v>
      </c>
      <c r="B52" s="271"/>
      <c r="C52" s="272" t="e">
        <f ca="1">C31+C51</f>
        <v>#N/A</v>
      </c>
      <c r="D52" s="271"/>
      <c r="E52" s="271"/>
      <c r="F52" s="271"/>
      <c r="G52" s="273"/>
    </row>
    <row r="55" spans="1:7" ht="15">
      <c r="B55" s="275" t="s">
        <v>2248</v>
      </c>
      <c r="C55" s="276"/>
    </row>
    <row r="56" spans="1:7">
      <c r="B56" s="278" t="s">
        <v>1478</v>
      </c>
      <c r="C56" s="280" t="e">
        <f ca="1">1-C57</f>
        <v>#N/A</v>
      </c>
    </row>
    <row r="57" spans="1:7">
      <c r="B57" s="278" t="s">
        <v>1479</v>
      </c>
      <c r="C57" s="279" t="e">
        <f ca="1">ROUND(C51/C52,3)</f>
        <v>#N/A</v>
      </c>
    </row>
  </sheetData>
  <sheetProtection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24" zoomScale="70" zoomScaleNormal="60" zoomScaleSheetLayoutView="70" workbookViewId="0">
      <selection activeCell="E61" sqref="E6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f>F61</f>
        <v>764</v>
      </c>
      <c r="C2" s="1038"/>
      <c r="D2" s="1038"/>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f>ROUND(IF(D3="",B2*10000/'数据-汇总表'!E3,B2*10000/D3),0)</f>
        <v>219</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2463</v>
      </c>
      <c r="B4" s="361"/>
      <c r="C4" s="3262" t="s">
        <v>2464</v>
      </c>
      <c r="D4" s="3289"/>
      <c r="E4" s="3290" t="s">
        <v>2465</v>
      </c>
      <c r="F4" s="3291"/>
      <c r="G4" s="3262" t="s">
        <v>2466</v>
      </c>
      <c r="H4" s="3289"/>
      <c r="I4" s="3262" t="s">
        <v>2467</v>
      </c>
      <c r="J4" s="3289"/>
      <c r="K4" s="566" t="s">
        <v>2468</v>
      </c>
      <c r="L4" s="2939"/>
      <c r="M4" s="2940"/>
      <c r="N4" s="2940"/>
      <c r="O4" s="2940"/>
      <c r="P4" s="3292" t="s">
        <v>2469</v>
      </c>
      <c r="Q4" s="3293"/>
      <c r="R4" s="3269" t="s">
        <v>2465</v>
      </c>
      <c r="S4" s="3270"/>
      <c r="T4" s="3269" t="s">
        <v>2466</v>
      </c>
      <c r="U4" s="3270"/>
      <c r="V4" s="3282" t="s">
        <v>2467</v>
      </c>
      <c r="W4" s="3282"/>
      <c r="X4" s="1538"/>
      <c r="Y4" s="3269" t="s">
        <v>2469</v>
      </c>
      <c r="Z4" s="3270"/>
      <c r="AA4" s="3286" t="s">
        <v>2465</v>
      </c>
      <c r="AB4" s="3287" t="s">
        <v>2466</v>
      </c>
      <c r="AC4" s="3286" t="s">
        <v>2467</v>
      </c>
    </row>
    <row r="5" spans="1:29" ht="15">
      <c r="A5" s="363"/>
      <c r="B5" s="364"/>
      <c r="C5" s="3273" t="s">
        <v>2360</v>
      </c>
      <c r="D5" s="3274"/>
      <c r="E5" s="3298" t="str">
        <f>土地案例!A2</f>
        <v>东丰县大阳镇保胜村</v>
      </c>
      <c r="F5" s="3299"/>
      <c r="G5" s="3273" t="str">
        <f>土地案例!A3</f>
        <v>东丰县三合乡兴太村三组</v>
      </c>
      <c r="H5" s="3274"/>
      <c r="I5" s="3273" t="str">
        <f>土地案例!A4</f>
        <v>东丰县三合乡鲜明村三组</v>
      </c>
      <c r="J5" s="3274"/>
      <c r="K5" s="566"/>
      <c r="L5" s="2939"/>
      <c r="M5" s="2940"/>
      <c r="N5" s="2940"/>
      <c r="O5" s="2940"/>
      <c r="P5" s="3294"/>
      <c r="Q5" s="3295"/>
      <c r="R5" s="3271"/>
      <c r="S5" s="3272"/>
      <c r="T5" s="3271"/>
      <c r="U5" s="3272"/>
      <c r="V5" s="3282"/>
      <c r="W5" s="3282"/>
      <c r="X5" s="1538"/>
      <c r="Y5" s="3271"/>
      <c r="Z5" s="3272"/>
      <c r="AA5" s="3287"/>
      <c r="AB5" s="3287"/>
      <c r="AC5" s="3287"/>
    </row>
    <row r="6" spans="1:29" ht="15.75" thickBot="1">
      <c r="A6" s="365"/>
      <c r="B6" s="366"/>
      <c r="C6" s="3275" t="s">
        <v>2615</v>
      </c>
      <c r="D6" s="3276"/>
      <c r="E6" s="3278" t="s">
        <v>2615</v>
      </c>
      <c r="F6" s="3279"/>
      <c r="G6" s="3275" t="s">
        <v>2615</v>
      </c>
      <c r="H6" s="3276"/>
      <c r="I6" s="3275" t="s">
        <v>2615</v>
      </c>
      <c r="J6" s="3276"/>
      <c r="K6" s="566" t="s">
        <v>2365</v>
      </c>
      <c r="L6" s="2939"/>
      <c r="M6" s="2940"/>
      <c r="N6" s="2940"/>
      <c r="O6" s="2940"/>
      <c r="P6" s="3296"/>
      <c r="Q6" s="3297"/>
      <c r="R6" s="3271"/>
      <c r="S6" s="3272"/>
      <c r="T6" s="3280"/>
      <c r="U6" s="3281"/>
      <c r="V6" s="3282"/>
      <c r="W6" s="3282"/>
      <c r="X6" s="1538"/>
      <c r="Y6" s="3280"/>
      <c r="Z6" s="3281"/>
      <c r="AA6" s="3288"/>
      <c r="AB6" s="3288"/>
      <c r="AC6" s="3288"/>
    </row>
    <row r="7" spans="1:29" s="112" customFormat="1" ht="15.75" thickBot="1">
      <c r="A7" s="367" t="s">
        <v>2366</v>
      </c>
      <c r="B7" s="368"/>
      <c r="C7" s="369">
        <f>'数据-取费表'!B2</f>
        <v>44332</v>
      </c>
      <c r="D7" s="370">
        <v>100</v>
      </c>
      <c r="E7" s="371" t="str">
        <f>土地案例!K2</f>
        <v>2021-04-13</v>
      </c>
      <c r="F7" s="372">
        <f>SUMIF(65:65,YEAR(E7)&amp;"-"&amp;INT((MONTH(E7)+2)/3),66:66)</f>
        <v>100</v>
      </c>
      <c r="G7" s="2159" t="str">
        <f>土地案例!K3</f>
        <v>2020-03-26</v>
      </c>
      <c r="H7" s="370">
        <f>SUMIF(65:65,YEAR(G7)&amp;"-"&amp;INT((MONTH(G7)+2)/3),66:66)</f>
        <v>100</v>
      </c>
      <c r="I7" s="2159" t="str">
        <f>土地案例!K4</f>
        <v>2020-02-20</v>
      </c>
      <c r="J7" s="370">
        <f>SUMIF(65:65,YEAR(I7)&amp;"-"&amp;INT((MONTH(I7)+2)/3),66:66)</f>
        <v>100</v>
      </c>
      <c r="K7" s="567"/>
      <c r="L7" s="2941"/>
      <c r="M7" s="2942"/>
      <c r="N7" s="2942"/>
      <c r="O7" s="2942"/>
      <c r="P7" s="3267" t="s">
        <v>2367</v>
      </c>
      <c r="Q7" s="3277"/>
      <c r="R7" s="709" t="s">
        <v>17</v>
      </c>
      <c r="S7" s="710">
        <f t="shared" ref="S7:S15" si="0">F7</f>
        <v>100</v>
      </c>
      <c r="T7" s="709" t="s">
        <v>17</v>
      </c>
      <c r="U7" s="710">
        <f t="shared" ref="U7:U15" si="1">H7</f>
        <v>100</v>
      </c>
      <c r="V7" s="709" t="s">
        <v>17</v>
      </c>
      <c r="W7" s="710">
        <f t="shared" ref="W7:W15" si="2">J7</f>
        <v>100</v>
      </c>
      <c r="X7" s="711"/>
      <c r="Y7" s="3267" t="s">
        <v>2367</v>
      </c>
      <c r="Z7" s="3268"/>
      <c r="AA7" s="712">
        <f>D7/F7</f>
        <v>1</v>
      </c>
      <c r="AB7" s="712">
        <f>D7/H7</f>
        <v>1</v>
      </c>
      <c r="AC7" s="712">
        <f>D7/J7</f>
        <v>1</v>
      </c>
    </row>
    <row r="8" spans="1:29" s="112" customFormat="1" ht="15.75" thickBot="1">
      <c r="A8" s="367" t="s">
        <v>2368</v>
      </c>
      <c r="B8" s="368"/>
      <c r="C8" s="373" t="s">
        <v>2369</v>
      </c>
      <c r="D8" s="370">
        <v>100</v>
      </c>
      <c r="E8" s="373" t="s">
        <v>2369</v>
      </c>
      <c r="F8" s="372">
        <f>SUMIF(68:68,E8,69:69)-SUMIF(68:68,C8,69:69)+100</f>
        <v>100</v>
      </c>
      <c r="G8" s="373" t="s">
        <v>2369</v>
      </c>
      <c r="H8" s="370">
        <f>SUMIF(68:68,G8,69:69)-SUMIF(68:68,C8,69:69)+100</f>
        <v>100</v>
      </c>
      <c r="I8" s="373" t="s">
        <v>2369</v>
      </c>
      <c r="J8" s="370">
        <f>SUMIF(68:68,I8,69:69)-SUMIF(68:68,C8,69:69)+100</f>
        <v>100</v>
      </c>
      <c r="K8" s="567"/>
      <c r="L8" s="2941"/>
      <c r="M8" s="2942"/>
      <c r="N8" s="2942"/>
      <c r="O8" s="2942"/>
      <c r="P8" s="3267" t="s">
        <v>2370</v>
      </c>
      <c r="Q8" s="3268"/>
      <c r="R8" s="709" t="s">
        <v>17</v>
      </c>
      <c r="S8" s="710">
        <f t="shared" si="0"/>
        <v>100</v>
      </c>
      <c r="T8" s="709" t="s">
        <v>17</v>
      </c>
      <c r="U8" s="710">
        <f t="shared" si="1"/>
        <v>100</v>
      </c>
      <c r="V8" s="709" t="s">
        <v>17</v>
      </c>
      <c r="W8" s="710">
        <f t="shared" si="2"/>
        <v>100</v>
      </c>
      <c r="X8" s="711"/>
      <c r="Y8" s="3267" t="s">
        <v>2370</v>
      </c>
      <c r="Z8" s="3268"/>
      <c r="AA8" s="712">
        <f t="shared" ref="AA8:AA40" si="3">D8/F8</f>
        <v>1</v>
      </c>
      <c r="AB8" s="712">
        <f t="shared" ref="AB8:AB40" si="4">D8/H8</f>
        <v>1</v>
      </c>
      <c r="AC8" s="712">
        <f t="shared" ref="AC8:AC40" si="5">D8/J8</f>
        <v>1</v>
      </c>
    </row>
    <row r="9" spans="1:29" s="112" customFormat="1">
      <c r="A9" s="374" t="s">
        <v>2371</v>
      </c>
      <c r="B9" s="67" t="s">
        <v>2372</v>
      </c>
      <c r="C9" s="2162" t="s">
        <v>6</v>
      </c>
      <c r="D9" s="130">
        <v>100</v>
      </c>
      <c r="E9" s="2162" t="s">
        <v>6</v>
      </c>
      <c r="F9" s="130">
        <f>SUMIF(70:70,E9,71:71)-SUMIF(70:70,C9,71:71)+100</f>
        <v>100</v>
      </c>
      <c r="G9" s="2162" t="s">
        <v>6</v>
      </c>
      <c r="H9" s="130">
        <f>SUMIF(70:70,G9,71:71)-SUMIF(70:70,C9,71:71)+100</f>
        <v>100</v>
      </c>
      <c r="I9" s="2162" t="s">
        <v>6</v>
      </c>
      <c r="J9" s="130">
        <f>SUMIF(70:70,I9,71:71)-SUMIF(70:70,C9,71:71)+100</f>
        <v>100</v>
      </c>
      <c r="K9" s="567"/>
      <c r="L9" s="2941"/>
      <c r="M9" s="2942"/>
      <c r="N9" s="2942"/>
      <c r="O9" s="2996"/>
      <c r="P9" s="3265"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712">
        <f t="shared" si="5"/>
        <v>1</v>
      </c>
    </row>
    <row r="10" spans="1:29" s="385" customFormat="1" ht="27">
      <c r="A10" s="379"/>
      <c r="B10" s="380" t="s">
        <v>2375</v>
      </c>
      <c r="C10" s="390">
        <f>项目基本情况!I15</f>
        <v>38.340000000000003</v>
      </c>
      <c r="D10" s="131">
        <v>100</v>
      </c>
      <c r="E10" s="390">
        <v>50</v>
      </c>
      <c r="F10" s="131">
        <f>ROUND(100/'数据-取费表'!G16,0)</f>
        <v>109</v>
      </c>
      <c r="G10" s="390">
        <v>50</v>
      </c>
      <c r="H10" s="131">
        <f>ROUND(100/'数据-取费表'!G16,0)</f>
        <v>109</v>
      </c>
      <c r="I10" s="390">
        <v>50</v>
      </c>
      <c r="J10" s="131">
        <f>ROUND(100/'数据-取费表'!G16,0)</f>
        <v>109</v>
      </c>
      <c r="K10" s="627"/>
      <c r="L10" s="2943"/>
      <c r="M10" s="2944"/>
      <c r="N10" s="2944"/>
      <c r="O10" s="2997"/>
      <c r="P10" s="3265"/>
      <c r="Q10" s="1526" t="str">
        <f t="shared" si="6"/>
        <v>土地使用年限（年）</v>
      </c>
      <c r="R10" s="709" t="s">
        <v>17</v>
      </c>
      <c r="S10" s="710">
        <f t="shared" si="0"/>
        <v>109</v>
      </c>
      <c r="T10" s="709" t="s">
        <v>17</v>
      </c>
      <c r="U10" s="710">
        <f t="shared" si="1"/>
        <v>109</v>
      </c>
      <c r="V10" s="709" t="s">
        <v>17</v>
      </c>
      <c r="W10" s="710">
        <f t="shared" si="2"/>
        <v>109</v>
      </c>
      <c r="X10" s="711"/>
      <c r="Y10" s="3163"/>
      <c r="Z10" s="55" t="str">
        <f t="shared" si="7"/>
        <v>土地使用年限（年）</v>
      </c>
      <c r="AA10" s="712">
        <f t="shared" si="3"/>
        <v>0.91743119266055051</v>
      </c>
      <c r="AB10" s="712">
        <f t="shared" si="4"/>
        <v>0.91743119266055051</v>
      </c>
      <c r="AC10" s="712">
        <f t="shared" si="5"/>
        <v>0.91743119266055051</v>
      </c>
    </row>
    <row r="11" spans="1:29" ht="15.75" thickBot="1">
      <c r="A11" s="386"/>
      <c r="B11" s="380" t="s">
        <v>2376</v>
      </c>
      <c r="C11" s="387">
        <v>0.8</v>
      </c>
      <c r="D11" s="131">
        <v>100</v>
      </c>
      <c r="E11" s="387">
        <v>1</v>
      </c>
      <c r="F11" s="131">
        <f>LOOKUP(E11,75:75,76:76)-LOOKUP(C11,75:75,76:76)+100</f>
        <v>105</v>
      </c>
      <c r="G11" s="388">
        <v>0.6</v>
      </c>
      <c r="H11" s="131">
        <f>LOOKUP(G11,75:75,76:76)-LOOKUP(C11,75:75,76:76)+100</f>
        <v>100</v>
      </c>
      <c r="I11" s="387">
        <v>1</v>
      </c>
      <c r="J11" s="131">
        <f>LOOKUP(I11,75:75,76:76)-LOOKUP(C11,75:75,76:76)+100</f>
        <v>105</v>
      </c>
      <c r="K11" s="628">
        <v>5</v>
      </c>
      <c r="L11" s="2945"/>
      <c r="M11" s="2940"/>
      <c r="N11" s="2940"/>
      <c r="O11" s="2998"/>
      <c r="P11" s="3265"/>
      <c r="Q11" s="1526" t="str">
        <f t="shared" si="6"/>
        <v>容积率</v>
      </c>
      <c r="R11" s="709" t="s">
        <v>17</v>
      </c>
      <c r="S11" s="710">
        <f t="shared" si="0"/>
        <v>105</v>
      </c>
      <c r="T11" s="709" t="s">
        <v>17</v>
      </c>
      <c r="U11" s="710">
        <f t="shared" si="1"/>
        <v>100</v>
      </c>
      <c r="V11" s="709" t="s">
        <v>17</v>
      </c>
      <c r="W11" s="710">
        <f t="shared" si="2"/>
        <v>105</v>
      </c>
      <c r="X11" s="711"/>
      <c r="Y11" s="3163"/>
      <c r="Z11" s="55" t="str">
        <f t="shared" si="7"/>
        <v>容积率</v>
      </c>
      <c r="AA11" s="712">
        <f t="shared" si="3"/>
        <v>0.95238095238095233</v>
      </c>
      <c r="AB11" s="712">
        <f t="shared" si="4"/>
        <v>1</v>
      </c>
      <c r="AC11" s="712">
        <f t="shared" si="5"/>
        <v>0.95238095238095233</v>
      </c>
    </row>
    <row r="12" spans="1:29" s="112" customFormat="1" ht="15" hidden="1">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265"/>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712">
        <f>D12/J12</f>
        <v>1</v>
      </c>
    </row>
    <row r="13" spans="1:29" ht="15" hidden="1">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265"/>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712">
        <f t="shared" si="5"/>
        <v>1</v>
      </c>
    </row>
    <row r="14" spans="1:29" ht="15.75" hidden="1"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265"/>
      <c r="Q14" s="1526">
        <f t="shared" si="6"/>
        <v>111</v>
      </c>
      <c r="R14" s="709" t="s">
        <v>17</v>
      </c>
      <c r="S14" s="710">
        <f t="shared" si="0"/>
        <v>100</v>
      </c>
      <c r="T14" s="709" t="s">
        <v>17</v>
      </c>
      <c r="U14" s="710">
        <f t="shared" si="1"/>
        <v>100</v>
      </c>
      <c r="V14" s="709" t="s">
        <v>17</v>
      </c>
      <c r="W14" s="710">
        <f t="shared" si="2"/>
        <v>100</v>
      </c>
      <c r="X14" s="711"/>
      <c r="Y14" s="3163"/>
      <c r="Z14" s="55">
        <f t="shared" si="7"/>
        <v>111</v>
      </c>
      <c r="AA14" s="712">
        <f t="shared" si="3"/>
        <v>1</v>
      </c>
      <c r="AB14" s="712">
        <f t="shared" si="4"/>
        <v>1</v>
      </c>
      <c r="AC14" s="712">
        <f t="shared" si="5"/>
        <v>1</v>
      </c>
    </row>
    <row r="15" spans="1:29" ht="57">
      <c r="A15" s="398" t="s">
        <v>2377</v>
      </c>
      <c r="B15" s="584" t="s">
        <v>2616</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v>2</v>
      </c>
      <c r="L15" s="2946"/>
      <c r="M15" s="2940"/>
      <c r="N15" s="2940"/>
      <c r="O15" s="2998"/>
      <c r="P15" s="3283" t="s">
        <v>2378</v>
      </c>
      <c r="Q15" s="1535" t="str">
        <f t="shared" si="6"/>
        <v>产业集聚程度</v>
      </c>
      <c r="R15" s="713" t="s">
        <v>17</v>
      </c>
      <c r="S15" s="714">
        <f t="shared" si="0"/>
        <v>100</v>
      </c>
      <c r="T15" s="713" t="s">
        <v>17</v>
      </c>
      <c r="U15" s="714">
        <f t="shared" si="1"/>
        <v>100</v>
      </c>
      <c r="V15" s="713" t="s">
        <v>17</v>
      </c>
      <c r="W15" s="714">
        <f t="shared" si="2"/>
        <v>100</v>
      </c>
      <c r="X15" s="1538"/>
      <c r="Y15" s="3283" t="s">
        <v>2378</v>
      </c>
      <c r="Z15" s="1539" t="str">
        <f t="shared" si="7"/>
        <v>产业集聚程度</v>
      </c>
      <c r="AA15" s="1536">
        <f t="shared" si="3"/>
        <v>1</v>
      </c>
      <c r="AB15" s="1536">
        <f t="shared" si="4"/>
        <v>1</v>
      </c>
      <c r="AC15" s="1536">
        <f t="shared" si="5"/>
        <v>1</v>
      </c>
    </row>
    <row r="16" spans="1:29" ht="15">
      <c r="A16" s="386"/>
      <c r="B16" s="585"/>
      <c r="C16" s="405" t="s">
        <v>3167</v>
      </c>
      <c r="D16" s="406"/>
      <c r="E16" s="405" t="s">
        <v>3167</v>
      </c>
      <c r="F16" s="406"/>
      <c r="G16" s="405" t="s">
        <v>3167</v>
      </c>
      <c r="H16" s="408"/>
      <c r="I16" s="405" t="s">
        <v>3167</v>
      </c>
      <c r="J16" s="406"/>
      <c r="K16" s="627"/>
      <c r="L16" s="2946"/>
      <c r="M16" s="2940"/>
      <c r="N16" s="2940"/>
      <c r="O16" s="2998"/>
      <c r="P16" s="3284"/>
      <c r="Q16" s="1535"/>
      <c r="R16" s="713"/>
      <c r="S16" s="714"/>
      <c r="T16" s="713"/>
      <c r="U16" s="714"/>
      <c r="V16" s="713"/>
      <c r="W16" s="714"/>
      <c r="X16" s="1538"/>
      <c r="Y16" s="3284"/>
      <c r="Z16" s="1539"/>
      <c r="AA16" s="1536">
        <v>1</v>
      </c>
      <c r="AB16" s="1536">
        <v>1</v>
      </c>
      <c r="AC16" s="1536">
        <v>1</v>
      </c>
    </row>
    <row r="17" spans="1:29" ht="85.5">
      <c r="A17" s="386"/>
      <c r="B17" s="586" t="s">
        <v>2527</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2</v>
      </c>
      <c r="L17" s="2946"/>
      <c r="M17" s="2940"/>
      <c r="N17" s="2940"/>
      <c r="O17" s="2998"/>
      <c r="P17" s="3284"/>
      <c r="Q17" s="1535" t="str">
        <f>B17</f>
        <v>交通便捷度</v>
      </c>
      <c r="R17" s="713" t="s">
        <v>17</v>
      </c>
      <c r="S17" s="714">
        <f>F17</f>
        <v>100</v>
      </c>
      <c r="T17" s="713" t="s">
        <v>17</v>
      </c>
      <c r="U17" s="714">
        <f>H17</f>
        <v>100</v>
      </c>
      <c r="V17" s="713" t="s">
        <v>17</v>
      </c>
      <c r="W17" s="714">
        <f>J17</f>
        <v>100</v>
      </c>
      <c r="X17" s="1538"/>
      <c r="Y17" s="3284"/>
      <c r="Z17" s="1539" t="str">
        <f>Q17</f>
        <v>交通便捷度</v>
      </c>
      <c r="AA17" s="1536">
        <f t="shared" si="3"/>
        <v>1</v>
      </c>
      <c r="AB17" s="1536">
        <f t="shared" si="4"/>
        <v>1</v>
      </c>
      <c r="AC17" s="1536">
        <f t="shared" si="5"/>
        <v>1</v>
      </c>
    </row>
    <row r="18" spans="1:29" ht="15">
      <c r="A18" s="386"/>
      <c r="B18" s="587"/>
      <c r="C18" s="405" t="s">
        <v>3167</v>
      </c>
      <c r="D18" s="406"/>
      <c r="E18" s="405" t="s">
        <v>3167</v>
      </c>
      <c r="F18" s="406"/>
      <c r="G18" s="405" t="s">
        <v>3167</v>
      </c>
      <c r="H18" s="406"/>
      <c r="I18" s="405" t="s">
        <v>3167</v>
      </c>
      <c r="J18" s="406"/>
      <c r="K18" s="627"/>
      <c r="L18" s="2946"/>
      <c r="M18" s="2940"/>
      <c r="N18" s="2940"/>
      <c r="O18" s="2998"/>
      <c r="P18" s="3284"/>
      <c r="Q18" s="1535"/>
      <c r="R18" s="713"/>
      <c r="S18" s="714"/>
      <c r="T18" s="713"/>
      <c r="U18" s="714"/>
      <c r="V18" s="713"/>
      <c r="W18" s="714"/>
      <c r="X18" s="1538"/>
      <c r="Y18" s="3284"/>
      <c r="Z18" s="1539"/>
      <c r="AA18" s="1536">
        <v>1</v>
      </c>
      <c r="AB18" s="1536">
        <v>1</v>
      </c>
      <c r="AC18" s="1536">
        <v>1</v>
      </c>
    </row>
    <row r="19" spans="1:29" ht="15">
      <c r="A19" s="386"/>
      <c r="B19" s="586" t="s">
        <v>2566</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946"/>
      <c r="M19" s="2940"/>
      <c r="N19" s="2940"/>
      <c r="O19" s="2998"/>
      <c r="P19" s="3284"/>
      <c r="Q19" s="1535" t="str">
        <f t="shared" ref="Q19:Q33" si="8">B19</f>
        <v>区域土地利用方向</v>
      </c>
      <c r="R19" s="713" t="s">
        <v>17</v>
      </c>
      <c r="S19" s="714">
        <f>F19</f>
        <v>100</v>
      </c>
      <c r="T19" s="713" t="s">
        <v>17</v>
      </c>
      <c r="U19" s="714">
        <f>H19</f>
        <v>100</v>
      </c>
      <c r="V19" s="713" t="s">
        <v>17</v>
      </c>
      <c r="W19" s="714">
        <f>J19</f>
        <v>100</v>
      </c>
      <c r="X19" s="1538"/>
      <c r="Y19" s="3284"/>
      <c r="Z19" s="1539" t="str">
        <f>Q19</f>
        <v>区域土地利用方向</v>
      </c>
      <c r="AA19" s="1536">
        <f t="shared" si="3"/>
        <v>1</v>
      </c>
      <c r="AB19" s="1536">
        <f t="shared" si="4"/>
        <v>1</v>
      </c>
      <c r="AC19" s="1536">
        <f t="shared" si="5"/>
        <v>1</v>
      </c>
    </row>
    <row r="20" spans="1:29" ht="15">
      <c r="A20" s="363"/>
      <c r="B20" s="587"/>
      <c r="C20" s="405" t="s">
        <v>3167</v>
      </c>
      <c r="D20" s="406"/>
      <c r="E20" s="405" t="s">
        <v>3167</v>
      </c>
      <c r="F20" s="406"/>
      <c r="G20" s="405" t="s">
        <v>3167</v>
      </c>
      <c r="H20" s="406"/>
      <c r="I20" s="405" t="s">
        <v>3167</v>
      </c>
      <c r="J20" s="406"/>
      <c r="K20" s="750"/>
      <c r="L20" s="2946"/>
      <c r="M20" s="2940"/>
      <c r="N20" s="2940"/>
      <c r="O20" s="2998"/>
      <c r="P20" s="3284"/>
      <c r="Q20" s="1535"/>
      <c r="R20" s="713"/>
      <c r="S20" s="714"/>
      <c r="T20" s="713"/>
      <c r="U20" s="714"/>
      <c r="V20" s="713"/>
      <c r="W20" s="714"/>
      <c r="X20" s="1538"/>
      <c r="Y20" s="3284"/>
      <c r="Z20" s="1539"/>
      <c r="AA20" s="1536"/>
      <c r="AB20" s="1536"/>
      <c r="AC20" s="1536"/>
    </row>
    <row r="21" spans="1:29" ht="71.25">
      <c r="A21" s="363"/>
      <c r="B21" s="586" t="s">
        <v>2617</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2</v>
      </c>
      <c r="L21" s="2946"/>
      <c r="M21" s="2940"/>
      <c r="N21" s="2940"/>
      <c r="O21" s="2998"/>
      <c r="P21" s="3284"/>
      <c r="Q21" s="1535" t="str">
        <f t="shared" si="8"/>
        <v>环境状况</v>
      </c>
      <c r="R21" s="713" t="s">
        <v>17</v>
      </c>
      <c r="S21" s="714">
        <f>F21</f>
        <v>100</v>
      </c>
      <c r="T21" s="713" t="s">
        <v>17</v>
      </c>
      <c r="U21" s="714">
        <f>H21</f>
        <v>100</v>
      </c>
      <c r="V21" s="713" t="s">
        <v>17</v>
      </c>
      <c r="W21" s="714">
        <f>J21</f>
        <v>100</v>
      </c>
      <c r="X21" s="1538"/>
      <c r="Y21" s="3284"/>
      <c r="Z21" s="1539" t="str">
        <f>Q21</f>
        <v>环境状况</v>
      </c>
      <c r="AA21" s="1536">
        <f t="shared" si="3"/>
        <v>1</v>
      </c>
      <c r="AB21" s="1536">
        <f t="shared" si="4"/>
        <v>1</v>
      </c>
      <c r="AC21" s="1536">
        <f t="shared" si="5"/>
        <v>1</v>
      </c>
    </row>
    <row r="22" spans="1:29" ht="15">
      <c r="A22" s="363"/>
      <c r="B22" s="587"/>
      <c r="C22" s="405" t="s">
        <v>3167</v>
      </c>
      <c r="D22" s="406"/>
      <c r="E22" s="405" t="s">
        <v>3167</v>
      </c>
      <c r="F22" s="406"/>
      <c r="G22" s="405" t="s">
        <v>3167</v>
      </c>
      <c r="H22" s="406"/>
      <c r="I22" s="405" t="s">
        <v>3167</v>
      </c>
      <c r="J22" s="406"/>
      <c r="K22" s="627"/>
      <c r="L22" s="2946"/>
      <c r="M22" s="2940"/>
      <c r="N22" s="2940"/>
      <c r="O22" s="2998"/>
      <c r="P22" s="3284"/>
      <c r="Q22" s="1535"/>
      <c r="R22" s="713"/>
      <c r="S22" s="714"/>
      <c r="T22" s="713"/>
      <c r="U22" s="714"/>
      <c r="V22" s="713"/>
      <c r="W22" s="714"/>
      <c r="X22" s="1538"/>
      <c r="Y22" s="3284"/>
      <c r="Z22" s="1539"/>
      <c r="AA22" s="1536">
        <v>1</v>
      </c>
      <c r="AB22" s="1536">
        <v>1</v>
      </c>
      <c r="AC22" s="1536">
        <v>1</v>
      </c>
    </row>
    <row r="23" spans="1:29" s="112" customFormat="1" ht="42.75">
      <c r="A23" s="604"/>
      <c r="B23" s="588" t="s">
        <v>2472</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v>2</v>
      </c>
      <c r="L23" s="2941"/>
      <c r="M23" s="2942"/>
      <c r="N23" s="2942"/>
      <c r="O23" s="2996"/>
      <c r="P23" s="3284"/>
      <c r="Q23" s="1526" t="str">
        <f t="shared" si="8"/>
        <v>公共配套设施</v>
      </c>
      <c r="R23" s="709" t="s">
        <v>17</v>
      </c>
      <c r="S23" s="710">
        <f>F23</f>
        <v>100</v>
      </c>
      <c r="T23" s="709" t="s">
        <v>17</v>
      </c>
      <c r="U23" s="710">
        <f>H23</f>
        <v>100</v>
      </c>
      <c r="V23" s="709" t="s">
        <v>17</v>
      </c>
      <c r="W23" s="710">
        <f>J23</f>
        <v>100</v>
      </c>
      <c r="X23" s="711"/>
      <c r="Y23" s="3284"/>
      <c r="Z23" s="55" t="str">
        <f>Q23</f>
        <v>公共配套设施</v>
      </c>
      <c r="AA23" s="1536">
        <f>D23/F23</f>
        <v>1</v>
      </c>
      <c r="AB23" s="1536">
        <f>D23/H23</f>
        <v>1</v>
      </c>
      <c r="AC23" s="1536">
        <f>D23/J23</f>
        <v>1</v>
      </c>
    </row>
    <row r="24" spans="1:29" s="112" customFormat="1" ht="15">
      <c r="A24" s="604"/>
      <c r="B24" s="587"/>
      <c r="C24" s="2163" t="s">
        <v>3167</v>
      </c>
      <c r="D24" s="406"/>
      <c r="E24" s="2163" t="s">
        <v>3167</v>
      </c>
      <c r="F24" s="406"/>
      <c r="G24" s="2163" t="s">
        <v>3167</v>
      </c>
      <c r="H24" s="406"/>
      <c r="I24" s="2163" t="s">
        <v>3167</v>
      </c>
      <c r="J24" s="406"/>
      <c r="K24" s="627"/>
      <c r="L24" s="2941"/>
      <c r="M24" s="2942"/>
      <c r="N24" s="2942"/>
      <c r="O24" s="2996"/>
      <c r="P24" s="3284"/>
      <c r="Q24" s="1526"/>
      <c r="R24" s="709"/>
      <c r="S24" s="710"/>
      <c r="T24" s="709"/>
      <c r="U24" s="710"/>
      <c r="V24" s="709"/>
      <c r="W24" s="710"/>
      <c r="X24" s="711"/>
      <c r="Y24" s="3284"/>
      <c r="Z24" s="55"/>
      <c r="AA24" s="712">
        <v>1</v>
      </c>
      <c r="AB24" s="712">
        <v>1</v>
      </c>
      <c r="AC24" s="712">
        <v>1</v>
      </c>
    </row>
    <row r="25" spans="1:29" s="112" customFormat="1" ht="28.5">
      <c r="A25" s="604"/>
      <c r="B25" s="588" t="s">
        <v>2473</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1</v>
      </c>
      <c r="L25" s="2941"/>
      <c r="M25" s="2942"/>
      <c r="N25" s="2942"/>
      <c r="O25" s="2996"/>
      <c r="P25" s="3284"/>
      <c r="Q25" s="1526" t="str">
        <f t="shared" ref="Q25" si="9">B25</f>
        <v>基础设施水平</v>
      </c>
      <c r="R25" s="709" t="s">
        <v>17</v>
      </c>
      <c r="S25" s="710">
        <f>F25</f>
        <v>100</v>
      </c>
      <c r="T25" s="709" t="s">
        <v>17</v>
      </c>
      <c r="U25" s="710">
        <f>H25</f>
        <v>100</v>
      </c>
      <c r="V25" s="709" t="s">
        <v>17</v>
      </c>
      <c r="W25" s="710">
        <f>J25</f>
        <v>100</v>
      </c>
      <c r="X25" s="711"/>
      <c r="Y25" s="3284"/>
      <c r="Z25" s="55" t="str">
        <f>Q25</f>
        <v>基础设施水平</v>
      </c>
      <c r="AA25" s="1536">
        <f>D25/F25</f>
        <v>1</v>
      </c>
      <c r="AB25" s="1536">
        <f>D25/H25</f>
        <v>1</v>
      </c>
      <c r="AC25" s="1536">
        <f>D25/J25</f>
        <v>1</v>
      </c>
    </row>
    <row r="26" spans="1:29" s="112" customFormat="1" ht="15.75" thickBot="1">
      <c r="A26" s="604"/>
      <c r="B26" s="587"/>
      <c r="C26" s="2163" t="s">
        <v>3170</v>
      </c>
      <c r="D26" s="406"/>
      <c r="E26" s="2163" t="s">
        <v>3170</v>
      </c>
      <c r="F26" s="406"/>
      <c r="G26" s="2163" t="s">
        <v>3170</v>
      </c>
      <c r="H26" s="406"/>
      <c r="I26" s="2163" t="s">
        <v>3170</v>
      </c>
      <c r="J26" s="406"/>
      <c r="K26" s="627"/>
      <c r="L26" s="2941"/>
      <c r="M26" s="2942"/>
      <c r="N26" s="2942"/>
      <c r="O26" s="2996"/>
      <c r="P26" s="3284"/>
      <c r="Q26" s="1526"/>
      <c r="R26" s="709"/>
      <c r="S26" s="710"/>
      <c r="T26" s="709"/>
      <c r="U26" s="710"/>
      <c r="V26" s="709"/>
      <c r="W26" s="710"/>
      <c r="X26" s="711"/>
      <c r="Y26" s="3284"/>
      <c r="Z26" s="55"/>
      <c r="AA26" s="712">
        <v>1</v>
      </c>
      <c r="AB26" s="712">
        <v>1</v>
      </c>
      <c r="AC26" s="712">
        <v>1</v>
      </c>
    </row>
    <row r="27" spans="1:29" ht="15" hidden="1">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284"/>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284"/>
      <c r="Z27" s="1539" t="str">
        <f t="shared" ref="Z27:Z40" si="13">Q27</f>
        <v>临街状况</v>
      </c>
      <c r="AA27" s="1536">
        <f t="shared" si="3"/>
        <v>1</v>
      </c>
      <c r="AB27" s="1536">
        <f t="shared" si="4"/>
        <v>1</v>
      </c>
      <c r="AC27" s="1536">
        <f t="shared" si="5"/>
        <v>1</v>
      </c>
    </row>
    <row r="28" spans="1:29" ht="27" hidden="1">
      <c r="A28" s="386"/>
      <c r="B28" s="588" t="s">
        <v>2509</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284"/>
      <c r="Q28" s="1535" t="str">
        <f t="shared" si="8"/>
        <v>毗邻道路的类型与等级</v>
      </c>
      <c r="R28" s="713" t="s">
        <v>17</v>
      </c>
      <c r="S28" s="714">
        <f t="shared" si="10"/>
        <v>100</v>
      </c>
      <c r="T28" s="713" t="s">
        <v>17</v>
      </c>
      <c r="U28" s="714">
        <f t="shared" si="11"/>
        <v>100</v>
      </c>
      <c r="V28" s="713" t="s">
        <v>17</v>
      </c>
      <c r="W28" s="714">
        <f t="shared" si="12"/>
        <v>100</v>
      </c>
      <c r="X28" s="1538"/>
      <c r="Y28" s="3284"/>
      <c r="Z28" s="1539" t="str">
        <f t="shared" si="13"/>
        <v>毗邻道路的类型与等级</v>
      </c>
      <c r="AA28" s="1536">
        <f t="shared" si="3"/>
        <v>1</v>
      </c>
      <c r="AB28" s="1536">
        <f t="shared" si="4"/>
        <v>1</v>
      </c>
      <c r="AC28" s="1536">
        <f t="shared" si="5"/>
        <v>1</v>
      </c>
    </row>
    <row r="29" spans="1:29" ht="15" hidden="1">
      <c r="A29" s="386"/>
      <c r="B29" s="587"/>
      <c r="C29" s="405"/>
      <c r="D29" s="406"/>
      <c r="E29" s="2089"/>
      <c r="F29" s="406"/>
      <c r="G29" s="2089"/>
      <c r="H29" s="406"/>
      <c r="I29" s="2089"/>
      <c r="J29" s="406"/>
      <c r="K29" s="569"/>
      <c r="L29" s="2946"/>
      <c r="M29" s="2940"/>
      <c r="N29" s="2940"/>
      <c r="O29" s="2998"/>
      <c r="P29" s="3284"/>
      <c r="Q29" s="1535"/>
      <c r="R29" s="713"/>
      <c r="S29" s="714"/>
      <c r="T29" s="713"/>
      <c r="U29" s="714"/>
      <c r="V29" s="713"/>
      <c r="W29" s="714"/>
      <c r="X29" s="1538"/>
      <c r="Y29" s="3284"/>
      <c r="Z29" s="1539"/>
      <c r="AA29" s="1536">
        <v>1</v>
      </c>
      <c r="AB29" s="1536">
        <v>1</v>
      </c>
      <c r="AC29" s="1536">
        <v>1</v>
      </c>
    </row>
    <row r="30" spans="1:29" ht="15" hidden="1">
      <c r="A30" s="386"/>
      <c r="B30" s="609" t="s">
        <v>2568</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284"/>
      <c r="Q30" s="1535" t="str">
        <f t="shared" si="8"/>
        <v>土地级别</v>
      </c>
      <c r="R30" s="713" t="s">
        <v>17</v>
      </c>
      <c r="S30" s="714">
        <f t="shared" si="10"/>
        <v>100</v>
      </c>
      <c r="T30" s="713" t="s">
        <v>17</v>
      </c>
      <c r="U30" s="714">
        <f t="shared" si="11"/>
        <v>100</v>
      </c>
      <c r="V30" s="713" t="s">
        <v>17</v>
      </c>
      <c r="W30" s="714">
        <f t="shared" si="12"/>
        <v>100</v>
      </c>
      <c r="X30" s="1538"/>
      <c r="Y30" s="3284"/>
      <c r="Z30" s="1539" t="str">
        <f t="shared" si="13"/>
        <v>土地级别</v>
      </c>
      <c r="AA30" s="1536">
        <f t="shared" si="3"/>
        <v>1</v>
      </c>
      <c r="AB30" s="1536">
        <f t="shared" si="4"/>
        <v>1</v>
      </c>
      <c r="AC30" s="1536">
        <f t="shared" si="5"/>
        <v>1</v>
      </c>
    </row>
    <row r="31" spans="1:29" ht="15" hidden="1">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284"/>
      <c r="Q31" s="1535">
        <f t="shared" si="8"/>
        <v>111</v>
      </c>
      <c r="R31" s="713" t="s">
        <v>17</v>
      </c>
      <c r="S31" s="714">
        <f t="shared" si="10"/>
        <v>100</v>
      </c>
      <c r="T31" s="713" t="s">
        <v>17</v>
      </c>
      <c r="U31" s="714">
        <f t="shared" si="11"/>
        <v>100</v>
      </c>
      <c r="V31" s="713" t="s">
        <v>17</v>
      </c>
      <c r="W31" s="714">
        <f t="shared" si="12"/>
        <v>100</v>
      </c>
      <c r="X31" s="1538"/>
      <c r="Y31" s="3284"/>
      <c r="Z31" s="1539">
        <f t="shared" si="13"/>
        <v>111</v>
      </c>
      <c r="AA31" s="1536">
        <f t="shared" si="3"/>
        <v>1</v>
      </c>
      <c r="AB31" s="1536">
        <f t="shared" si="4"/>
        <v>1</v>
      </c>
      <c r="AC31" s="1536">
        <f t="shared" si="5"/>
        <v>1</v>
      </c>
    </row>
    <row r="32" spans="1:29" ht="15" hidden="1">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00" t="s">
        <v>2383</v>
      </c>
      <c r="Q32" s="1535">
        <f t="shared" si="8"/>
        <v>111</v>
      </c>
      <c r="R32" s="713" t="s">
        <v>17</v>
      </c>
      <c r="S32" s="714">
        <f t="shared" si="10"/>
        <v>100</v>
      </c>
      <c r="T32" s="713" t="s">
        <v>17</v>
      </c>
      <c r="U32" s="714">
        <f t="shared" si="11"/>
        <v>100</v>
      </c>
      <c r="V32" s="713" t="s">
        <v>17</v>
      </c>
      <c r="W32" s="714">
        <f t="shared" si="12"/>
        <v>100</v>
      </c>
      <c r="X32" s="1538"/>
      <c r="Y32" s="3285" t="s">
        <v>2383</v>
      </c>
      <c r="Z32" s="1539">
        <f t="shared" si="13"/>
        <v>111</v>
      </c>
      <c r="AA32" s="1536">
        <f t="shared" si="3"/>
        <v>1</v>
      </c>
      <c r="AB32" s="1536">
        <f t="shared" si="4"/>
        <v>1</v>
      </c>
      <c r="AC32" s="1536">
        <f t="shared" si="5"/>
        <v>1</v>
      </c>
    </row>
    <row r="33" spans="1:31" s="429" customFormat="1" ht="15.75" hidden="1"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285"/>
      <c r="Q33" s="1535">
        <f t="shared" si="8"/>
        <v>111</v>
      </c>
      <c r="R33" s="716" t="s">
        <v>17</v>
      </c>
      <c r="S33" s="717">
        <f t="shared" si="10"/>
        <v>100</v>
      </c>
      <c r="T33" s="716" t="s">
        <v>17</v>
      </c>
      <c r="U33" s="717">
        <f t="shared" si="11"/>
        <v>100</v>
      </c>
      <c r="V33" s="716" t="s">
        <v>17</v>
      </c>
      <c r="W33" s="717">
        <f t="shared" si="12"/>
        <v>100</v>
      </c>
      <c r="X33" s="718"/>
      <c r="Y33" s="3285"/>
      <c r="Z33" s="719">
        <f t="shared" si="13"/>
        <v>111</v>
      </c>
      <c r="AA33" s="1536">
        <f t="shared" si="3"/>
        <v>1</v>
      </c>
      <c r="AB33" s="1536">
        <f t="shared" si="4"/>
        <v>1</v>
      </c>
      <c r="AC33" s="1536">
        <f t="shared" si="5"/>
        <v>1</v>
      </c>
    </row>
    <row r="34" spans="1:31" ht="15">
      <c r="A34" s="398" t="s">
        <v>2381</v>
      </c>
      <c r="B34" s="414" t="s">
        <v>2569</v>
      </c>
      <c r="C34" s="634">
        <f>'数据-汇总表'!D3</f>
        <v>43638</v>
      </c>
      <c r="D34" s="425">
        <v>100</v>
      </c>
      <c r="E34" s="634">
        <f>土地案例!D2</f>
        <v>5323</v>
      </c>
      <c r="F34" s="425">
        <f>LOOKUP(E34,108:108,109:109)-LOOKUP(C34,108:108,109:109)+100</f>
        <v>98</v>
      </c>
      <c r="G34" s="634">
        <f>土地案例!D3</f>
        <v>8830</v>
      </c>
      <c r="H34" s="425">
        <f>LOOKUP(G34,108:108,109:109)-LOOKUP(C34,108:108,109:109)+100</f>
        <v>98</v>
      </c>
      <c r="I34" s="486">
        <f>土地案例!D4</f>
        <v>2450</v>
      </c>
      <c r="J34" s="425">
        <f>LOOKUP(I34,108:108,109:109)-LOOKUP(C34,108:108,109:109)+100</f>
        <v>98</v>
      </c>
      <c r="K34" s="569"/>
      <c r="L34" s="2946"/>
      <c r="M34" s="2940"/>
      <c r="N34" s="2940"/>
      <c r="O34" s="2998"/>
      <c r="P34" s="3285"/>
      <c r="Q34" s="1535" t="str">
        <f>B34</f>
        <v>宗地面积</v>
      </c>
      <c r="R34" s="713" t="s">
        <v>17</v>
      </c>
      <c r="S34" s="714">
        <f t="shared" si="10"/>
        <v>98</v>
      </c>
      <c r="T34" s="713" t="s">
        <v>17</v>
      </c>
      <c r="U34" s="714">
        <f t="shared" si="11"/>
        <v>98</v>
      </c>
      <c r="V34" s="713" t="s">
        <v>17</v>
      </c>
      <c r="W34" s="714">
        <f t="shared" si="12"/>
        <v>98</v>
      </c>
      <c r="X34" s="1538"/>
      <c r="Y34" s="3285"/>
      <c r="Z34" s="1539" t="str">
        <f t="shared" si="13"/>
        <v>宗地面积</v>
      </c>
      <c r="AA34" s="1536">
        <f t="shared" si="3"/>
        <v>1.0204081632653061</v>
      </c>
      <c r="AB34" s="1536">
        <f t="shared" si="4"/>
        <v>1.0204081632653061</v>
      </c>
      <c r="AC34" s="1536">
        <f t="shared" si="5"/>
        <v>1.0204081632653061</v>
      </c>
    </row>
    <row r="35" spans="1:31" ht="15">
      <c r="A35" s="430"/>
      <c r="B35" s="380" t="s">
        <v>2570</v>
      </c>
      <c r="C35" s="2091" t="s">
        <v>3168</v>
      </c>
      <c r="D35" s="393">
        <v>100</v>
      </c>
      <c r="E35" s="2091" t="s">
        <v>3168</v>
      </c>
      <c r="F35" s="393">
        <f>SUMIF(110:110,E35,111:111)-SUMIF(110:110,C35,111:111)+100</f>
        <v>100</v>
      </c>
      <c r="G35" s="2091" t="s">
        <v>3168</v>
      </c>
      <c r="H35" s="393">
        <f>SUMIF(110:110,G35,111:111)-SUMIF(110:110,C35,111:111)+100</f>
        <v>100</v>
      </c>
      <c r="I35" s="2091" t="s">
        <v>3168</v>
      </c>
      <c r="J35" s="393">
        <f>SUMIF(110:110,I35,111:111)-SUMIF(110:110,C35,111:111)+100</f>
        <v>100</v>
      </c>
      <c r="K35" s="568">
        <v>1</v>
      </c>
      <c r="L35" s="2946"/>
      <c r="M35" s="2940"/>
      <c r="N35" s="2940"/>
      <c r="O35" s="2998"/>
      <c r="P35" s="3285"/>
      <c r="Q35" s="1535" t="str">
        <f t="shared" ref="Q35:Q40" si="14">B35</f>
        <v>宗地形状</v>
      </c>
      <c r="R35" s="713" t="s">
        <v>17</v>
      </c>
      <c r="S35" s="714">
        <f t="shared" si="10"/>
        <v>100</v>
      </c>
      <c r="T35" s="713" t="s">
        <v>17</v>
      </c>
      <c r="U35" s="714">
        <f t="shared" si="11"/>
        <v>100</v>
      </c>
      <c r="V35" s="713" t="s">
        <v>17</v>
      </c>
      <c r="W35" s="714">
        <f t="shared" si="12"/>
        <v>100</v>
      </c>
      <c r="X35" s="1538"/>
      <c r="Y35" s="3285"/>
      <c r="Z35" s="1539" t="str">
        <f t="shared" si="13"/>
        <v>宗地形状</v>
      </c>
      <c r="AA35" s="1536">
        <f t="shared" si="3"/>
        <v>1</v>
      </c>
      <c r="AB35" s="1536">
        <f t="shared" si="4"/>
        <v>1</v>
      </c>
      <c r="AC35" s="1536">
        <f t="shared" si="5"/>
        <v>1</v>
      </c>
    </row>
    <row r="36" spans="1:31" s="112" customFormat="1" ht="15">
      <c r="A36" s="431"/>
      <c r="B36" s="380" t="s">
        <v>2572</v>
      </c>
      <c r="C36" s="2165" t="s">
        <v>3170</v>
      </c>
      <c r="D36" s="131">
        <v>100</v>
      </c>
      <c r="E36" s="2165" t="s">
        <v>3170</v>
      </c>
      <c r="F36" s="393">
        <f>SUMIF(112:112,E36,113:113)-SUMIF(112:112,C36,113:113)+100</f>
        <v>100</v>
      </c>
      <c r="G36" s="2165" t="s">
        <v>3170</v>
      </c>
      <c r="H36" s="393">
        <f>SUMIF(112:112,G36,113:113)-SUMIF(112:112,C36,113:113)+100</f>
        <v>100</v>
      </c>
      <c r="I36" s="2165" t="s">
        <v>3170</v>
      </c>
      <c r="J36" s="393">
        <f>SUMIF(112:112,I36,113:113)-SUMIF(112:112,C36,113:113)+100</f>
        <v>100</v>
      </c>
      <c r="K36" s="568">
        <v>1</v>
      </c>
      <c r="L36" s="2941"/>
      <c r="M36" s="2942"/>
      <c r="N36" s="2942"/>
      <c r="O36" s="2996"/>
      <c r="P36" s="3285"/>
      <c r="Q36" s="1535" t="str">
        <f t="shared" si="14"/>
        <v>宗地开发程度</v>
      </c>
      <c r="R36" s="709" t="s">
        <v>17</v>
      </c>
      <c r="S36" s="710">
        <f t="shared" si="10"/>
        <v>100</v>
      </c>
      <c r="T36" s="709" t="s">
        <v>17</v>
      </c>
      <c r="U36" s="710">
        <f t="shared" si="11"/>
        <v>100</v>
      </c>
      <c r="V36" s="709" t="s">
        <v>17</v>
      </c>
      <c r="W36" s="710">
        <f t="shared" si="12"/>
        <v>100</v>
      </c>
      <c r="X36" s="711"/>
      <c r="Y36" s="3285"/>
      <c r="Z36" s="55" t="str">
        <f t="shared" si="13"/>
        <v>宗地开发程度</v>
      </c>
      <c r="AA36" s="712">
        <f t="shared" si="3"/>
        <v>1</v>
      </c>
      <c r="AB36" s="712">
        <f t="shared" si="4"/>
        <v>1</v>
      </c>
      <c r="AC36" s="712">
        <f t="shared" si="5"/>
        <v>1</v>
      </c>
    </row>
    <row r="37" spans="1:31" ht="15.75" thickBot="1">
      <c r="A37" s="430"/>
      <c r="B37" s="380" t="s">
        <v>2573</v>
      </c>
      <c r="C37" s="2091" t="s">
        <v>3166</v>
      </c>
      <c r="D37" s="393">
        <v>100</v>
      </c>
      <c r="E37" s="2091" t="s">
        <v>3166</v>
      </c>
      <c r="F37" s="393">
        <f>SUMIF(114:114,E37,115:115)-SUMIF(114:114,C37,115:115)+100</f>
        <v>100</v>
      </c>
      <c r="G37" s="2091" t="s">
        <v>3166</v>
      </c>
      <c r="H37" s="393">
        <f>SUMIF(114:114,G37,115:115)-SUMIF(114:114,C37,115:115)+100</f>
        <v>100</v>
      </c>
      <c r="I37" s="2091" t="s">
        <v>3166</v>
      </c>
      <c r="J37" s="393">
        <f>SUMIF(114:114,I37,115:115)-SUMIF(114:114,C37,115:115)+100</f>
        <v>100</v>
      </c>
      <c r="K37" s="568">
        <v>1</v>
      </c>
      <c r="L37" s="2946"/>
      <c r="M37" s="2940"/>
      <c r="N37" s="2940"/>
      <c r="O37" s="2998"/>
      <c r="P37" s="3285" t="s">
        <v>2383</v>
      </c>
      <c r="Q37" s="1535" t="str">
        <f t="shared" si="14"/>
        <v>工程地质条件</v>
      </c>
      <c r="R37" s="713" t="s">
        <v>17</v>
      </c>
      <c r="S37" s="714">
        <f t="shared" si="10"/>
        <v>100</v>
      </c>
      <c r="T37" s="713" t="s">
        <v>17</v>
      </c>
      <c r="U37" s="714">
        <f t="shared" si="11"/>
        <v>100</v>
      </c>
      <c r="V37" s="713" t="s">
        <v>17</v>
      </c>
      <c r="W37" s="714">
        <f t="shared" si="12"/>
        <v>100</v>
      </c>
      <c r="X37" s="1538"/>
      <c r="Y37" s="3285" t="s">
        <v>2383</v>
      </c>
      <c r="Z37" s="1539" t="str">
        <f t="shared" si="13"/>
        <v>工程地质条件</v>
      </c>
      <c r="AA37" s="1536">
        <f t="shared" si="3"/>
        <v>1</v>
      </c>
      <c r="AB37" s="1536">
        <f t="shared" si="4"/>
        <v>1</v>
      </c>
      <c r="AC37" s="1536">
        <f t="shared" si="5"/>
        <v>1</v>
      </c>
    </row>
    <row r="38" spans="1:31" ht="15" hidden="1">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285"/>
      <c r="Q38" s="1535">
        <f t="shared" si="14"/>
        <v>111</v>
      </c>
      <c r="R38" s="713" t="s">
        <v>17</v>
      </c>
      <c r="S38" s="714">
        <f t="shared" si="10"/>
        <v>100</v>
      </c>
      <c r="T38" s="713" t="s">
        <v>17</v>
      </c>
      <c r="U38" s="714">
        <f t="shared" si="11"/>
        <v>100</v>
      </c>
      <c r="V38" s="713" t="s">
        <v>17</v>
      </c>
      <c r="W38" s="714">
        <f t="shared" si="12"/>
        <v>100</v>
      </c>
      <c r="X38" s="1538"/>
      <c r="Y38" s="3285"/>
      <c r="Z38" s="1539">
        <f t="shared" si="13"/>
        <v>111</v>
      </c>
      <c r="AA38" s="1536">
        <f t="shared" si="3"/>
        <v>1</v>
      </c>
      <c r="AB38" s="1536">
        <f t="shared" si="4"/>
        <v>1</v>
      </c>
      <c r="AC38" s="1536">
        <f t="shared" si="5"/>
        <v>1</v>
      </c>
    </row>
    <row r="39" spans="1:31" ht="15" hidden="1">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285"/>
      <c r="Q39" s="1535">
        <f t="shared" si="14"/>
        <v>111</v>
      </c>
      <c r="R39" s="713" t="s">
        <v>17</v>
      </c>
      <c r="S39" s="714">
        <f t="shared" si="10"/>
        <v>100</v>
      </c>
      <c r="T39" s="713" t="s">
        <v>17</v>
      </c>
      <c r="U39" s="714">
        <f t="shared" si="11"/>
        <v>100</v>
      </c>
      <c r="V39" s="713" t="s">
        <v>17</v>
      </c>
      <c r="W39" s="714">
        <f t="shared" si="12"/>
        <v>100</v>
      </c>
      <c r="X39" s="1538"/>
      <c r="Y39" s="3285"/>
      <c r="Z39" s="1539">
        <f t="shared" si="13"/>
        <v>111</v>
      </c>
      <c r="AA39" s="1536">
        <f t="shared" si="3"/>
        <v>1</v>
      </c>
      <c r="AB39" s="1536">
        <f t="shared" si="4"/>
        <v>1</v>
      </c>
      <c r="AC39" s="1536">
        <f t="shared" si="5"/>
        <v>1</v>
      </c>
    </row>
    <row r="40" spans="1:31" s="429" customFormat="1" ht="15.75" hidden="1" thickBot="1">
      <c r="A40" s="426"/>
      <c r="B40" s="1295">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285"/>
      <c r="Q40" s="1535">
        <f t="shared" si="14"/>
        <v>111</v>
      </c>
      <c r="R40" s="716" t="s">
        <v>17</v>
      </c>
      <c r="S40" s="717">
        <f t="shared" si="10"/>
        <v>100</v>
      </c>
      <c r="T40" s="716" t="s">
        <v>17</v>
      </c>
      <c r="U40" s="717">
        <f t="shared" si="11"/>
        <v>100</v>
      </c>
      <c r="V40" s="716" t="s">
        <v>17</v>
      </c>
      <c r="W40" s="717">
        <f t="shared" si="12"/>
        <v>100</v>
      </c>
      <c r="X40" s="718"/>
      <c r="Y40" s="3285"/>
      <c r="Z40" s="719">
        <f t="shared" si="13"/>
        <v>111</v>
      </c>
      <c r="AA40" s="1536">
        <f t="shared" si="3"/>
        <v>1</v>
      </c>
      <c r="AB40" s="1536">
        <f t="shared" si="4"/>
        <v>1</v>
      </c>
      <c r="AC40" s="1536">
        <f t="shared" si="5"/>
        <v>1</v>
      </c>
    </row>
    <row r="41" spans="1:31" ht="15">
      <c r="A41" s="437" t="s">
        <v>2538</v>
      </c>
      <c r="B41" s="2167" t="s">
        <v>3162</v>
      </c>
      <c r="C41" s="637" t="s">
        <v>1</v>
      </c>
      <c r="D41" s="439"/>
      <c r="E41" s="440">
        <f>土地案例!S2</f>
        <v>180</v>
      </c>
      <c r="F41" s="441"/>
      <c r="G41" s="442">
        <f>土地案例!S3</f>
        <v>200</v>
      </c>
      <c r="H41" s="443"/>
      <c r="I41" s="440">
        <f>土地案例!S4</f>
        <v>200</v>
      </c>
      <c r="J41" s="443"/>
      <c r="K41" s="722"/>
      <c r="L41" s="2948"/>
      <c r="M41" s="2940"/>
      <c r="N41" s="2940"/>
      <c r="O41" s="2949"/>
      <c r="P41" s="3265" t="str">
        <f>A41</f>
        <v>成交单价</v>
      </c>
      <c r="Q41" s="3265"/>
      <c r="R41" s="3282">
        <f>E41</f>
        <v>180</v>
      </c>
      <c r="S41" s="3282"/>
      <c r="T41" s="3282">
        <f>G41</f>
        <v>200</v>
      </c>
      <c r="U41" s="3282"/>
      <c r="V41" s="3282">
        <f>I41</f>
        <v>200</v>
      </c>
      <c r="W41" s="3282"/>
      <c r="X41" s="698"/>
      <c r="Y41" s="720"/>
      <c r="Z41" s="698"/>
      <c r="AA41" s="698"/>
      <c r="AB41" s="698"/>
      <c r="AC41" s="698"/>
    </row>
    <row r="42" spans="1:31" ht="15.75" thickBot="1">
      <c r="A42" s="444" t="s">
        <v>2487</v>
      </c>
      <c r="B42" s="638"/>
      <c r="C42" s="447">
        <f>R43</f>
        <v>175</v>
      </c>
      <c r="D42" s="2537" t="s">
        <v>2877</v>
      </c>
      <c r="E42" s="447">
        <f>R42</f>
        <v>160</v>
      </c>
      <c r="F42" s="2538"/>
      <c r="G42" s="446">
        <f>T42</f>
        <v>187</v>
      </c>
      <c r="H42" s="2538"/>
      <c r="I42" s="447">
        <f>V42</f>
        <v>178</v>
      </c>
      <c r="J42" s="2538"/>
      <c r="K42" s="2540">
        <f>F42+H42+J42</f>
        <v>0</v>
      </c>
      <c r="L42" s="2948"/>
      <c r="M42" s="2940"/>
      <c r="N42" s="2940"/>
      <c r="O42" s="2949"/>
      <c r="P42" s="3265" t="str">
        <f>A42</f>
        <v>比较价值（元/平方米）</v>
      </c>
      <c r="Q42" s="3265"/>
      <c r="R42" s="3304">
        <f>ROUND(PRODUCT(R41,AA7:AA40),0)</f>
        <v>160</v>
      </c>
      <c r="S42" s="3304"/>
      <c r="T42" s="3304">
        <f>ROUND(PRODUCT(T41,AB7:AB40),0)</f>
        <v>187</v>
      </c>
      <c r="U42" s="3304"/>
      <c r="V42" s="3304">
        <f>ROUND(PRODUCT(V41,AC7:AC40),0)</f>
        <v>178</v>
      </c>
      <c r="W42" s="3304"/>
      <c r="X42" s="698"/>
      <c r="Y42" s="698"/>
      <c r="Z42" s="698"/>
      <c r="AA42" s="698"/>
      <c r="AB42" s="698"/>
      <c r="AC42" s="698"/>
    </row>
    <row r="43" spans="1:31" ht="15.75" thickBot="1">
      <c r="A43" s="448" t="s">
        <v>2488</v>
      </c>
      <c r="B43" s="449"/>
      <c r="C43" s="450">
        <f>R43</f>
        <v>175</v>
      </c>
      <c r="D43" s="450"/>
      <c r="E43" s="450"/>
      <c r="F43" s="450"/>
      <c r="G43" s="450"/>
      <c r="H43" s="450"/>
      <c r="I43" s="450"/>
      <c r="J43" s="450"/>
      <c r="K43" s="723"/>
      <c r="L43" s="2948"/>
      <c r="M43" s="2940"/>
      <c r="N43" s="2940"/>
      <c r="O43" s="2949"/>
      <c r="P43" s="3301" t="str">
        <f>A43</f>
        <v>估价对象XX用房的比较价值（楼面单价，元/平方米）</v>
      </c>
      <c r="Q43" s="3302"/>
      <c r="R43" s="3303">
        <f>ROUND(IF(D42="简单平均",AVERAGE(R42:W42),R42*F42+T42*H42+V42*J42),0)</f>
        <v>175</v>
      </c>
      <c r="S43" s="3303"/>
      <c r="T43" s="3303"/>
      <c r="U43" s="3303"/>
      <c r="V43" s="3303"/>
      <c r="W43" s="3303"/>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2489</v>
      </c>
      <c r="D46" s="454"/>
      <c r="E46" s="455">
        <f>IF(E41&lt;E42,E42/E41-1,E41/E42-1)</f>
        <v>0.125</v>
      </c>
      <c r="F46" s="456" t="str">
        <f>IF(OR(E46&gt;=0.3,E46&lt;=-0.3),"超过30%","")</f>
        <v/>
      </c>
      <c r="G46" s="455">
        <f>IF(G41&lt;G42,G42/G41-1,G41/G42-1)</f>
        <v>6.9518716577540163E-2</v>
      </c>
      <c r="H46" s="456" t="str">
        <f>IF(OR(G46&gt;=0.3,G46&lt;=-0.3),"超过30%","")</f>
        <v/>
      </c>
      <c r="I46" s="455">
        <f>IF(I41&lt;I42,I42/I41-1,I41/I42-1)</f>
        <v>0.12359550561797761</v>
      </c>
      <c r="J46" s="456"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2490</v>
      </c>
      <c r="D47" s="457"/>
      <c r="E47" s="455">
        <f>IF(E42&lt;G42,G42/E42-1,E42/G42-1)</f>
        <v>0.16874999999999996</v>
      </c>
      <c r="F47" s="456" t="str">
        <f>IF(OR(E47&gt;=0.2,E47&lt;=-0.2),"超过20%","")</f>
        <v/>
      </c>
      <c r="G47" s="455">
        <f>IF(G42&lt;I42,I42/G42-1,G42/I42-1)</f>
        <v>5.0561797752809001E-2</v>
      </c>
      <c r="H47" s="456" t="str">
        <f>IF(OR(G47&gt;=0.2,G47&lt;=-0.2),"超过20%","")</f>
        <v/>
      </c>
      <c r="I47" s="455">
        <f>IF(I42&lt;E42,E42/I42-1,I42/E42-1)</f>
        <v>0.11250000000000004</v>
      </c>
      <c r="J47" s="456"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2491</v>
      </c>
      <c r="D48" s="457"/>
      <c r="E48" s="455">
        <f>IF(E41&lt;G41,G41/E41-1,E41/G41-1)</f>
        <v>0.11111111111111116</v>
      </c>
      <c r="F48" s="456" t="str">
        <f>IF(OR(E48&gt;=0.3,E48&lt;=-0.3),"超过30%","")</f>
        <v/>
      </c>
      <c r="G48" s="455">
        <f>IF(G41&lt;I41,I41/G41-1,G41/I41-1)</f>
        <v>0</v>
      </c>
      <c r="H48" s="456" t="str">
        <f>IF(OR(G48&gt;=0.3,G48&lt;=-0.3),"超过30%","")</f>
        <v/>
      </c>
      <c r="I48" s="455">
        <f>IF(I41&lt;E41,E41/I41-1,I41/E41-1)</f>
        <v>0.11111111111111116</v>
      </c>
      <c r="J48" s="456"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2576</v>
      </c>
      <c r="B50" s="640" t="s">
        <v>2577</v>
      </c>
      <c r="C50" s="2168" t="s">
        <v>2578</v>
      </c>
      <c r="D50" s="2169" t="s">
        <v>2579</v>
      </c>
      <c r="E50" s="641" t="s">
        <v>2580</v>
      </c>
      <c r="F50" s="642" t="s">
        <v>2581</v>
      </c>
      <c r="G50" s="3262" t="s">
        <v>2582</v>
      </c>
      <c r="H50" s="3263"/>
      <c r="I50" s="1539" t="s">
        <v>2618</v>
      </c>
      <c r="J50" s="1539" t="str">
        <f>项目基本情况!F35</f>
        <v>吉林省</v>
      </c>
      <c r="K50" s="2171" t="s">
        <v>2584</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2585</v>
      </c>
      <c r="B51" s="644">
        <f>C43</f>
        <v>175</v>
      </c>
      <c r="C51" s="645">
        <v>1</v>
      </c>
      <c r="D51" s="1074">
        <v>1</v>
      </c>
      <c r="E51" s="645">
        <f>'数据-汇总表'!E8+'数据-汇总表'!E9</f>
        <v>34910.400000000001</v>
      </c>
      <c r="F51" s="646">
        <f t="shared" ref="F51:F60" si="15">ROUND(B51*E51/10000,0)</f>
        <v>611</v>
      </c>
      <c r="G51" s="3264"/>
      <c r="H51" s="3265"/>
      <c r="I51" s="878">
        <v>1</v>
      </c>
      <c r="J51" s="878">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2586</v>
      </c>
      <c r="B52" s="223">
        <f>ROUND($C$43*C52*D52,0)</f>
        <v>0</v>
      </c>
      <c r="C52" s="175">
        <f t="shared" ref="C52:C60" si="16">IF($C$50="北京市系数",I52,J52)</f>
        <v>0</v>
      </c>
      <c r="D52" s="1075">
        <v>0.25</v>
      </c>
      <c r="E52" s="649"/>
      <c r="F52" s="646">
        <f t="shared" si="15"/>
        <v>0</v>
      </c>
      <c r="G52" s="3266" t="s">
        <v>2587</v>
      </c>
      <c r="H52" s="1017">
        <f>项目基本情况!B37</f>
        <v>0</v>
      </c>
      <c r="I52" s="878">
        <f>SUMIF(修正!A45:A56,H52,修正!B45:B56)</f>
        <v>0</v>
      </c>
      <c r="J52" s="879"/>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2588</v>
      </c>
      <c r="B53" s="223">
        <f t="shared" ref="B53:B60" si="17">ROUND($C$43*C53*D53,0)</f>
        <v>0</v>
      </c>
      <c r="C53" s="175">
        <f t="shared" si="16"/>
        <v>0</v>
      </c>
      <c r="D53" s="1075">
        <v>0.25</v>
      </c>
      <c r="E53" s="649"/>
      <c r="F53" s="646">
        <f t="shared" si="15"/>
        <v>0</v>
      </c>
      <c r="G53" s="3266"/>
      <c r="H53" s="1017">
        <f>项目基本情况!B37</f>
        <v>0</v>
      </c>
      <c r="I53" s="878">
        <f>SUMIF(修正!A45:A56,H53,修正!C45:C56)</f>
        <v>0</v>
      </c>
      <c r="J53" s="879"/>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2589</v>
      </c>
      <c r="B54" s="223">
        <f t="shared" si="17"/>
        <v>0</v>
      </c>
      <c r="C54" s="175">
        <f t="shared" si="16"/>
        <v>0</v>
      </c>
      <c r="D54" s="1075">
        <v>0.25</v>
      </c>
      <c r="E54" s="649"/>
      <c r="F54" s="646">
        <f t="shared" si="15"/>
        <v>0</v>
      </c>
      <c r="G54" s="3266"/>
      <c r="H54" s="1017">
        <f>项目基本情况!B37</f>
        <v>0</v>
      </c>
      <c r="I54" s="878">
        <f>SUMIF(修正!A45:A56,H54,修正!D45:D56)</f>
        <v>0</v>
      </c>
      <c r="J54" s="879"/>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2590</v>
      </c>
      <c r="B55" s="223">
        <f t="shared" si="17"/>
        <v>0</v>
      </c>
      <c r="C55" s="175">
        <f t="shared" si="16"/>
        <v>0</v>
      </c>
      <c r="D55" s="1075">
        <v>0.25</v>
      </c>
      <c r="E55" s="649"/>
      <c r="F55" s="646">
        <f t="shared" si="15"/>
        <v>0</v>
      </c>
      <c r="G55" s="3266"/>
      <c r="H55" s="1017">
        <f>项目基本情况!B37</f>
        <v>0</v>
      </c>
      <c r="I55" s="878">
        <f>SUMIF(修正!A45:A56,H55,修正!E45:E56)</f>
        <v>0</v>
      </c>
      <c r="J55" s="879"/>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2591</v>
      </c>
      <c r="B56" s="223">
        <f t="shared" si="17"/>
        <v>0</v>
      </c>
      <c r="C56" s="175">
        <f t="shared" si="16"/>
        <v>0</v>
      </c>
      <c r="D56" s="1075">
        <v>0.25</v>
      </c>
      <c r="E56" s="222">
        <f>'数据-汇总表'!E11</f>
        <v>0</v>
      </c>
      <c r="F56" s="646">
        <f t="shared" si="15"/>
        <v>0</v>
      </c>
      <c r="G56" s="2172" t="s">
        <v>2592</v>
      </c>
      <c r="H56" s="1017">
        <f>项目基本情况!C37</f>
        <v>0</v>
      </c>
      <c r="I56" s="878">
        <f>SUMIF(修正!A45:A56,H56,修正!F45:F56)</f>
        <v>0</v>
      </c>
      <c r="J56" s="879"/>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2593</v>
      </c>
      <c r="B57" s="223">
        <f t="shared" si="17"/>
        <v>0</v>
      </c>
      <c r="C57" s="175">
        <f t="shared" si="16"/>
        <v>0</v>
      </c>
      <c r="D57" s="1075">
        <v>0.25</v>
      </c>
      <c r="E57" s="222">
        <f>'数据-汇总表'!E12</f>
        <v>0</v>
      </c>
      <c r="F57" s="646">
        <f t="shared" si="15"/>
        <v>0</v>
      </c>
      <c r="G57" s="1022" t="s">
        <v>2594</v>
      </c>
      <c r="H57" s="1017">
        <f>IF(G57="商业",项目基本情况!B37,IF(G57="办公",项目基本情况!C37,IF(G57="住宅",项目基本情况!D37,项目基本情况!E37)))</f>
        <v>0</v>
      </c>
      <c r="I57" s="878">
        <f>SUMIF(修正!A45:A56,H57,修正!G45:G56)</f>
        <v>0</v>
      </c>
      <c r="J57" s="879"/>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2595</v>
      </c>
      <c r="B58" s="223">
        <f t="shared" si="17"/>
        <v>0</v>
      </c>
      <c r="C58" s="175">
        <f t="shared" si="16"/>
        <v>0</v>
      </c>
      <c r="D58" s="1075">
        <v>0.25</v>
      </c>
      <c r="E58" s="222">
        <f>'数据-汇总表'!E13</f>
        <v>0</v>
      </c>
      <c r="F58" s="646">
        <f t="shared" si="15"/>
        <v>0</v>
      </c>
      <c r="G58" s="1022" t="s">
        <v>2596</v>
      </c>
      <c r="H58" s="1017">
        <f>IF(G58="商业",项目基本情况!B37,IF(G58="办公",项目基本情况!C37,IF(G58="住宅",项目基本情况!D37,项目基本情况!E37)))</f>
        <v>0</v>
      </c>
      <c r="I58" s="878">
        <f>SUMIF(修正!A45:A56,H58,修正!H45:H56)</f>
        <v>0</v>
      </c>
      <c r="J58" s="879"/>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2597</v>
      </c>
      <c r="B59" s="223">
        <f t="shared" si="17"/>
        <v>0</v>
      </c>
      <c r="C59" s="175">
        <f t="shared" si="16"/>
        <v>0</v>
      </c>
      <c r="D59" s="1075">
        <v>0.25</v>
      </c>
      <c r="E59" s="222">
        <f>'数据-汇总表'!E14</f>
        <v>0</v>
      </c>
      <c r="F59" s="646">
        <f t="shared" si="15"/>
        <v>0</v>
      </c>
      <c r="G59" s="2172" t="s">
        <v>2587</v>
      </c>
      <c r="H59" s="1017">
        <f>项目基本情况!B37</f>
        <v>0</v>
      </c>
      <c r="I59" s="878">
        <f>SUMIF(修正!A45:A56,H59,修正!H45:H56)</f>
        <v>0</v>
      </c>
      <c r="J59" s="879"/>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2598</v>
      </c>
      <c r="B60" s="223">
        <f t="shared" si="17"/>
        <v>0</v>
      </c>
      <c r="C60" s="175">
        <f t="shared" si="16"/>
        <v>0</v>
      </c>
      <c r="D60" s="1075">
        <v>0.25</v>
      </c>
      <c r="E60" s="222">
        <f>'数据-汇总表'!E15</f>
        <v>0</v>
      </c>
      <c r="F60" s="646">
        <f t="shared" si="15"/>
        <v>0</v>
      </c>
      <c r="G60" s="2173" t="s">
        <v>2592</v>
      </c>
      <c r="H60" s="1027">
        <f>项目基本情况!C37</f>
        <v>0</v>
      </c>
      <c r="I60" s="878">
        <f>SUMIF(修正!A45:A56,H60,修正!H45:H56)</f>
        <v>0</v>
      </c>
      <c r="J60" s="879"/>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2599</v>
      </c>
      <c r="B61" s="651" t="s">
        <v>28</v>
      </c>
      <c r="C61" s="651" t="s">
        <v>29</v>
      </c>
      <c r="D61" s="651" t="s">
        <v>997</v>
      </c>
      <c r="E61" s="651">
        <f>IF(B41="楼面地价",SUM(E51:E60),'数据-汇总表'!D3)</f>
        <v>43638</v>
      </c>
      <c r="F61" s="652">
        <f>IF(B41="楼面地价",SUM(F51:F60),ROUND(C43*E61/10000,0))</f>
        <v>764</v>
      </c>
      <c r="G61" s="1069"/>
      <c r="H61" s="1069"/>
      <c r="I61" s="1069"/>
      <c r="J61" s="1069"/>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7"/>
      <c r="B62" s="1059"/>
      <c r="C62" s="1061"/>
      <c r="D62" s="1057"/>
      <c r="E62" s="1057"/>
      <c r="F62" s="1057"/>
      <c r="G62" s="1057"/>
      <c r="H62" s="1057"/>
      <c r="I62" s="1057"/>
      <c r="J62" s="1057"/>
      <c r="K62" s="1018"/>
      <c r="L62" s="1019"/>
      <c r="M62" s="1057"/>
      <c r="N62" s="1057"/>
      <c r="O62" s="1057"/>
      <c r="P62" s="2949"/>
      <c r="Q62" s="2949"/>
      <c r="R62" s="2949"/>
      <c r="S62" s="2949"/>
      <c r="T62" s="2949"/>
      <c r="U62" s="2949"/>
      <c r="V62" s="2949"/>
      <c r="W62" s="2949"/>
      <c r="X62" s="2949"/>
      <c r="Y62" s="2949"/>
      <c r="Z62" s="2949"/>
      <c r="AA62" s="2949"/>
      <c r="AB62" s="2949"/>
      <c r="AC62" s="2949"/>
      <c r="AD62" s="2949"/>
      <c r="AE62" s="2949"/>
    </row>
    <row r="63" spans="1:31">
      <c r="A63" s="1057"/>
      <c r="B63" s="1059"/>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9"/>
      <c r="Q63" s="2949"/>
      <c r="R63" s="2949"/>
      <c r="S63" s="2949"/>
      <c r="T63" s="2949"/>
      <c r="U63" s="2949"/>
      <c r="V63" s="2949"/>
      <c r="W63" s="2949"/>
      <c r="X63" s="2949"/>
      <c r="Y63" s="2949"/>
      <c r="Z63" s="2949"/>
      <c r="AA63" s="2949"/>
      <c r="AB63" s="2949"/>
      <c r="AC63" s="2949"/>
      <c r="AD63" s="2949"/>
      <c r="AE63" s="2949"/>
    </row>
    <row r="64" spans="1:31" ht="21.75" thickBot="1">
      <c r="A64" s="702" t="s">
        <v>2492</v>
      </c>
      <c r="B64" s="698"/>
      <c r="C64" s="703"/>
      <c r="D64" s="703"/>
      <c r="E64" s="703"/>
      <c r="F64" s="704"/>
      <c r="G64" s="704"/>
      <c r="H64" s="703"/>
      <c r="I64" s="703"/>
      <c r="J64" s="703"/>
      <c r="K64" s="705"/>
      <c r="L64" s="706"/>
      <c r="M64" s="703"/>
      <c r="N64" s="703"/>
      <c r="O64" s="1070"/>
      <c r="P64" s="2993"/>
      <c r="Q64" s="2963"/>
      <c r="R64" s="2949"/>
      <c r="S64" s="2949"/>
      <c r="T64" s="2949"/>
      <c r="U64" s="2949"/>
      <c r="V64" s="2949"/>
      <c r="W64" s="2949"/>
      <c r="X64" s="2949"/>
      <c r="Y64" s="2949"/>
      <c r="Z64" s="2949"/>
      <c r="AA64" s="2949"/>
      <c r="AB64" s="2949"/>
      <c r="AC64" s="2949"/>
      <c r="AD64" s="2949"/>
      <c r="AE64" s="2949"/>
    </row>
    <row r="65" spans="1:31" s="464" customFormat="1" ht="15">
      <c r="A65" s="2174" t="s">
        <v>2600</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9" t="s">
        <v>2619</v>
      </c>
      <c r="B66" s="293" t="str">
        <f>"北京市平均增长率"&amp;TEXT(基准地价修正!P24,"0.00%")</f>
        <v>北京市平均增长率1.25%</v>
      </c>
      <c r="C66" s="559">
        <v>100</v>
      </c>
      <c r="D66" s="551">
        <f>C66</f>
        <v>100</v>
      </c>
      <c r="E66" s="551">
        <f t="shared" ref="E66:I66" si="20">D66</f>
        <v>100</v>
      </c>
      <c r="F66" s="551">
        <f t="shared" si="20"/>
        <v>100</v>
      </c>
      <c r="G66" s="551">
        <f t="shared" si="20"/>
        <v>100</v>
      </c>
      <c r="H66" s="551">
        <f t="shared" si="20"/>
        <v>100</v>
      </c>
      <c r="I66" s="551">
        <f t="shared" si="20"/>
        <v>100</v>
      </c>
      <c r="J66" s="551"/>
      <c r="K66" s="551"/>
      <c r="L66" s="551"/>
      <c r="M66" s="1339"/>
      <c r="N66" s="1339"/>
      <c r="O66" s="1341"/>
      <c r="P66" s="2963"/>
      <c r="Q66" s="2884"/>
      <c r="R66" s="2884"/>
      <c r="S66" s="2884"/>
      <c r="T66" s="2884"/>
      <c r="U66" s="2884"/>
      <c r="V66" s="2884"/>
      <c r="W66" s="2884"/>
      <c r="X66" s="2884"/>
      <c r="Y66" s="2884"/>
      <c r="Z66" s="2884"/>
      <c r="AA66" s="2884"/>
      <c r="AB66" s="2884"/>
      <c r="AC66" s="2884"/>
      <c r="AD66" s="2884"/>
      <c r="AE66" s="2884"/>
    </row>
    <row r="67" spans="1:31" s="112" customFormat="1" ht="15.75" thickBot="1">
      <c r="A67" s="471" t="s">
        <v>2403</v>
      </c>
      <c r="B67" s="472"/>
      <c r="C67" s="473"/>
      <c r="D67" s="474"/>
      <c r="E67" s="474"/>
      <c r="F67" s="474"/>
      <c r="G67" s="474"/>
      <c r="H67" s="474"/>
      <c r="I67" s="474"/>
      <c r="J67" s="474"/>
      <c r="K67" s="474"/>
      <c r="L67" s="474"/>
      <c r="M67" s="475"/>
      <c r="N67" s="475"/>
      <c r="O67" s="476"/>
      <c r="P67" s="2963"/>
      <c r="Q67" s="2963"/>
      <c r="R67" s="2884"/>
      <c r="S67" s="2884"/>
      <c r="T67" s="2884"/>
      <c r="U67" s="2884"/>
      <c r="V67" s="2884"/>
      <c r="W67" s="2884"/>
      <c r="X67" s="2884"/>
      <c r="Y67" s="2884"/>
      <c r="Z67" s="2884"/>
      <c r="AA67" s="2884"/>
      <c r="AB67" s="2884"/>
      <c r="AC67" s="2884"/>
      <c r="AD67" s="2884"/>
      <c r="AE67" s="2884"/>
    </row>
    <row r="68" spans="1:31" s="112" customFormat="1" ht="15">
      <c r="A68" s="477" t="s">
        <v>2368</v>
      </c>
      <c r="B68" s="466"/>
      <c r="C68" s="478" t="s">
        <v>2470</v>
      </c>
      <c r="D68" s="479"/>
      <c r="E68" s="479"/>
      <c r="F68" s="479"/>
      <c r="G68" s="479"/>
      <c r="H68" s="479"/>
      <c r="I68" s="479"/>
      <c r="J68" s="479"/>
      <c r="K68" s="479"/>
      <c r="L68" s="480"/>
      <c r="M68" s="481"/>
      <c r="N68" s="2976"/>
      <c r="O68" s="2976"/>
      <c r="P68" s="3001"/>
      <c r="Q68" s="2963"/>
      <c r="R68" s="2884"/>
      <c r="S68" s="2884"/>
      <c r="T68" s="2884"/>
      <c r="U68" s="2884"/>
      <c r="V68" s="2884"/>
      <c r="W68" s="2884"/>
      <c r="X68" s="2884"/>
      <c r="Y68" s="2884"/>
      <c r="Z68" s="2884"/>
      <c r="AA68" s="2884"/>
      <c r="AB68" s="2884"/>
      <c r="AC68" s="2884"/>
      <c r="AD68" s="2884"/>
      <c r="AE68" s="2884"/>
    </row>
    <row r="69" spans="1:31" s="112" customFormat="1" ht="15.75" thickBot="1">
      <c r="A69" s="477"/>
      <c r="B69" s="466"/>
      <c r="C69" s="594">
        <v>100</v>
      </c>
      <c r="D69" s="468"/>
      <c r="E69" s="468"/>
      <c r="F69" s="468"/>
      <c r="G69" s="468"/>
      <c r="H69" s="468"/>
      <c r="I69" s="468"/>
      <c r="J69" s="468"/>
      <c r="K69" s="468"/>
      <c r="L69" s="468"/>
      <c r="M69" s="470"/>
      <c r="N69" s="2976"/>
      <c r="O69" s="2976"/>
      <c r="P69" s="2963"/>
      <c r="Q69" s="2963"/>
      <c r="R69" s="2884"/>
      <c r="S69" s="2884"/>
      <c r="T69" s="2884"/>
      <c r="U69" s="2884"/>
      <c r="V69" s="2884"/>
      <c r="W69" s="2884"/>
      <c r="X69" s="2884"/>
      <c r="Y69" s="2884"/>
      <c r="Z69" s="2884"/>
      <c r="AA69" s="2884"/>
      <c r="AB69" s="2884"/>
      <c r="AC69" s="2884"/>
      <c r="AD69" s="2884"/>
      <c r="AE69" s="2884"/>
    </row>
    <row r="70" spans="1:31">
      <c r="A70" s="483" t="s">
        <v>2406</v>
      </c>
      <c r="B70" s="484" t="s">
        <v>2372</v>
      </c>
      <c r="C70" s="3061" t="s">
        <v>3160</v>
      </c>
      <c r="D70" s="3061" t="s">
        <v>3161</v>
      </c>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v>105</v>
      </c>
      <c r="D71" s="492">
        <v>100</v>
      </c>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2375</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2376</v>
      </c>
      <c r="C74" s="503" t="str">
        <f>C75&amp;"（含）"&amp;"-"&amp;D75</f>
        <v>0（含）-0.5</v>
      </c>
      <c r="D74" s="503" t="str">
        <f t="shared" ref="D74:L74" si="21">D75&amp;"（含）"&amp;"-"&amp;E75</f>
        <v>0.5（含）-1</v>
      </c>
      <c r="E74" s="503" t="str">
        <f t="shared" si="21"/>
        <v>1（含）-2</v>
      </c>
      <c r="F74" s="503" t="str">
        <f t="shared" si="21"/>
        <v>2（含）-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v>0</v>
      </c>
      <c r="D75" s="505">
        <v>0.5</v>
      </c>
      <c r="E75" s="505">
        <v>1</v>
      </c>
      <c r="F75" s="505">
        <v>2</v>
      </c>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105</v>
      </c>
      <c r="E76" s="500">
        <f t="shared" ref="E76:M76" si="22">IF($B$41="单位面积地价",D76+$K11,D76-$K11)</f>
        <v>110</v>
      </c>
      <c r="F76" s="500">
        <f t="shared" si="22"/>
        <v>115</v>
      </c>
      <c r="G76" s="500">
        <f t="shared" si="22"/>
        <v>120</v>
      </c>
      <c r="H76" s="500">
        <f t="shared" si="22"/>
        <v>125</v>
      </c>
      <c r="I76" s="500">
        <f t="shared" si="22"/>
        <v>130</v>
      </c>
      <c r="J76" s="500">
        <f t="shared" si="22"/>
        <v>135</v>
      </c>
      <c r="K76" s="500">
        <f t="shared" si="22"/>
        <v>140</v>
      </c>
      <c r="L76" s="500">
        <f t="shared" si="22"/>
        <v>145</v>
      </c>
      <c r="M76" s="500">
        <f t="shared" si="22"/>
        <v>150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2377</v>
      </c>
      <c r="B83" s="484" t="s">
        <v>2523</v>
      </c>
      <c r="C83" s="529" t="s">
        <v>2415</v>
      </c>
      <c r="D83" s="529" t="s">
        <v>2416</v>
      </c>
      <c r="E83" s="529" t="s">
        <v>2417</v>
      </c>
      <c r="F83" s="529" t="s">
        <v>2418</v>
      </c>
      <c r="G83" s="529" t="s">
        <v>2419</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98</v>
      </c>
      <c r="E84" s="500">
        <f>D84-$K15</f>
        <v>96</v>
      </c>
      <c r="F84" s="500">
        <f>E84-$K15</f>
        <v>94</v>
      </c>
      <c r="G84" s="500">
        <f>F84-$K15</f>
        <v>92</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2420</v>
      </c>
      <c r="C85" s="534" t="s">
        <v>2415</v>
      </c>
      <c r="D85" s="534" t="s">
        <v>2416</v>
      </c>
      <c r="E85" s="534" t="s">
        <v>2417</v>
      </c>
      <c r="F85" s="534" t="s">
        <v>2418</v>
      </c>
      <c r="G85" s="534" t="s">
        <v>2419</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98</v>
      </c>
      <c r="E86" s="500">
        <f>D86-$K17</f>
        <v>96</v>
      </c>
      <c r="F86" s="500">
        <f>E86-$K17</f>
        <v>94</v>
      </c>
      <c r="G86" s="500">
        <f>F86-$K17</f>
        <v>92</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6"/>
      <c r="O87" s="2976"/>
      <c r="P87" s="3002"/>
      <c r="Q87" s="2963"/>
      <c r="R87" s="2884"/>
      <c r="S87" s="2884"/>
      <c r="T87" s="2884"/>
      <c r="U87" s="2884"/>
      <c r="V87" s="2884"/>
      <c r="W87" s="2884"/>
      <c r="X87" s="2884"/>
      <c r="Y87" s="2884"/>
      <c r="Z87" s="2884"/>
      <c r="AA87" s="2884"/>
      <c r="AB87" s="2884"/>
      <c r="AC87" s="2884"/>
      <c r="AD87" s="2884"/>
      <c r="AE87" s="2884"/>
    </row>
    <row r="88" spans="1:31" s="112" customFormat="1" ht="15.75" thickBot="1">
      <c r="A88" s="535"/>
      <c r="B88" s="499"/>
      <c r="C88" s="538">
        <v>100</v>
      </c>
      <c r="D88" s="500">
        <f>C88-$K19</f>
        <v>98</v>
      </c>
      <c r="E88" s="500">
        <f>D88-$K19</f>
        <v>96</v>
      </c>
      <c r="F88" s="500">
        <f>E88-$K19</f>
        <v>94</v>
      </c>
      <c r="G88" s="500">
        <f>F88-$K19</f>
        <v>92</v>
      </c>
      <c r="H88" s="500"/>
      <c r="I88" s="500"/>
      <c r="J88" s="500"/>
      <c r="K88" s="500"/>
      <c r="L88" s="500"/>
      <c r="M88" s="501"/>
      <c r="N88" s="2978"/>
      <c r="O88" s="2978"/>
      <c r="P88" s="3002"/>
      <c r="Q88" s="2963"/>
      <c r="R88" s="2884"/>
      <c r="S88" s="2884"/>
      <c r="T88" s="2884"/>
      <c r="U88" s="2884"/>
      <c r="V88" s="2884"/>
      <c r="W88" s="2884"/>
      <c r="X88" s="2884"/>
      <c r="Y88" s="2884"/>
      <c r="Z88" s="2884"/>
      <c r="AA88" s="2884"/>
      <c r="AB88" s="2884"/>
      <c r="AC88" s="2884"/>
      <c r="AD88" s="2884"/>
      <c r="AE88" s="2884"/>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6"/>
      <c r="O89" s="2976"/>
      <c r="P89" s="3002"/>
      <c r="Q89" s="2963"/>
      <c r="R89" s="2884"/>
      <c r="S89" s="2884"/>
      <c r="T89" s="2884"/>
      <c r="U89" s="2884"/>
      <c r="V89" s="2884"/>
      <c r="W89" s="2884"/>
      <c r="X89" s="2884"/>
      <c r="Y89" s="2884"/>
      <c r="Z89" s="2884"/>
      <c r="AA89" s="2884"/>
      <c r="AB89" s="2884"/>
      <c r="AC89" s="2884"/>
      <c r="AD89" s="2884"/>
      <c r="AE89" s="2884"/>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78"/>
      <c r="O90" s="2978"/>
      <c r="P90" s="3002"/>
      <c r="Q90" s="2963"/>
      <c r="R90" s="2884"/>
      <c r="S90" s="2884"/>
      <c r="T90" s="2884"/>
      <c r="U90" s="2884"/>
      <c r="V90" s="2884"/>
      <c r="W90" s="2884"/>
      <c r="X90" s="2884"/>
      <c r="Y90" s="2884"/>
      <c r="Z90" s="2884"/>
      <c r="AA90" s="2884"/>
      <c r="AB90" s="2884"/>
      <c r="AC90" s="2884"/>
      <c r="AD90" s="2884"/>
      <c r="AE90" s="2884"/>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99</v>
      </c>
      <c r="E94" s="500">
        <f>D94-$K25</f>
        <v>98</v>
      </c>
      <c r="F94" s="500">
        <f>E94-$K25</f>
        <v>97</v>
      </c>
      <c r="G94" s="500">
        <f>F94-$K25</f>
        <v>96</v>
      </c>
      <c r="H94" s="504"/>
      <c r="I94" s="504"/>
      <c r="J94" s="504"/>
      <c r="K94" s="504"/>
      <c r="L94" s="504"/>
      <c r="M94" s="1293"/>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2509</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2568</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3" t="s">
        <v>2381</v>
      </c>
      <c r="B107" s="484" t="s">
        <v>2609</v>
      </c>
      <c r="C107" s="485" t="str">
        <f t="shared" ref="C107:L107" si="26">C108&amp;"(含)"&amp;"-"&amp;D108</f>
        <v>0(含)-10000</v>
      </c>
      <c r="D107" s="485" t="str">
        <f t="shared" si="26"/>
        <v>10000(含)-20000</v>
      </c>
      <c r="E107" s="485" t="str">
        <f t="shared" si="26"/>
        <v>20000(含)-40000</v>
      </c>
      <c r="F107" s="485" t="str">
        <f t="shared" si="26"/>
        <v>40000(含)-60000</v>
      </c>
      <c r="G107" s="485" t="str">
        <f t="shared" si="26"/>
        <v>60000(含)-80000</v>
      </c>
      <c r="H107" s="485" t="str">
        <f t="shared" si="26"/>
        <v>80000(含)-</v>
      </c>
      <c r="I107" s="485" t="str">
        <f t="shared" si="26"/>
        <v>(含)-</v>
      </c>
      <c r="J107" s="485" t="str">
        <f t="shared" si="26"/>
        <v>(含)-</v>
      </c>
      <c r="K107" s="1502" t="str">
        <f t="shared" si="26"/>
        <v>(含)-</v>
      </c>
      <c r="L107" s="1502" t="str">
        <f t="shared" si="26"/>
        <v>(含)-</v>
      </c>
      <c r="M107" s="1503"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v>0</v>
      </c>
      <c r="D108" s="551">
        <v>10000</v>
      </c>
      <c r="E108" s="551">
        <v>20000</v>
      </c>
      <c r="F108" s="551">
        <v>40000</v>
      </c>
      <c r="G108" s="551">
        <v>60000</v>
      </c>
      <c r="H108" s="551">
        <v>80000</v>
      </c>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v>96</v>
      </c>
      <c r="D109" s="547">
        <v>98</v>
      </c>
      <c r="E109" s="547">
        <v>100</v>
      </c>
      <c r="F109" s="547">
        <v>98</v>
      </c>
      <c r="G109" s="547">
        <v>96</v>
      </c>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2610</v>
      </c>
      <c r="C110" s="3066" t="s">
        <v>3169</v>
      </c>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7">C111-$K35</f>
        <v>99</v>
      </c>
      <c r="E111" s="500">
        <f t="shared" si="27"/>
        <v>98</v>
      </c>
      <c r="F111" s="500">
        <f t="shared" si="27"/>
        <v>97</v>
      </c>
      <c r="G111" s="500">
        <f t="shared" si="27"/>
        <v>96</v>
      </c>
      <c r="H111" s="500">
        <f t="shared" si="27"/>
        <v>95</v>
      </c>
      <c r="I111" s="500">
        <f t="shared" si="27"/>
        <v>94</v>
      </c>
      <c r="J111" s="500">
        <f t="shared" si="27"/>
        <v>93</v>
      </c>
      <c r="K111" s="500">
        <f t="shared" si="27"/>
        <v>92</v>
      </c>
      <c r="L111" s="500">
        <f t="shared" si="27"/>
        <v>91</v>
      </c>
      <c r="M111" s="501">
        <f t="shared" si="27"/>
        <v>90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2612</v>
      </c>
      <c r="C112" s="3067" t="s">
        <v>3171</v>
      </c>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2613</v>
      </c>
      <c r="C114" s="3067" t="s">
        <v>3172</v>
      </c>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9">C115-$K37</f>
        <v>99</v>
      </c>
      <c r="E115" s="500">
        <f t="shared" si="29"/>
        <v>98</v>
      </c>
      <c r="F115" s="500">
        <f t="shared" si="29"/>
        <v>97</v>
      </c>
      <c r="G115" s="500">
        <f t="shared" si="29"/>
        <v>96</v>
      </c>
      <c r="H115" s="500">
        <f t="shared" si="29"/>
        <v>95</v>
      </c>
      <c r="I115" s="500">
        <f t="shared" si="29"/>
        <v>94</v>
      </c>
      <c r="J115" s="500">
        <f t="shared" si="29"/>
        <v>93</v>
      </c>
      <c r="K115" s="500">
        <f t="shared" si="29"/>
        <v>92</v>
      </c>
      <c r="L115" s="500">
        <f t="shared" si="29"/>
        <v>91</v>
      </c>
      <c r="M115" s="501">
        <f t="shared" si="29"/>
        <v>90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6"/>
  <sheetViews>
    <sheetView zoomScale="85" zoomScaleNormal="85" workbookViewId="0">
      <selection activeCell="H7" sqref="H7"/>
    </sheetView>
  </sheetViews>
  <sheetFormatPr defaultRowHeight="13.5"/>
  <cols>
    <col min="1" max="1" width="21" style="1406" customWidth="1"/>
    <col min="2" max="2" width="6.25" style="1406" customWidth="1"/>
    <col min="3" max="3" width="7.875" style="1406" customWidth="1"/>
    <col min="4" max="5" width="13.875" style="1406" customWidth="1"/>
    <col min="6" max="6" width="15.375" style="1406" customWidth="1"/>
    <col min="7" max="9" width="7.875" style="1406" customWidth="1"/>
    <col min="10" max="11" width="9" style="1406" customWidth="1"/>
    <col min="12" max="12" width="8.625" style="1406" customWidth="1"/>
    <col min="13" max="14" width="10.625" style="1406" customWidth="1"/>
    <col min="15" max="15" width="16" style="1406" customWidth="1"/>
    <col min="16" max="16" width="14.375" style="1406" customWidth="1"/>
    <col min="17" max="17" width="6.25" style="1406" customWidth="1"/>
    <col min="18" max="18" width="7.875" style="1406" customWidth="1"/>
    <col min="19" max="256" width="9" style="1406"/>
    <col min="257" max="257" width="58.25" style="1406" customWidth="1"/>
    <col min="258" max="258" width="6.25" style="1406" customWidth="1"/>
    <col min="259" max="259" width="7.875" style="1406" customWidth="1"/>
    <col min="260" max="261" width="13.875" style="1406" customWidth="1"/>
    <col min="262" max="262" width="15.375" style="1406" customWidth="1"/>
    <col min="263" max="265" width="7.875" style="1406" customWidth="1"/>
    <col min="266" max="267" width="9" style="1406" customWidth="1"/>
    <col min="268" max="268" width="27.75" style="1406" customWidth="1"/>
    <col min="269" max="270" width="10.625" style="1406" customWidth="1"/>
    <col min="271" max="271" width="16" style="1406" customWidth="1"/>
    <col min="272" max="272" width="14.375" style="1406" customWidth="1"/>
    <col min="273" max="273" width="6.25" style="1406" customWidth="1"/>
    <col min="274" max="274" width="7.875" style="1406" customWidth="1"/>
    <col min="275" max="512" width="9" style="1406"/>
    <col min="513" max="513" width="58.25" style="1406" customWidth="1"/>
    <col min="514" max="514" width="6.25" style="1406" customWidth="1"/>
    <col min="515" max="515" width="7.875" style="1406" customWidth="1"/>
    <col min="516" max="517" width="13.875" style="1406" customWidth="1"/>
    <col min="518" max="518" width="15.375" style="1406" customWidth="1"/>
    <col min="519" max="521" width="7.875" style="1406" customWidth="1"/>
    <col min="522" max="523" width="9" style="1406" customWidth="1"/>
    <col min="524" max="524" width="27.75" style="1406" customWidth="1"/>
    <col min="525" max="526" width="10.625" style="1406" customWidth="1"/>
    <col min="527" max="527" width="16" style="1406" customWidth="1"/>
    <col min="528" max="528" width="14.375" style="1406" customWidth="1"/>
    <col min="529" max="529" width="6.25" style="1406" customWidth="1"/>
    <col min="530" max="530" width="7.875" style="1406" customWidth="1"/>
    <col min="531" max="768" width="9" style="1406"/>
    <col min="769" max="769" width="58.25" style="1406" customWidth="1"/>
    <col min="770" max="770" width="6.25" style="1406" customWidth="1"/>
    <col min="771" max="771" width="7.875" style="1406" customWidth="1"/>
    <col min="772" max="773" width="13.875" style="1406" customWidth="1"/>
    <col min="774" max="774" width="15.375" style="1406" customWidth="1"/>
    <col min="775" max="777" width="7.875" style="1406" customWidth="1"/>
    <col min="778" max="779" width="9" style="1406" customWidth="1"/>
    <col min="780" max="780" width="27.75" style="1406" customWidth="1"/>
    <col min="781" max="782" width="10.625" style="1406" customWidth="1"/>
    <col min="783" max="783" width="16" style="1406" customWidth="1"/>
    <col min="784" max="784" width="14.375" style="1406" customWidth="1"/>
    <col min="785" max="785" width="6.25" style="1406" customWidth="1"/>
    <col min="786" max="786" width="7.875" style="1406" customWidth="1"/>
    <col min="787" max="1024" width="9" style="1406"/>
    <col min="1025" max="1025" width="58.25" style="1406" customWidth="1"/>
    <col min="1026" max="1026" width="6.25" style="1406" customWidth="1"/>
    <col min="1027" max="1027" width="7.875" style="1406" customWidth="1"/>
    <col min="1028" max="1029" width="13.875" style="1406" customWidth="1"/>
    <col min="1030" max="1030" width="15.375" style="1406" customWidth="1"/>
    <col min="1031" max="1033" width="7.875" style="1406" customWidth="1"/>
    <col min="1034" max="1035" width="9" style="1406" customWidth="1"/>
    <col min="1036" max="1036" width="27.75" style="1406" customWidth="1"/>
    <col min="1037" max="1038" width="10.625" style="1406" customWidth="1"/>
    <col min="1039" max="1039" width="16" style="1406" customWidth="1"/>
    <col min="1040" max="1040" width="14.375" style="1406" customWidth="1"/>
    <col min="1041" max="1041" width="6.25" style="1406" customWidth="1"/>
    <col min="1042" max="1042" width="7.875" style="1406" customWidth="1"/>
    <col min="1043" max="1280" width="9" style="1406"/>
    <col min="1281" max="1281" width="58.25" style="1406" customWidth="1"/>
    <col min="1282" max="1282" width="6.25" style="1406" customWidth="1"/>
    <col min="1283" max="1283" width="7.875" style="1406" customWidth="1"/>
    <col min="1284" max="1285" width="13.875" style="1406" customWidth="1"/>
    <col min="1286" max="1286" width="15.375" style="1406" customWidth="1"/>
    <col min="1287" max="1289" width="7.875" style="1406" customWidth="1"/>
    <col min="1290" max="1291" width="9" style="1406" customWidth="1"/>
    <col min="1292" max="1292" width="27.75" style="1406" customWidth="1"/>
    <col min="1293" max="1294" width="10.625" style="1406" customWidth="1"/>
    <col min="1295" max="1295" width="16" style="1406" customWidth="1"/>
    <col min="1296" max="1296" width="14.375" style="1406" customWidth="1"/>
    <col min="1297" max="1297" width="6.25" style="1406" customWidth="1"/>
    <col min="1298" max="1298" width="7.875" style="1406" customWidth="1"/>
    <col min="1299" max="1536" width="9" style="1406"/>
    <col min="1537" max="1537" width="58.25" style="1406" customWidth="1"/>
    <col min="1538" max="1538" width="6.25" style="1406" customWidth="1"/>
    <col min="1539" max="1539" width="7.875" style="1406" customWidth="1"/>
    <col min="1540" max="1541" width="13.875" style="1406" customWidth="1"/>
    <col min="1542" max="1542" width="15.375" style="1406" customWidth="1"/>
    <col min="1543" max="1545" width="7.875" style="1406" customWidth="1"/>
    <col min="1546" max="1547" width="9" style="1406" customWidth="1"/>
    <col min="1548" max="1548" width="27.75" style="1406" customWidth="1"/>
    <col min="1549" max="1550" width="10.625" style="1406" customWidth="1"/>
    <col min="1551" max="1551" width="16" style="1406" customWidth="1"/>
    <col min="1552" max="1552" width="14.375" style="1406" customWidth="1"/>
    <col min="1553" max="1553" width="6.25" style="1406" customWidth="1"/>
    <col min="1554" max="1554" width="7.875" style="1406" customWidth="1"/>
    <col min="1555" max="1792" width="9" style="1406"/>
    <col min="1793" max="1793" width="58.25" style="1406" customWidth="1"/>
    <col min="1794" max="1794" width="6.25" style="1406" customWidth="1"/>
    <col min="1795" max="1795" width="7.875" style="1406" customWidth="1"/>
    <col min="1796" max="1797" width="13.875" style="1406" customWidth="1"/>
    <col min="1798" max="1798" width="15.375" style="1406" customWidth="1"/>
    <col min="1799" max="1801" width="7.875" style="1406" customWidth="1"/>
    <col min="1802" max="1803" width="9" style="1406" customWidth="1"/>
    <col min="1804" max="1804" width="27.75" style="1406" customWidth="1"/>
    <col min="1805" max="1806" width="10.625" style="1406" customWidth="1"/>
    <col min="1807" max="1807" width="16" style="1406" customWidth="1"/>
    <col min="1808" max="1808" width="14.375" style="1406" customWidth="1"/>
    <col min="1809" max="1809" width="6.25" style="1406" customWidth="1"/>
    <col min="1810" max="1810" width="7.875" style="1406" customWidth="1"/>
    <col min="1811" max="2048" width="9" style="1406"/>
    <col min="2049" max="2049" width="58.25" style="1406" customWidth="1"/>
    <col min="2050" max="2050" width="6.25" style="1406" customWidth="1"/>
    <col min="2051" max="2051" width="7.875" style="1406" customWidth="1"/>
    <col min="2052" max="2053" width="13.875" style="1406" customWidth="1"/>
    <col min="2054" max="2054" width="15.375" style="1406" customWidth="1"/>
    <col min="2055" max="2057" width="7.875" style="1406" customWidth="1"/>
    <col min="2058" max="2059" width="9" style="1406" customWidth="1"/>
    <col min="2060" max="2060" width="27.75" style="1406" customWidth="1"/>
    <col min="2061" max="2062" width="10.625" style="1406" customWidth="1"/>
    <col min="2063" max="2063" width="16" style="1406" customWidth="1"/>
    <col min="2064" max="2064" width="14.375" style="1406" customWidth="1"/>
    <col min="2065" max="2065" width="6.25" style="1406" customWidth="1"/>
    <col min="2066" max="2066" width="7.875" style="1406" customWidth="1"/>
    <col min="2067" max="2304" width="9" style="1406"/>
    <col min="2305" max="2305" width="58.25" style="1406" customWidth="1"/>
    <col min="2306" max="2306" width="6.25" style="1406" customWidth="1"/>
    <col min="2307" max="2307" width="7.875" style="1406" customWidth="1"/>
    <col min="2308" max="2309" width="13.875" style="1406" customWidth="1"/>
    <col min="2310" max="2310" width="15.375" style="1406" customWidth="1"/>
    <col min="2311" max="2313" width="7.875" style="1406" customWidth="1"/>
    <col min="2314" max="2315" width="9" style="1406" customWidth="1"/>
    <col min="2316" max="2316" width="27.75" style="1406" customWidth="1"/>
    <col min="2317" max="2318" width="10.625" style="1406" customWidth="1"/>
    <col min="2319" max="2319" width="16" style="1406" customWidth="1"/>
    <col min="2320" max="2320" width="14.375" style="1406" customWidth="1"/>
    <col min="2321" max="2321" width="6.25" style="1406" customWidth="1"/>
    <col min="2322" max="2322" width="7.875" style="1406" customWidth="1"/>
    <col min="2323" max="2560" width="9" style="1406"/>
    <col min="2561" max="2561" width="58.25" style="1406" customWidth="1"/>
    <col min="2562" max="2562" width="6.25" style="1406" customWidth="1"/>
    <col min="2563" max="2563" width="7.875" style="1406" customWidth="1"/>
    <col min="2564" max="2565" width="13.875" style="1406" customWidth="1"/>
    <col min="2566" max="2566" width="15.375" style="1406" customWidth="1"/>
    <col min="2567" max="2569" width="7.875" style="1406" customWidth="1"/>
    <col min="2570" max="2571" width="9" style="1406" customWidth="1"/>
    <col min="2572" max="2572" width="27.75" style="1406" customWidth="1"/>
    <col min="2573" max="2574" width="10.625" style="1406" customWidth="1"/>
    <col min="2575" max="2575" width="16" style="1406" customWidth="1"/>
    <col min="2576" max="2576" width="14.375" style="1406" customWidth="1"/>
    <col min="2577" max="2577" width="6.25" style="1406" customWidth="1"/>
    <col min="2578" max="2578" width="7.875" style="1406" customWidth="1"/>
    <col min="2579" max="2816" width="9" style="1406"/>
    <col min="2817" max="2817" width="58.25" style="1406" customWidth="1"/>
    <col min="2818" max="2818" width="6.25" style="1406" customWidth="1"/>
    <col min="2819" max="2819" width="7.875" style="1406" customWidth="1"/>
    <col min="2820" max="2821" width="13.875" style="1406" customWidth="1"/>
    <col min="2822" max="2822" width="15.375" style="1406" customWidth="1"/>
    <col min="2823" max="2825" width="7.875" style="1406" customWidth="1"/>
    <col min="2826" max="2827" width="9" style="1406" customWidth="1"/>
    <col min="2828" max="2828" width="27.75" style="1406" customWidth="1"/>
    <col min="2829" max="2830" width="10.625" style="1406" customWidth="1"/>
    <col min="2831" max="2831" width="16" style="1406" customWidth="1"/>
    <col min="2832" max="2832" width="14.375" style="1406" customWidth="1"/>
    <col min="2833" max="2833" width="6.25" style="1406" customWidth="1"/>
    <col min="2834" max="2834" width="7.875" style="1406" customWidth="1"/>
    <col min="2835" max="3072" width="9" style="1406"/>
    <col min="3073" max="3073" width="58.25" style="1406" customWidth="1"/>
    <col min="3074" max="3074" width="6.25" style="1406" customWidth="1"/>
    <col min="3075" max="3075" width="7.875" style="1406" customWidth="1"/>
    <col min="3076" max="3077" width="13.875" style="1406" customWidth="1"/>
    <col min="3078" max="3078" width="15.375" style="1406" customWidth="1"/>
    <col min="3079" max="3081" width="7.875" style="1406" customWidth="1"/>
    <col min="3082" max="3083" width="9" style="1406" customWidth="1"/>
    <col min="3084" max="3084" width="27.75" style="1406" customWidth="1"/>
    <col min="3085" max="3086" width="10.625" style="1406" customWidth="1"/>
    <col min="3087" max="3087" width="16" style="1406" customWidth="1"/>
    <col min="3088" max="3088" width="14.375" style="1406" customWidth="1"/>
    <col min="3089" max="3089" width="6.25" style="1406" customWidth="1"/>
    <col min="3090" max="3090" width="7.875" style="1406" customWidth="1"/>
    <col min="3091" max="3328" width="9" style="1406"/>
    <col min="3329" max="3329" width="58.25" style="1406" customWidth="1"/>
    <col min="3330" max="3330" width="6.25" style="1406" customWidth="1"/>
    <col min="3331" max="3331" width="7.875" style="1406" customWidth="1"/>
    <col min="3332" max="3333" width="13.875" style="1406" customWidth="1"/>
    <col min="3334" max="3334" width="15.375" style="1406" customWidth="1"/>
    <col min="3335" max="3337" width="7.875" style="1406" customWidth="1"/>
    <col min="3338" max="3339" width="9" style="1406" customWidth="1"/>
    <col min="3340" max="3340" width="27.75" style="1406" customWidth="1"/>
    <col min="3341" max="3342" width="10.625" style="1406" customWidth="1"/>
    <col min="3343" max="3343" width="16" style="1406" customWidth="1"/>
    <col min="3344" max="3344" width="14.375" style="1406" customWidth="1"/>
    <col min="3345" max="3345" width="6.25" style="1406" customWidth="1"/>
    <col min="3346" max="3346" width="7.875" style="1406" customWidth="1"/>
    <col min="3347" max="3584" width="9" style="1406"/>
    <col min="3585" max="3585" width="58.25" style="1406" customWidth="1"/>
    <col min="3586" max="3586" width="6.25" style="1406" customWidth="1"/>
    <col min="3587" max="3587" width="7.875" style="1406" customWidth="1"/>
    <col min="3588" max="3589" width="13.875" style="1406" customWidth="1"/>
    <col min="3590" max="3590" width="15.375" style="1406" customWidth="1"/>
    <col min="3591" max="3593" width="7.875" style="1406" customWidth="1"/>
    <col min="3594" max="3595" width="9" style="1406" customWidth="1"/>
    <col min="3596" max="3596" width="27.75" style="1406" customWidth="1"/>
    <col min="3597" max="3598" width="10.625" style="1406" customWidth="1"/>
    <col min="3599" max="3599" width="16" style="1406" customWidth="1"/>
    <col min="3600" max="3600" width="14.375" style="1406" customWidth="1"/>
    <col min="3601" max="3601" width="6.25" style="1406" customWidth="1"/>
    <col min="3602" max="3602" width="7.875" style="1406" customWidth="1"/>
    <col min="3603" max="3840" width="9" style="1406"/>
    <col min="3841" max="3841" width="58.25" style="1406" customWidth="1"/>
    <col min="3842" max="3842" width="6.25" style="1406" customWidth="1"/>
    <col min="3843" max="3843" width="7.875" style="1406" customWidth="1"/>
    <col min="3844" max="3845" width="13.875" style="1406" customWidth="1"/>
    <col min="3846" max="3846" width="15.375" style="1406" customWidth="1"/>
    <col min="3847" max="3849" width="7.875" style="1406" customWidth="1"/>
    <col min="3850" max="3851" width="9" style="1406" customWidth="1"/>
    <col min="3852" max="3852" width="27.75" style="1406" customWidth="1"/>
    <col min="3853" max="3854" width="10.625" style="1406" customWidth="1"/>
    <col min="3855" max="3855" width="16" style="1406" customWidth="1"/>
    <col min="3856" max="3856" width="14.375" style="1406" customWidth="1"/>
    <col min="3857" max="3857" width="6.25" style="1406" customWidth="1"/>
    <col min="3858" max="3858" width="7.875" style="1406" customWidth="1"/>
    <col min="3859" max="4096" width="9" style="1406"/>
    <col min="4097" max="4097" width="58.25" style="1406" customWidth="1"/>
    <col min="4098" max="4098" width="6.25" style="1406" customWidth="1"/>
    <col min="4099" max="4099" width="7.875" style="1406" customWidth="1"/>
    <col min="4100" max="4101" width="13.875" style="1406" customWidth="1"/>
    <col min="4102" max="4102" width="15.375" style="1406" customWidth="1"/>
    <col min="4103" max="4105" width="7.875" style="1406" customWidth="1"/>
    <col min="4106" max="4107" width="9" style="1406" customWidth="1"/>
    <col min="4108" max="4108" width="27.75" style="1406" customWidth="1"/>
    <col min="4109" max="4110" width="10.625" style="1406" customWidth="1"/>
    <col min="4111" max="4111" width="16" style="1406" customWidth="1"/>
    <col min="4112" max="4112" width="14.375" style="1406" customWidth="1"/>
    <col min="4113" max="4113" width="6.25" style="1406" customWidth="1"/>
    <col min="4114" max="4114" width="7.875" style="1406" customWidth="1"/>
    <col min="4115" max="4352" width="9" style="1406"/>
    <col min="4353" max="4353" width="58.25" style="1406" customWidth="1"/>
    <col min="4354" max="4354" width="6.25" style="1406" customWidth="1"/>
    <col min="4355" max="4355" width="7.875" style="1406" customWidth="1"/>
    <col min="4356" max="4357" width="13.875" style="1406" customWidth="1"/>
    <col min="4358" max="4358" width="15.375" style="1406" customWidth="1"/>
    <col min="4359" max="4361" width="7.875" style="1406" customWidth="1"/>
    <col min="4362" max="4363" width="9" style="1406" customWidth="1"/>
    <col min="4364" max="4364" width="27.75" style="1406" customWidth="1"/>
    <col min="4365" max="4366" width="10.625" style="1406" customWidth="1"/>
    <col min="4367" max="4367" width="16" style="1406" customWidth="1"/>
    <col min="4368" max="4368" width="14.375" style="1406" customWidth="1"/>
    <col min="4369" max="4369" width="6.25" style="1406" customWidth="1"/>
    <col min="4370" max="4370" width="7.875" style="1406" customWidth="1"/>
    <col min="4371" max="4608" width="9" style="1406"/>
    <col min="4609" max="4609" width="58.25" style="1406" customWidth="1"/>
    <col min="4610" max="4610" width="6.25" style="1406" customWidth="1"/>
    <col min="4611" max="4611" width="7.875" style="1406" customWidth="1"/>
    <col min="4612" max="4613" width="13.875" style="1406" customWidth="1"/>
    <col min="4614" max="4614" width="15.375" style="1406" customWidth="1"/>
    <col min="4615" max="4617" width="7.875" style="1406" customWidth="1"/>
    <col min="4618" max="4619" width="9" style="1406" customWidth="1"/>
    <col min="4620" max="4620" width="27.75" style="1406" customWidth="1"/>
    <col min="4621" max="4622" width="10.625" style="1406" customWidth="1"/>
    <col min="4623" max="4623" width="16" style="1406" customWidth="1"/>
    <col min="4624" max="4624" width="14.375" style="1406" customWidth="1"/>
    <col min="4625" max="4625" width="6.25" style="1406" customWidth="1"/>
    <col min="4626" max="4626" width="7.875" style="1406" customWidth="1"/>
    <col min="4627" max="4864" width="9" style="1406"/>
    <col min="4865" max="4865" width="58.25" style="1406" customWidth="1"/>
    <col min="4866" max="4866" width="6.25" style="1406" customWidth="1"/>
    <col min="4867" max="4867" width="7.875" style="1406" customWidth="1"/>
    <col min="4868" max="4869" width="13.875" style="1406" customWidth="1"/>
    <col min="4870" max="4870" width="15.375" style="1406" customWidth="1"/>
    <col min="4871" max="4873" width="7.875" style="1406" customWidth="1"/>
    <col min="4874" max="4875" width="9" style="1406" customWidth="1"/>
    <col min="4876" max="4876" width="27.75" style="1406" customWidth="1"/>
    <col min="4877" max="4878" width="10.625" style="1406" customWidth="1"/>
    <col min="4879" max="4879" width="16" style="1406" customWidth="1"/>
    <col min="4880" max="4880" width="14.375" style="1406" customWidth="1"/>
    <col min="4881" max="4881" width="6.25" style="1406" customWidth="1"/>
    <col min="4882" max="4882" width="7.875" style="1406" customWidth="1"/>
    <col min="4883" max="5120" width="9" style="1406"/>
    <col min="5121" max="5121" width="58.25" style="1406" customWidth="1"/>
    <col min="5122" max="5122" width="6.25" style="1406" customWidth="1"/>
    <col min="5123" max="5123" width="7.875" style="1406" customWidth="1"/>
    <col min="5124" max="5125" width="13.875" style="1406" customWidth="1"/>
    <col min="5126" max="5126" width="15.375" style="1406" customWidth="1"/>
    <col min="5127" max="5129" width="7.875" style="1406" customWidth="1"/>
    <col min="5130" max="5131" width="9" style="1406" customWidth="1"/>
    <col min="5132" max="5132" width="27.75" style="1406" customWidth="1"/>
    <col min="5133" max="5134" width="10.625" style="1406" customWidth="1"/>
    <col min="5135" max="5135" width="16" style="1406" customWidth="1"/>
    <col min="5136" max="5136" width="14.375" style="1406" customWidth="1"/>
    <col min="5137" max="5137" width="6.25" style="1406" customWidth="1"/>
    <col min="5138" max="5138" width="7.875" style="1406" customWidth="1"/>
    <col min="5139" max="5376" width="9" style="1406"/>
    <col min="5377" max="5377" width="58.25" style="1406" customWidth="1"/>
    <col min="5378" max="5378" width="6.25" style="1406" customWidth="1"/>
    <col min="5379" max="5379" width="7.875" style="1406" customWidth="1"/>
    <col min="5380" max="5381" width="13.875" style="1406" customWidth="1"/>
    <col min="5382" max="5382" width="15.375" style="1406" customWidth="1"/>
    <col min="5383" max="5385" width="7.875" style="1406" customWidth="1"/>
    <col min="5386" max="5387" width="9" style="1406" customWidth="1"/>
    <col min="5388" max="5388" width="27.75" style="1406" customWidth="1"/>
    <col min="5389" max="5390" width="10.625" style="1406" customWidth="1"/>
    <col min="5391" max="5391" width="16" style="1406" customWidth="1"/>
    <col min="5392" max="5392" width="14.375" style="1406" customWidth="1"/>
    <col min="5393" max="5393" width="6.25" style="1406" customWidth="1"/>
    <col min="5394" max="5394" width="7.875" style="1406" customWidth="1"/>
    <col min="5395" max="5632" width="9" style="1406"/>
    <col min="5633" max="5633" width="58.25" style="1406" customWidth="1"/>
    <col min="5634" max="5634" width="6.25" style="1406" customWidth="1"/>
    <col min="5635" max="5635" width="7.875" style="1406" customWidth="1"/>
    <col min="5636" max="5637" width="13.875" style="1406" customWidth="1"/>
    <col min="5638" max="5638" width="15.375" style="1406" customWidth="1"/>
    <col min="5639" max="5641" width="7.875" style="1406" customWidth="1"/>
    <col min="5642" max="5643" width="9" style="1406" customWidth="1"/>
    <col min="5644" max="5644" width="27.75" style="1406" customWidth="1"/>
    <col min="5645" max="5646" width="10.625" style="1406" customWidth="1"/>
    <col min="5647" max="5647" width="16" style="1406" customWidth="1"/>
    <col min="5648" max="5648" width="14.375" style="1406" customWidth="1"/>
    <col min="5649" max="5649" width="6.25" style="1406" customWidth="1"/>
    <col min="5650" max="5650" width="7.875" style="1406" customWidth="1"/>
    <col min="5651" max="5888" width="9" style="1406"/>
    <col min="5889" max="5889" width="58.25" style="1406" customWidth="1"/>
    <col min="5890" max="5890" width="6.25" style="1406" customWidth="1"/>
    <col min="5891" max="5891" width="7.875" style="1406" customWidth="1"/>
    <col min="5892" max="5893" width="13.875" style="1406" customWidth="1"/>
    <col min="5894" max="5894" width="15.375" style="1406" customWidth="1"/>
    <col min="5895" max="5897" width="7.875" style="1406" customWidth="1"/>
    <col min="5898" max="5899" width="9" style="1406" customWidth="1"/>
    <col min="5900" max="5900" width="27.75" style="1406" customWidth="1"/>
    <col min="5901" max="5902" width="10.625" style="1406" customWidth="1"/>
    <col min="5903" max="5903" width="16" style="1406" customWidth="1"/>
    <col min="5904" max="5904" width="14.375" style="1406" customWidth="1"/>
    <col min="5905" max="5905" width="6.25" style="1406" customWidth="1"/>
    <col min="5906" max="5906" width="7.875" style="1406" customWidth="1"/>
    <col min="5907" max="6144" width="9" style="1406"/>
    <col min="6145" max="6145" width="58.25" style="1406" customWidth="1"/>
    <col min="6146" max="6146" width="6.25" style="1406" customWidth="1"/>
    <col min="6147" max="6147" width="7.875" style="1406" customWidth="1"/>
    <col min="6148" max="6149" width="13.875" style="1406" customWidth="1"/>
    <col min="6150" max="6150" width="15.375" style="1406" customWidth="1"/>
    <col min="6151" max="6153" width="7.875" style="1406" customWidth="1"/>
    <col min="6154" max="6155" width="9" style="1406" customWidth="1"/>
    <col min="6156" max="6156" width="27.75" style="1406" customWidth="1"/>
    <col min="6157" max="6158" width="10.625" style="1406" customWidth="1"/>
    <col min="6159" max="6159" width="16" style="1406" customWidth="1"/>
    <col min="6160" max="6160" width="14.375" style="1406" customWidth="1"/>
    <col min="6161" max="6161" width="6.25" style="1406" customWidth="1"/>
    <col min="6162" max="6162" width="7.875" style="1406" customWidth="1"/>
    <col min="6163" max="6400" width="9" style="1406"/>
    <col min="6401" max="6401" width="58.25" style="1406" customWidth="1"/>
    <col min="6402" max="6402" width="6.25" style="1406" customWidth="1"/>
    <col min="6403" max="6403" width="7.875" style="1406" customWidth="1"/>
    <col min="6404" max="6405" width="13.875" style="1406" customWidth="1"/>
    <col min="6406" max="6406" width="15.375" style="1406" customWidth="1"/>
    <col min="6407" max="6409" width="7.875" style="1406" customWidth="1"/>
    <col min="6410" max="6411" width="9" style="1406" customWidth="1"/>
    <col min="6412" max="6412" width="27.75" style="1406" customWidth="1"/>
    <col min="6413" max="6414" width="10.625" style="1406" customWidth="1"/>
    <col min="6415" max="6415" width="16" style="1406" customWidth="1"/>
    <col min="6416" max="6416" width="14.375" style="1406" customWidth="1"/>
    <col min="6417" max="6417" width="6.25" style="1406" customWidth="1"/>
    <col min="6418" max="6418" width="7.875" style="1406" customWidth="1"/>
    <col min="6419" max="6656" width="9" style="1406"/>
    <col min="6657" max="6657" width="58.25" style="1406" customWidth="1"/>
    <col min="6658" max="6658" width="6.25" style="1406" customWidth="1"/>
    <col min="6659" max="6659" width="7.875" style="1406" customWidth="1"/>
    <col min="6660" max="6661" width="13.875" style="1406" customWidth="1"/>
    <col min="6662" max="6662" width="15.375" style="1406" customWidth="1"/>
    <col min="6663" max="6665" width="7.875" style="1406" customWidth="1"/>
    <col min="6666" max="6667" width="9" style="1406" customWidth="1"/>
    <col min="6668" max="6668" width="27.75" style="1406" customWidth="1"/>
    <col min="6669" max="6670" width="10.625" style="1406" customWidth="1"/>
    <col min="6671" max="6671" width="16" style="1406" customWidth="1"/>
    <col min="6672" max="6672" width="14.375" style="1406" customWidth="1"/>
    <col min="6673" max="6673" width="6.25" style="1406" customWidth="1"/>
    <col min="6674" max="6674" width="7.875" style="1406" customWidth="1"/>
    <col min="6675" max="6912" width="9" style="1406"/>
    <col min="6913" max="6913" width="58.25" style="1406" customWidth="1"/>
    <col min="6914" max="6914" width="6.25" style="1406" customWidth="1"/>
    <col min="6915" max="6915" width="7.875" style="1406" customWidth="1"/>
    <col min="6916" max="6917" width="13.875" style="1406" customWidth="1"/>
    <col min="6918" max="6918" width="15.375" style="1406" customWidth="1"/>
    <col min="6919" max="6921" width="7.875" style="1406" customWidth="1"/>
    <col min="6922" max="6923" width="9" style="1406" customWidth="1"/>
    <col min="6924" max="6924" width="27.75" style="1406" customWidth="1"/>
    <col min="6925" max="6926" width="10.625" style="1406" customWidth="1"/>
    <col min="6927" max="6927" width="16" style="1406" customWidth="1"/>
    <col min="6928" max="6928" width="14.375" style="1406" customWidth="1"/>
    <col min="6929" max="6929" width="6.25" style="1406" customWidth="1"/>
    <col min="6930" max="6930" width="7.875" style="1406" customWidth="1"/>
    <col min="6931" max="7168" width="9" style="1406"/>
    <col min="7169" max="7169" width="58.25" style="1406" customWidth="1"/>
    <col min="7170" max="7170" width="6.25" style="1406" customWidth="1"/>
    <col min="7171" max="7171" width="7.875" style="1406" customWidth="1"/>
    <col min="7172" max="7173" width="13.875" style="1406" customWidth="1"/>
    <col min="7174" max="7174" width="15.375" style="1406" customWidth="1"/>
    <col min="7175" max="7177" width="7.875" style="1406" customWidth="1"/>
    <col min="7178" max="7179" width="9" style="1406" customWidth="1"/>
    <col min="7180" max="7180" width="27.75" style="1406" customWidth="1"/>
    <col min="7181" max="7182" width="10.625" style="1406" customWidth="1"/>
    <col min="7183" max="7183" width="16" style="1406" customWidth="1"/>
    <col min="7184" max="7184" width="14.375" style="1406" customWidth="1"/>
    <col min="7185" max="7185" width="6.25" style="1406" customWidth="1"/>
    <col min="7186" max="7186" width="7.875" style="1406" customWidth="1"/>
    <col min="7187" max="7424" width="9" style="1406"/>
    <col min="7425" max="7425" width="58.25" style="1406" customWidth="1"/>
    <col min="7426" max="7426" width="6.25" style="1406" customWidth="1"/>
    <col min="7427" max="7427" width="7.875" style="1406" customWidth="1"/>
    <col min="7428" max="7429" width="13.875" style="1406" customWidth="1"/>
    <col min="7430" max="7430" width="15.375" style="1406" customWidth="1"/>
    <col min="7431" max="7433" width="7.875" style="1406" customWidth="1"/>
    <col min="7434" max="7435" width="9" style="1406" customWidth="1"/>
    <col min="7436" max="7436" width="27.75" style="1406" customWidth="1"/>
    <col min="7437" max="7438" width="10.625" style="1406" customWidth="1"/>
    <col min="7439" max="7439" width="16" style="1406" customWidth="1"/>
    <col min="7440" max="7440" width="14.375" style="1406" customWidth="1"/>
    <col min="7441" max="7441" width="6.25" style="1406" customWidth="1"/>
    <col min="7442" max="7442" width="7.875" style="1406" customWidth="1"/>
    <col min="7443" max="7680" width="9" style="1406"/>
    <col min="7681" max="7681" width="58.25" style="1406" customWidth="1"/>
    <col min="7682" max="7682" width="6.25" style="1406" customWidth="1"/>
    <col min="7683" max="7683" width="7.875" style="1406" customWidth="1"/>
    <col min="7684" max="7685" width="13.875" style="1406" customWidth="1"/>
    <col min="7686" max="7686" width="15.375" style="1406" customWidth="1"/>
    <col min="7687" max="7689" width="7.875" style="1406" customWidth="1"/>
    <col min="7690" max="7691" width="9" style="1406" customWidth="1"/>
    <col min="7692" max="7692" width="27.75" style="1406" customWidth="1"/>
    <col min="7693" max="7694" width="10.625" style="1406" customWidth="1"/>
    <col min="7695" max="7695" width="16" style="1406" customWidth="1"/>
    <col min="7696" max="7696" width="14.375" style="1406" customWidth="1"/>
    <col min="7697" max="7697" width="6.25" style="1406" customWidth="1"/>
    <col min="7698" max="7698" width="7.875" style="1406" customWidth="1"/>
    <col min="7699" max="7936" width="9" style="1406"/>
    <col min="7937" max="7937" width="58.25" style="1406" customWidth="1"/>
    <col min="7938" max="7938" width="6.25" style="1406" customWidth="1"/>
    <col min="7939" max="7939" width="7.875" style="1406" customWidth="1"/>
    <col min="7940" max="7941" width="13.875" style="1406" customWidth="1"/>
    <col min="7942" max="7942" width="15.375" style="1406" customWidth="1"/>
    <col min="7943" max="7945" width="7.875" style="1406" customWidth="1"/>
    <col min="7946" max="7947" width="9" style="1406" customWidth="1"/>
    <col min="7948" max="7948" width="27.75" style="1406" customWidth="1"/>
    <col min="7949" max="7950" width="10.625" style="1406" customWidth="1"/>
    <col min="7951" max="7951" width="16" style="1406" customWidth="1"/>
    <col min="7952" max="7952" width="14.375" style="1406" customWidth="1"/>
    <col min="7953" max="7953" width="6.25" style="1406" customWidth="1"/>
    <col min="7954" max="7954" width="7.875" style="1406" customWidth="1"/>
    <col min="7955" max="8192" width="9" style="1406"/>
    <col min="8193" max="8193" width="58.25" style="1406" customWidth="1"/>
    <col min="8194" max="8194" width="6.25" style="1406" customWidth="1"/>
    <col min="8195" max="8195" width="7.875" style="1406" customWidth="1"/>
    <col min="8196" max="8197" width="13.875" style="1406" customWidth="1"/>
    <col min="8198" max="8198" width="15.375" style="1406" customWidth="1"/>
    <col min="8199" max="8201" width="7.875" style="1406" customWidth="1"/>
    <col min="8202" max="8203" width="9" style="1406" customWidth="1"/>
    <col min="8204" max="8204" width="27.75" style="1406" customWidth="1"/>
    <col min="8205" max="8206" width="10.625" style="1406" customWidth="1"/>
    <col min="8207" max="8207" width="16" style="1406" customWidth="1"/>
    <col min="8208" max="8208" width="14.375" style="1406" customWidth="1"/>
    <col min="8209" max="8209" width="6.25" style="1406" customWidth="1"/>
    <col min="8210" max="8210" width="7.875" style="1406" customWidth="1"/>
    <col min="8211" max="8448" width="9" style="1406"/>
    <col min="8449" max="8449" width="58.25" style="1406" customWidth="1"/>
    <col min="8450" max="8450" width="6.25" style="1406" customWidth="1"/>
    <col min="8451" max="8451" width="7.875" style="1406" customWidth="1"/>
    <col min="8452" max="8453" width="13.875" style="1406" customWidth="1"/>
    <col min="8454" max="8454" width="15.375" style="1406" customWidth="1"/>
    <col min="8455" max="8457" width="7.875" style="1406" customWidth="1"/>
    <col min="8458" max="8459" width="9" style="1406" customWidth="1"/>
    <col min="8460" max="8460" width="27.75" style="1406" customWidth="1"/>
    <col min="8461" max="8462" width="10.625" style="1406" customWidth="1"/>
    <col min="8463" max="8463" width="16" style="1406" customWidth="1"/>
    <col min="8464" max="8464" width="14.375" style="1406" customWidth="1"/>
    <col min="8465" max="8465" width="6.25" style="1406" customWidth="1"/>
    <col min="8466" max="8466" width="7.875" style="1406" customWidth="1"/>
    <col min="8467" max="8704" width="9" style="1406"/>
    <col min="8705" max="8705" width="58.25" style="1406" customWidth="1"/>
    <col min="8706" max="8706" width="6.25" style="1406" customWidth="1"/>
    <col min="8707" max="8707" width="7.875" style="1406" customWidth="1"/>
    <col min="8708" max="8709" width="13.875" style="1406" customWidth="1"/>
    <col min="8710" max="8710" width="15.375" style="1406" customWidth="1"/>
    <col min="8711" max="8713" width="7.875" style="1406" customWidth="1"/>
    <col min="8714" max="8715" width="9" style="1406" customWidth="1"/>
    <col min="8716" max="8716" width="27.75" style="1406" customWidth="1"/>
    <col min="8717" max="8718" width="10.625" style="1406" customWidth="1"/>
    <col min="8719" max="8719" width="16" style="1406" customWidth="1"/>
    <col min="8720" max="8720" width="14.375" style="1406" customWidth="1"/>
    <col min="8721" max="8721" width="6.25" style="1406" customWidth="1"/>
    <col min="8722" max="8722" width="7.875" style="1406" customWidth="1"/>
    <col min="8723" max="8960" width="9" style="1406"/>
    <col min="8961" max="8961" width="58.25" style="1406" customWidth="1"/>
    <col min="8962" max="8962" width="6.25" style="1406" customWidth="1"/>
    <col min="8963" max="8963" width="7.875" style="1406" customWidth="1"/>
    <col min="8964" max="8965" width="13.875" style="1406" customWidth="1"/>
    <col min="8966" max="8966" width="15.375" style="1406" customWidth="1"/>
    <col min="8967" max="8969" width="7.875" style="1406" customWidth="1"/>
    <col min="8970" max="8971" width="9" style="1406" customWidth="1"/>
    <col min="8972" max="8972" width="27.75" style="1406" customWidth="1"/>
    <col min="8973" max="8974" width="10.625" style="1406" customWidth="1"/>
    <col min="8975" max="8975" width="16" style="1406" customWidth="1"/>
    <col min="8976" max="8976" width="14.375" style="1406" customWidth="1"/>
    <col min="8977" max="8977" width="6.25" style="1406" customWidth="1"/>
    <col min="8978" max="8978" width="7.875" style="1406" customWidth="1"/>
    <col min="8979" max="9216" width="9" style="1406"/>
    <col min="9217" max="9217" width="58.25" style="1406" customWidth="1"/>
    <col min="9218" max="9218" width="6.25" style="1406" customWidth="1"/>
    <col min="9219" max="9219" width="7.875" style="1406" customWidth="1"/>
    <col min="9220" max="9221" width="13.875" style="1406" customWidth="1"/>
    <col min="9222" max="9222" width="15.375" style="1406" customWidth="1"/>
    <col min="9223" max="9225" width="7.875" style="1406" customWidth="1"/>
    <col min="9226" max="9227" width="9" style="1406" customWidth="1"/>
    <col min="9228" max="9228" width="27.75" style="1406" customWidth="1"/>
    <col min="9229" max="9230" width="10.625" style="1406" customWidth="1"/>
    <col min="9231" max="9231" width="16" style="1406" customWidth="1"/>
    <col min="9232" max="9232" width="14.375" style="1406" customWidth="1"/>
    <col min="9233" max="9233" width="6.25" style="1406" customWidth="1"/>
    <col min="9234" max="9234" width="7.875" style="1406" customWidth="1"/>
    <col min="9235" max="9472" width="9" style="1406"/>
    <col min="9473" max="9473" width="58.25" style="1406" customWidth="1"/>
    <col min="9474" max="9474" width="6.25" style="1406" customWidth="1"/>
    <col min="9475" max="9475" width="7.875" style="1406" customWidth="1"/>
    <col min="9476" max="9477" width="13.875" style="1406" customWidth="1"/>
    <col min="9478" max="9478" width="15.375" style="1406" customWidth="1"/>
    <col min="9479" max="9481" width="7.875" style="1406" customWidth="1"/>
    <col min="9482" max="9483" width="9" style="1406" customWidth="1"/>
    <col min="9484" max="9484" width="27.75" style="1406" customWidth="1"/>
    <col min="9485" max="9486" width="10.625" style="1406" customWidth="1"/>
    <col min="9487" max="9487" width="16" style="1406" customWidth="1"/>
    <col min="9488" max="9488" width="14.375" style="1406" customWidth="1"/>
    <col min="9489" max="9489" width="6.25" style="1406" customWidth="1"/>
    <col min="9490" max="9490" width="7.875" style="1406" customWidth="1"/>
    <col min="9491" max="9728" width="9" style="1406"/>
    <col min="9729" max="9729" width="58.25" style="1406" customWidth="1"/>
    <col min="9730" max="9730" width="6.25" style="1406" customWidth="1"/>
    <col min="9731" max="9731" width="7.875" style="1406" customWidth="1"/>
    <col min="9732" max="9733" width="13.875" style="1406" customWidth="1"/>
    <col min="9734" max="9734" width="15.375" style="1406" customWidth="1"/>
    <col min="9735" max="9737" width="7.875" style="1406" customWidth="1"/>
    <col min="9738" max="9739" width="9" style="1406" customWidth="1"/>
    <col min="9740" max="9740" width="27.75" style="1406" customWidth="1"/>
    <col min="9741" max="9742" width="10.625" style="1406" customWidth="1"/>
    <col min="9743" max="9743" width="16" style="1406" customWidth="1"/>
    <col min="9744" max="9744" width="14.375" style="1406" customWidth="1"/>
    <col min="9745" max="9745" width="6.25" style="1406" customWidth="1"/>
    <col min="9746" max="9746" width="7.875" style="1406" customWidth="1"/>
    <col min="9747" max="9984" width="9" style="1406"/>
    <col min="9985" max="9985" width="58.25" style="1406" customWidth="1"/>
    <col min="9986" max="9986" width="6.25" style="1406" customWidth="1"/>
    <col min="9987" max="9987" width="7.875" style="1406" customWidth="1"/>
    <col min="9988" max="9989" width="13.875" style="1406" customWidth="1"/>
    <col min="9990" max="9990" width="15.375" style="1406" customWidth="1"/>
    <col min="9991" max="9993" width="7.875" style="1406" customWidth="1"/>
    <col min="9994" max="9995" width="9" style="1406" customWidth="1"/>
    <col min="9996" max="9996" width="27.75" style="1406" customWidth="1"/>
    <col min="9997" max="9998" width="10.625" style="1406" customWidth="1"/>
    <col min="9999" max="9999" width="16" style="1406" customWidth="1"/>
    <col min="10000" max="10000" width="14.375" style="1406" customWidth="1"/>
    <col min="10001" max="10001" width="6.25" style="1406" customWidth="1"/>
    <col min="10002" max="10002" width="7.875" style="1406" customWidth="1"/>
    <col min="10003" max="10240" width="9" style="1406"/>
    <col min="10241" max="10241" width="58.25" style="1406" customWidth="1"/>
    <col min="10242" max="10242" width="6.25" style="1406" customWidth="1"/>
    <col min="10243" max="10243" width="7.875" style="1406" customWidth="1"/>
    <col min="10244" max="10245" width="13.875" style="1406" customWidth="1"/>
    <col min="10246" max="10246" width="15.375" style="1406" customWidth="1"/>
    <col min="10247" max="10249" width="7.875" style="1406" customWidth="1"/>
    <col min="10250" max="10251" width="9" style="1406" customWidth="1"/>
    <col min="10252" max="10252" width="27.75" style="1406" customWidth="1"/>
    <col min="10253" max="10254" width="10.625" style="1406" customWidth="1"/>
    <col min="10255" max="10255" width="16" style="1406" customWidth="1"/>
    <col min="10256" max="10256" width="14.375" style="1406" customWidth="1"/>
    <col min="10257" max="10257" width="6.25" style="1406" customWidth="1"/>
    <col min="10258" max="10258" width="7.875" style="1406" customWidth="1"/>
    <col min="10259" max="10496" width="9" style="1406"/>
    <col min="10497" max="10497" width="58.25" style="1406" customWidth="1"/>
    <col min="10498" max="10498" width="6.25" style="1406" customWidth="1"/>
    <col min="10499" max="10499" width="7.875" style="1406" customWidth="1"/>
    <col min="10500" max="10501" width="13.875" style="1406" customWidth="1"/>
    <col min="10502" max="10502" width="15.375" style="1406" customWidth="1"/>
    <col min="10503" max="10505" width="7.875" style="1406" customWidth="1"/>
    <col min="10506" max="10507" width="9" style="1406" customWidth="1"/>
    <col min="10508" max="10508" width="27.75" style="1406" customWidth="1"/>
    <col min="10509" max="10510" width="10.625" style="1406" customWidth="1"/>
    <col min="10511" max="10511" width="16" style="1406" customWidth="1"/>
    <col min="10512" max="10512" width="14.375" style="1406" customWidth="1"/>
    <col min="10513" max="10513" width="6.25" style="1406" customWidth="1"/>
    <col min="10514" max="10514" width="7.875" style="1406" customWidth="1"/>
    <col min="10515" max="10752" width="9" style="1406"/>
    <col min="10753" max="10753" width="58.25" style="1406" customWidth="1"/>
    <col min="10754" max="10754" width="6.25" style="1406" customWidth="1"/>
    <col min="10755" max="10755" width="7.875" style="1406" customWidth="1"/>
    <col min="10756" max="10757" width="13.875" style="1406" customWidth="1"/>
    <col min="10758" max="10758" width="15.375" style="1406" customWidth="1"/>
    <col min="10759" max="10761" width="7.875" style="1406" customWidth="1"/>
    <col min="10762" max="10763" width="9" style="1406" customWidth="1"/>
    <col min="10764" max="10764" width="27.75" style="1406" customWidth="1"/>
    <col min="10765" max="10766" width="10.625" style="1406" customWidth="1"/>
    <col min="10767" max="10767" width="16" style="1406" customWidth="1"/>
    <col min="10768" max="10768" width="14.375" style="1406" customWidth="1"/>
    <col min="10769" max="10769" width="6.25" style="1406" customWidth="1"/>
    <col min="10770" max="10770" width="7.875" style="1406" customWidth="1"/>
    <col min="10771" max="11008" width="9" style="1406"/>
    <col min="11009" max="11009" width="58.25" style="1406" customWidth="1"/>
    <col min="11010" max="11010" width="6.25" style="1406" customWidth="1"/>
    <col min="11011" max="11011" width="7.875" style="1406" customWidth="1"/>
    <col min="11012" max="11013" width="13.875" style="1406" customWidth="1"/>
    <col min="11014" max="11014" width="15.375" style="1406" customWidth="1"/>
    <col min="11015" max="11017" width="7.875" style="1406" customWidth="1"/>
    <col min="11018" max="11019" width="9" style="1406" customWidth="1"/>
    <col min="11020" max="11020" width="27.75" style="1406" customWidth="1"/>
    <col min="11021" max="11022" width="10.625" style="1406" customWidth="1"/>
    <col min="11023" max="11023" width="16" style="1406" customWidth="1"/>
    <col min="11024" max="11024" width="14.375" style="1406" customWidth="1"/>
    <col min="11025" max="11025" width="6.25" style="1406" customWidth="1"/>
    <col min="11026" max="11026" width="7.875" style="1406" customWidth="1"/>
    <col min="11027" max="11264" width="9" style="1406"/>
    <col min="11265" max="11265" width="58.25" style="1406" customWidth="1"/>
    <col min="11266" max="11266" width="6.25" style="1406" customWidth="1"/>
    <col min="11267" max="11267" width="7.875" style="1406" customWidth="1"/>
    <col min="11268" max="11269" width="13.875" style="1406" customWidth="1"/>
    <col min="11270" max="11270" width="15.375" style="1406" customWidth="1"/>
    <col min="11271" max="11273" width="7.875" style="1406" customWidth="1"/>
    <col min="11274" max="11275" width="9" style="1406" customWidth="1"/>
    <col min="11276" max="11276" width="27.75" style="1406" customWidth="1"/>
    <col min="11277" max="11278" width="10.625" style="1406" customWidth="1"/>
    <col min="11279" max="11279" width="16" style="1406" customWidth="1"/>
    <col min="11280" max="11280" width="14.375" style="1406" customWidth="1"/>
    <col min="11281" max="11281" width="6.25" style="1406" customWidth="1"/>
    <col min="11282" max="11282" width="7.875" style="1406" customWidth="1"/>
    <col min="11283" max="11520" width="9" style="1406"/>
    <col min="11521" max="11521" width="58.25" style="1406" customWidth="1"/>
    <col min="11522" max="11522" width="6.25" style="1406" customWidth="1"/>
    <col min="11523" max="11523" width="7.875" style="1406" customWidth="1"/>
    <col min="11524" max="11525" width="13.875" style="1406" customWidth="1"/>
    <col min="11526" max="11526" width="15.375" style="1406" customWidth="1"/>
    <col min="11527" max="11529" width="7.875" style="1406" customWidth="1"/>
    <col min="11530" max="11531" width="9" style="1406" customWidth="1"/>
    <col min="11532" max="11532" width="27.75" style="1406" customWidth="1"/>
    <col min="11533" max="11534" width="10.625" style="1406" customWidth="1"/>
    <col min="11535" max="11535" width="16" style="1406" customWidth="1"/>
    <col min="11536" max="11536" width="14.375" style="1406" customWidth="1"/>
    <col min="11537" max="11537" width="6.25" style="1406" customWidth="1"/>
    <col min="11538" max="11538" width="7.875" style="1406" customWidth="1"/>
    <col min="11539" max="11776" width="9" style="1406"/>
    <col min="11777" max="11777" width="58.25" style="1406" customWidth="1"/>
    <col min="11778" max="11778" width="6.25" style="1406" customWidth="1"/>
    <col min="11779" max="11779" width="7.875" style="1406" customWidth="1"/>
    <col min="11780" max="11781" width="13.875" style="1406" customWidth="1"/>
    <col min="11782" max="11782" width="15.375" style="1406" customWidth="1"/>
    <col min="11783" max="11785" width="7.875" style="1406" customWidth="1"/>
    <col min="11786" max="11787" width="9" style="1406" customWidth="1"/>
    <col min="11788" max="11788" width="27.75" style="1406" customWidth="1"/>
    <col min="11789" max="11790" width="10.625" style="1406" customWidth="1"/>
    <col min="11791" max="11791" width="16" style="1406" customWidth="1"/>
    <col min="11792" max="11792" width="14.375" style="1406" customWidth="1"/>
    <col min="11793" max="11793" width="6.25" style="1406" customWidth="1"/>
    <col min="11794" max="11794" width="7.875" style="1406" customWidth="1"/>
    <col min="11795" max="12032" width="9" style="1406"/>
    <col min="12033" max="12033" width="58.25" style="1406" customWidth="1"/>
    <col min="12034" max="12034" width="6.25" style="1406" customWidth="1"/>
    <col min="12035" max="12035" width="7.875" style="1406" customWidth="1"/>
    <col min="12036" max="12037" width="13.875" style="1406" customWidth="1"/>
    <col min="12038" max="12038" width="15.375" style="1406" customWidth="1"/>
    <col min="12039" max="12041" width="7.875" style="1406" customWidth="1"/>
    <col min="12042" max="12043" width="9" style="1406" customWidth="1"/>
    <col min="12044" max="12044" width="27.75" style="1406" customWidth="1"/>
    <col min="12045" max="12046" width="10.625" style="1406" customWidth="1"/>
    <col min="12047" max="12047" width="16" style="1406" customWidth="1"/>
    <col min="12048" max="12048" width="14.375" style="1406" customWidth="1"/>
    <col min="12049" max="12049" width="6.25" style="1406" customWidth="1"/>
    <col min="12050" max="12050" width="7.875" style="1406" customWidth="1"/>
    <col min="12051" max="12288" width="9" style="1406"/>
    <col min="12289" max="12289" width="58.25" style="1406" customWidth="1"/>
    <col min="12290" max="12290" width="6.25" style="1406" customWidth="1"/>
    <col min="12291" max="12291" width="7.875" style="1406" customWidth="1"/>
    <col min="12292" max="12293" width="13.875" style="1406" customWidth="1"/>
    <col min="12294" max="12294" width="15.375" style="1406" customWidth="1"/>
    <col min="12295" max="12297" width="7.875" style="1406" customWidth="1"/>
    <col min="12298" max="12299" width="9" style="1406" customWidth="1"/>
    <col min="12300" max="12300" width="27.75" style="1406" customWidth="1"/>
    <col min="12301" max="12302" width="10.625" style="1406" customWidth="1"/>
    <col min="12303" max="12303" width="16" style="1406" customWidth="1"/>
    <col min="12304" max="12304" width="14.375" style="1406" customWidth="1"/>
    <col min="12305" max="12305" width="6.25" style="1406" customWidth="1"/>
    <col min="12306" max="12306" width="7.875" style="1406" customWidth="1"/>
    <col min="12307" max="12544" width="9" style="1406"/>
    <col min="12545" max="12545" width="58.25" style="1406" customWidth="1"/>
    <col min="12546" max="12546" width="6.25" style="1406" customWidth="1"/>
    <col min="12547" max="12547" width="7.875" style="1406" customWidth="1"/>
    <col min="12548" max="12549" width="13.875" style="1406" customWidth="1"/>
    <col min="12550" max="12550" width="15.375" style="1406" customWidth="1"/>
    <col min="12551" max="12553" width="7.875" style="1406" customWidth="1"/>
    <col min="12554" max="12555" width="9" style="1406" customWidth="1"/>
    <col min="12556" max="12556" width="27.75" style="1406" customWidth="1"/>
    <col min="12557" max="12558" width="10.625" style="1406" customWidth="1"/>
    <col min="12559" max="12559" width="16" style="1406" customWidth="1"/>
    <col min="12560" max="12560" width="14.375" style="1406" customWidth="1"/>
    <col min="12561" max="12561" width="6.25" style="1406" customWidth="1"/>
    <col min="12562" max="12562" width="7.875" style="1406" customWidth="1"/>
    <col min="12563" max="12800" width="9" style="1406"/>
    <col min="12801" max="12801" width="58.25" style="1406" customWidth="1"/>
    <col min="12802" max="12802" width="6.25" style="1406" customWidth="1"/>
    <col min="12803" max="12803" width="7.875" style="1406" customWidth="1"/>
    <col min="12804" max="12805" width="13.875" style="1406" customWidth="1"/>
    <col min="12806" max="12806" width="15.375" style="1406" customWidth="1"/>
    <col min="12807" max="12809" width="7.875" style="1406" customWidth="1"/>
    <col min="12810" max="12811" width="9" style="1406" customWidth="1"/>
    <col min="12812" max="12812" width="27.75" style="1406" customWidth="1"/>
    <col min="12813" max="12814" width="10.625" style="1406" customWidth="1"/>
    <col min="12815" max="12815" width="16" style="1406" customWidth="1"/>
    <col min="12816" max="12816" width="14.375" style="1406" customWidth="1"/>
    <col min="12817" max="12817" width="6.25" style="1406" customWidth="1"/>
    <col min="12818" max="12818" width="7.875" style="1406" customWidth="1"/>
    <col min="12819" max="13056" width="9" style="1406"/>
    <col min="13057" max="13057" width="58.25" style="1406" customWidth="1"/>
    <col min="13058" max="13058" width="6.25" style="1406" customWidth="1"/>
    <col min="13059" max="13059" width="7.875" style="1406" customWidth="1"/>
    <col min="13060" max="13061" width="13.875" style="1406" customWidth="1"/>
    <col min="13062" max="13062" width="15.375" style="1406" customWidth="1"/>
    <col min="13063" max="13065" width="7.875" style="1406" customWidth="1"/>
    <col min="13066" max="13067" width="9" style="1406" customWidth="1"/>
    <col min="13068" max="13068" width="27.75" style="1406" customWidth="1"/>
    <col min="13069" max="13070" width="10.625" style="1406" customWidth="1"/>
    <col min="13071" max="13071" width="16" style="1406" customWidth="1"/>
    <col min="13072" max="13072" width="14.375" style="1406" customWidth="1"/>
    <col min="13073" max="13073" width="6.25" style="1406" customWidth="1"/>
    <col min="13074" max="13074" width="7.875" style="1406" customWidth="1"/>
    <col min="13075" max="13312" width="9" style="1406"/>
    <col min="13313" max="13313" width="58.25" style="1406" customWidth="1"/>
    <col min="13314" max="13314" width="6.25" style="1406" customWidth="1"/>
    <col min="13315" max="13315" width="7.875" style="1406" customWidth="1"/>
    <col min="13316" max="13317" width="13.875" style="1406" customWidth="1"/>
    <col min="13318" max="13318" width="15.375" style="1406" customWidth="1"/>
    <col min="13319" max="13321" width="7.875" style="1406" customWidth="1"/>
    <col min="13322" max="13323" width="9" style="1406" customWidth="1"/>
    <col min="13324" max="13324" width="27.75" style="1406" customWidth="1"/>
    <col min="13325" max="13326" width="10.625" style="1406" customWidth="1"/>
    <col min="13327" max="13327" width="16" style="1406" customWidth="1"/>
    <col min="13328" max="13328" width="14.375" style="1406" customWidth="1"/>
    <col min="13329" max="13329" width="6.25" style="1406" customWidth="1"/>
    <col min="13330" max="13330" width="7.875" style="1406" customWidth="1"/>
    <col min="13331" max="13568" width="9" style="1406"/>
    <col min="13569" max="13569" width="58.25" style="1406" customWidth="1"/>
    <col min="13570" max="13570" width="6.25" style="1406" customWidth="1"/>
    <col min="13571" max="13571" width="7.875" style="1406" customWidth="1"/>
    <col min="13572" max="13573" width="13.875" style="1406" customWidth="1"/>
    <col min="13574" max="13574" width="15.375" style="1406" customWidth="1"/>
    <col min="13575" max="13577" width="7.875" style="1406" customWidth="1"/>
    <col min="13578" max="13579" width="9" style="1406" customWidth="1"/>
    <col min="13580" max="13580" width="27.75" style="1406" customWidth="1"/>
    <col min="13581" max="13582" width="10.625" style="1406" customWidth="1"/>
    <col min="13583" max="13583" width="16" style="1406" customWidth="1"/>
    <col min="13584" max="13584" width="14.375" style="1406" customWidth="1"/>
    <col min="13585" max="13585" width="6.25" style="1406" customWidth="1"/>
    <col min="13586" max="13586" width="7.875" style="1406" customWidth="1"/>
    <col min="13587" max="13824" width="9" style="1406"/>
    <col min="13825" max="13825" width="58.25" style="1406" customWidth="1"/>
    <col min="13826" max="13826" width="6.25" style="1406" customWidth="1"/>
    <col min="13827" max="13827" width="7.875" style="1406" customWidth="1"/>
    <col min="13828" max="13829" width="13.875" style="1406" customWidth="1"/>
    <col min="13830" max="13830" width="15.375" style="1406" customWidth="1"/>
    <col min="13831" max="13833" width="7.875" style="1406" customWidth="1"/>
    <col min="13834" max="13835" width="9" style="1406" customWidth="1"/>
    <col min="13836" max="13836" width="27.75" style="1406" customWidth="1"/>
    <col min="13837" max="13838" width="10.625" style="1406" customWidth="1"/>
    <col min="13839" max="13839" width="16" style="1406" customWidth="1"/>
    <col min="13840" max="13840" width="14.375" style="1406" customWidth="1"/>
    <col min="13841" max="13841" width="6.25" style="1406" customWidth="1"/>
    <col min="13842" max="13842" width="7.875" style="1406" customWidth="1"/>
    <col min="13843" max="14080" width="9" style="1406"/>
    <col min="14081" max="14081" width="58.25" style="1406" customWidth="1"/>
    <col min="14082" max="14082" width="6.25" style="1406" customWidth="1"/>
    <col min="14083" max="14083" width="7.875" style="1406" customWidth="1"/>
    <col min="14084" max="14085" width="13.875" style="1406" customWidth="1"/>
    <col min="14086" max="14086" width="15.375" style="1406" customWidth="1"/>
    <col min="14087" max="14089" width="7.875" style="1406" customWidth="1"/>
    <col min="14090" max="14091" width="9" style="1406" customWidth="1"/>
    <col min="14092" max="14092" width="27.75" style="1406" customWidth="1"/>
    <col min="14093" max="14094" width="10.625" style="1406" customWidth="1"/>
    <col min="14095" max="14095" width="16" style="1406" customWidth="1"/>
    <col min="14096" max="14096" width="14.375" style="1406" customWidth="1"/>
    <col min="14097" max="14097" width="6.25" style="1406" customWidth="1"/>
    <col min="14098" max="14098" width="7.875" style="1406" customWidth="1"/>
    <col min="14099" max="14336" width="9" style="1406"/>
    <col min="14337" max="14337" width="58.25" style="1406" customWidth="1"/>
    <col min="14338" max="14338" width="6.25" style="1406" customWidth="1"/>
    <col min="14339" max="14339" width="7.875" style="1406" customWidth="1"/>
    <col min="14340" max="14341" width="13.875" style="1406" customWidth="1"/>
    <col min="14342" max="14342" width="15.375" style="1406" customWidth="1"/>
    <col min="14343" max="14345" width="7.875" style="1406" customWidth="1"/>
    <col min="14346" max="14347" width="9" style="1406" customWidth="1"/>
    <col min="14348" max="14348" width="27.75" style="1406" customWidth="1"/>
    <col min="14349" max="14350" width="10.625" style="1406" customWidth="1"/>
    <col min="14351" max="14351" width="16" style="1406" customWidth="1"/>
    <col min="14352" max="14352" width="14.375" style="1406" customWidth="1"/>
    <col min="14353" max="14353" width="6.25" style="1406" customWidth="1"/>
    <col min="14354" max="14354" width="7.875" style="1406" customWidth="1"/>
    <col min="14355" max="14592" width="9" style="1406"/>
    <col min="14593" max="14593" width="58.25" style="1406" customWidth="1"/>
    <col min="14594" max="14594" width="6.25" style="1406" customWidth="1"/>
    <col min="14595" max="14595" width="7.875" style="1406" customWidth="1"/>
    <col min="14596" max="14597" width="13.875" style="1406" customWidth="1"/>
    <col min="14598" max="14598" width="15.375" style="1406" customWidth="1"/>
    <col min="14599" max="14601" width="7.875" style="1406" customWidth="1"/>
    <col min="14602" max="14603" width="9" style="1406" customWidth="1"/>
    <col min="14604" max="14604" width="27.75" style="1406" customWidth="1"/>
    <col min="14605" max="14606" width="10.625" style="1406" customWidth="1"/>
    <col min="14607" max="14607" width="16" style="1406" customWidth="1"/>
    <col min="14608" max="14608" width="14.375" style="1406" customWidth="1"/>
    <col min="14609" max="14609" width="6.25" style="1406" customWidth="1"/>
    <col min="14610" max="14610" width="7.875" style="1406" customWidth="1"/>
    <col min="14611" max="14848" width="9" style="1406"/>
    <col min="14849" max="14849" width="58.25" style="1406" customWidth="1"/>
    <col min="14850" max="14850" width="6.25" style="1406" customWidth="1"/>
    <col min="14851" max="14851" width="7.875" style="1406" customWidth="1"/>
    <col min="14852" max="14853" width="13.875" style="1406" customWidth="1"/>
    <col min="14854" max="14854" width="15.375" style="1406" customWidth="1"/>
    <col min="14855" max="14857" width="7.875" style="1406" customWidth="1"/>
    <col min="14858" max="14859" width="9" style="1406" customWidth="1"/>
    <col min="14860" max="14860" width="27.75" style="1406" customWidth="1"/>
    <col min="14861" max="14862" width="10.625" style="1406" customWidth="1"/>
    <col min="14863" max="14863" width="16" style="1406" customWidth="1"/>
    <col min="14864" max="14864" width="14.375" style="1406" customWidth="1"/>
    <col min="14865" max="14865" width="6.25" style="1406" customWidth="1"/>
    <col min="14866" max="14866" width="7.875" style="1406" customWidth="1"/>
    <col min="14867" max="15104" width="9" style="1406"/>
    <col min="15105" max="15105" width="58.25" style="1406" customWidth="1"/>
    <col min="15106" max="15106" width="6.25" style="1406" customWidth="1"/>
    <col min="15107" max="15107" width="7.875" style="1406" customWidth="1"/>
    <col min="15108" max="15109" width="13.875" style="1406" customWidth="1"/>
    <col min="15110" max="15110" width="15.375" style="1406" customWidth="1"/>
    <col min="15111" max="15113" width="7.875" style="1406" customWidth="1"/>
    <col min="15114" max="15115" width="9" style="1406" customWidth="1"/>
    <col min="15116" max="15116" width="27.75" style="1406" customWidth="1"/>
    <col min="15117" max="15118" width="10.625" style="1406" customWidth="1"/>
    <col min="15119" max="15119" width="16" style="1406" customWidth="1"/>
    <col min="15120" max="15120" width="14.375" style="1406" customWidth="1"/>
    <col min="15121" max="15121" width="6.25" style="1406" customWidth="1"/>
    <col min="15122" max="15122" width="7.875" style="1406" customWidth="1"/>
    <col min="15123" max="15360" width="9" style="1406"/>
    <col min="15361" max="15361" width="58.25" style="1406" customWidth="1"/>
    <col min="15362" max="15362" width="6.25" style="1406" customWidth="1"/>
    <col min="15363" max="15363" width="7.875" style="1406" customWidth="1"/>
    <col min="15364" max="15365" width="13.875" style="1406" customWidth="1"/>
    <col min="15366" max="15366" width="15.375" style="1406" customWidth="1"/>
    <col min="15367" max="15369" width="7.875" style="1406" customWidth="1"/>
    <col min="15370" max="15371" width="9" style="1406" customWidth="1"/>
    <col min="15372" max="15372" width="27.75" style="1406" customWidth="1"/>
    <col min="15373" max="15374" width="10.625" style="1406" customWidth="1"/>
    <col min="15375" max="15375" width="16" style="1406" customWidth="1"/>
    <col min="15376" max="15376" width="14.375" style="1406" customWidth="1"/>
    <col min="15377" max="15377" width="6.25" style="1406" customWidth="1"/>
    <col min="15378" max="15378" width="7.875" style="1406" customWidth="1"/>
    <col min="15379" max="15616" width="9" style="1406"/>
    <col min="15617" max="15617" width="58.25" style="1406" customWidth="1"/>
    <col min="15618" max="15618" width="6.25" style="1406" customWidth="1"/>
    <col min="15619" max="15619" width="7.875" style="1406" customWidth="1"/>
    <col min="15620" max="15621" width="13.875" style="1406" customWidth="1"/>
    <col min="15622" max="15622" width="15.375" style="1406" customWidth="1"/>
    <col min="15623" max="15625" width="7.875" style="1406" customWidth="1"/>
    <col min="15626" max="15627" width="9" style="1406" customWidth="1"/>
    <col min="15628" max="15628" width="27.75" style="1406" customWidth="1"/>
    <col min="15629" max="15630" width="10.625" style="1406" customWidth="1"/>
    <col min="15631" max="15631" width="16" style="1406" customWidth="1"/>
    <col min="15632" max="15632" width="14.375" style="1406" customWidth="1"/>
    <col min="15633" max="15633" width="6.25" style="1406" customWidth="1"/>
    <col min="15634" max="15634" width="7.875" style="1406" customWidth="1"/>
    <col min="15635" max="15872" width="9" style="1406"/>
    <col min="15873" max="15873" width="58.25" style="1406" customWidth="1"/>
    <col min="15874" max="15874" width="6.25" style="1406" customWidth="1"/>
    <col min="15875" max="15875" width="7.875" style="1406" customWidth="1"/>
    <col min="15876" max="15877" width="13.875" style="1406" customWidth="1"/>
    <col min="15878" max="15878" width="15.375" style="1406" customWidth="1"/>
    <col min="15879" max="15881" width="7.875" style="1406" customWidth="1"/>
    <col min="15882" max="15883" width="9" style="1406" customWidth="1"/>
    <col min="15884" max="15884" width="27.75" style="1406" customWidth="1"/>
    <col min="15885" max="15886" width="10.625" style="1406" customWidth="1"/>
    <col min="15887" max="15887" width="16" style="1406" customWidth="1"/>
    <col min="15888" max="15888" width="14.375" style="1406" customWidth="1"/>
    <col min="15889" max="15889" width="6.25" style="1406" customWidth="1"/>
    <col min="15890" max="15890" width="7.875" style="1406" customWidth="1"/>
    <col min="15891" max="16128" width="9" style="1406"/>
    <col min="16129" max="16129" width="58.25" style="1406" customWidth="1"/>
    <col min="16130" max="16130" width="6.25" style="1406" customWidth="1"/>
    <col min="16131" max="16131" width="7.875" style="1406" customWidth="1"/>
    <col min="16132" max="16133" width="13.875" style="1406" customWidth="1"/>
    <col min="16134" max="16134" width="15.375" style="1406" customWidth="1"/>
    <col min="16135" max="16137" width="7.875" style="1406" customWidth="1"/>
    <col min="16138" max="16139" width="9" style="1406" customWidth="1"/>
    <col min="16140" max="16140" width="27.75" style="1406" customWidth="1"/>
    <col min="16141" max="16142" width="10.625" style="1406" customWidth="1"/>
    <col min="16143" max="16143" width="16" style="1406" customWidth="1"/>
    <col min="16144" max="16144" width="14.375" style="1406" customWidth="1"/>
    <col min="16145" max="16145" width="6.25" style="1406" customWidth="1"/>
    <col min="16146" max="16146" width="7.875" style="1406" customWidth="1"/>
    <col min="16147" max="16384" width="9" style="1406"/>
  </cols>
  <sheetData>
    <row r="1" spans="1:19">
      <c r="A1" s="1406" t="s">
        <v>3098</v>
      </c>
      <c r="B1" s="1406" t="s">
        <v>3099</v>
      </c>
      <c r="C1" s="1406" t="s">
        <v>3100</v>
      </c>
      <c r="D1" s="1406" t="s">
        <v>3101</v>
      </c>
      <c r="E1" s="1406" t="s">
        <v>3102</v>
      </c>
      <c r="F1" s="1406" t="s">
        <v>3103</v>
      </c>
      <c r="G1" s="1406" t="s">
        <v>3104</v>
      </c>
      <c r="H1" s="1406" t="s">
        <v>3105</v>
      </c>
      <c r="I1" s="1406" t="s">
        <v>3106</v>
      </c>
      <c r="J1" s="1406" t="s">
        <v>3107</v>
      </c>
      <c r="K1" s="1406" t="s">
        <v>3108</v>
      </c>
      <c r="L1" s="1406" t="s">
        <v>3109</v>
      </c>
      <c r="M1" s="1406" t="s">
        <v>3110</v>
      </c>
      <c r="N1" s="1406" t="s">
        <v>3111</v>
      </c>
      <c r="O1" s="1406" t="s">
        <v>3112</v>
      </c>
      <c r="P1" s="1406" t="s">
        <v>3113</v>
      </c>
      <c r="Q1" s="1406" t="s">
        <v>3114</v>
      </c>
      <c r="R1" s="1406" t="s">
        <v>3115</v>
      </c>
    </row>
    <row r="2" spans="1:19" s="3062" customFormat="1">
      <c r="A2" s="3062" t="s">
        <v>3116</v>
      </c>
      <c r="B2" s="3062" t="s">
        <v>3117</v>
      </c>
      <c r="C2" s="3062" t="s">
        <v>3118</v>
      </c>
      <c r="D2" s="3062">
        <v>5323</v>
      </c>
      <c r="E2" s="3062">
        <v>5323</v>
      </c>
      <c r="F2" s="3062" t="s">
        <v>3119</v>
      </c>
      <c r="G2" s="3062" t="s">
        <v>3120</v>
      </c>
      <c r="H2" s="3062" t="s">
        <v>3118</v>
      </c>
      <c r="I2" s="3062">
        <v>0</v>
      </c>
      <c r="J2" s="3062" t="s">
        <v>3121</v>
      </c>
      <c r="K2" s="3062" t="s">
        <v>3121</v>
      </c>
      <c r="L2" s="3062" t="s">
        <v>3122</v>
      </c>
      <c r="M2" s="3062">
        <v>95.81</v>
      </c>
      <c r="N2" s="3062">
        <v>95.81</v>
      </c>
      <c r="O2" s="3062">
        <v>12</v>
      </c>
      <c r="P2" s="3062">
        <v>179.99</v>
      </c>
      <c r="Q2" s="3062">
        <v>0</v>
      </c>
      <c r="R2" s="3062" t="s">
        <v>3123</v>
      </c>
      <c r="S2" s="3062">
        <f>ROUND(N2/D2*10000,0)</f>
        <v>180</v>
      </c>
    </row>
    <row r="3" spans="1:19" s="3062" customFormat="1">
      <c r="A3" s="3062" t="s">
        <v>3124</v>
      </c>
      <c r="B3" s="3062" t="s">
        <v>3117</v>
      </c>
      <c r="C3" s="3062" t="s">
        <v>3118</v>
      </c>
      <c r="D3" s="3062">
        <v>8830</v>
      </c>
      <c r="E3" s="3062">
        <v>5298</v>
      </c>
      <c r="F3" s="3062" t="s">
        <v>3125</v>
      </c>
      <c r="G3" s="3062" t="s">
        <v>3120</v>
      </c>
      <c r="H3" s="3062" t="s">
        <v>3126</v>
      </c>
      <c r="I3" s="3062">
        <v>0</v>
      </c>
      <c r="J3" s="3062" t="s">
        <v>3127</v>
      </c>
      <c r="K3" s="3062" t="s">
        <v>3127</v>
      </c>
      <c r="L3" s="3062" t="s">
        <v>3128</v>
      </c>
      <c r="M3" s="3062">
        <v>176.59</v>
      </c>
      <c r="N3" s="3062">
        <v>176.59</v>
      </c>
      <c r="O3" s="3062">
        <v>13.33</v>
      </c>
      <c r="P3" s="3062">
        <v>333.32</v>
      </c>
      <c r="Q3" s="3062">
        <v>0</v>
      </c>
      <c r="R3" s="3062" t="s">
        <v>3123</v>
      </c>
      <c r="S3" s="3062">
        <f t="shared" ref="S3:S16" si="0">ROUND(N3/D3*10000,0)</f>
        <v>200</v>
      </c>
    </row>
    <row r="4" spans="1:19" s="3062" customFormat="1">
      <c r="A4" s="3062" t="s">
        <v>3129</v>
      </c>
      <c r="B4" s="3062" t="s">
        <v>3117</v>
      </c>
      <c r="C4" s="3062" t="s">
        <v>3118</v>
      </c>
      <c r="D4" s="3062">
        <v>2450</v>
      </c>
      <c r="E4" s="3062">
        <v>2450</v>
      </c>
      <c r="F4" s="3062" t="s">
        <v>3130</v>
      </c>
      <c r="G4" s="3062" t="s">
        <v>3120</v>
      </c>
      <c r="H4" s="3062" t="s">
        <v>3118</v>
      </c>
      <c r="I4" s="3062">
        <v>0</v>
      </c>
      <c r="J4" s="3062" t="s">
        <v>3131</v>
      </c>
      <c r="K4" s="3062" t="s">
        <v>3131</v>
      </c>
      <c r="L4" s="3062" t="s">
        <v>3132</v>
      </c>
      <c r="M4" s="3062">
        <v>49</v>
      </c>
      <c r="N4" s="3062">
        <v>49</v>
      </c>
      <c r="O4" s="3062">
        <v>13.33</v>
      </c>
      <c r="P4" s="3062">
        <v>200</v>
      </c>
      <c r="Q4" s="3062">
        <v>0</v>
      </c>
      <c r="R4" s="3062" t="s">
        <v>3123</v>
      </c>
      <c r="S4" s="3062">
        <f t="shared" si="0"/>
        <v>200</v>
      </c>
    </row>
    <row r="5" spans="1:19">
      <c r="A5" s="1406" t="s">
        <v>3133</v>
      </c>
      <c r="B5" s="1406" t="s">
        <v>3117</v>
      </c>
      <c r="C5" s="1406" t="s">
        <v>3118</v>
      </c>
      <c r="D5" s="1406">
        <v>35963</v>
      </c>
      <c r="E5" s="1406">
        <v>35963</v>
      </c>
      <c r="F5" s="1406" t="s">
        <v>3119</v>
      </c>
      <c r="G5" s="1406" t="s">
        <v>3120</v>
      </c>
      <c r="H5" s="1406" t="s">
        <v>3118</v>
      </c>
      <c r="I5" s="1406">
        <v>0</v>
      </c>
      <c r="J5" s="1406" t="s">
        <v>3134</v>
      </c>
      <c r="K5" s="1406" t="s">
        <v>3134</v>
      </c>
      <c r="L5" s="1406" t="s">
        <v>3135</v>
      </c>
      <c r="M5" s="1406">
        <v>863.11</v>
      </c>
      <c r="N5" s="1406">
        <v>863.11</v>
      </c>
      <c r="O5" s="1406">
        <v>16</v>
      </c>
      <c r="P5" s="1406">
        <v>240</v>
      </c>
      <c r="Q5" s="1406">
        <v>0</v>
      </c>
      <c r="R5" s="1406" t="s">
        <v>3123</v>
      </c>
      <c r="S5" s="1406">
        <f t="shared" si="0"/>
        <v>240</v>
      </c>
    </row>
    <row r="6" spans="1:19">
      <c r="A6" s="1406" t="s">
        <v>3136</v>
      </c>
      <c r="B6" s="1406" t="s">
        <v>3117</v>
      </c>
      <c r="C6" s="1406" t="s">
        <v>3118</v>
      </c>
      <c r="D6" s="1406">
        <v>6287</v>
      </c>
      <c r="E6" s="1406">
        <v>6287</v>
      </c>
      <c r="F6" s="1406" t="s">
        <v>3130</v>
      </c>
      <c r="G6" s="1406" t="s">
        <v>3120</v>
      </c>
      <c r="H6" s="1406" t="s">
        <v>3118</v>
      </c>
      <c r="I6" s="1406">
        <v>0</v>
      </c>
      <c r="J6" s="1406" t="s">
        <v>3137</v>
      </c>
      <c r="K6" s="1406" t="s">
        <v>3137</v>
      </c>
      <c r="L6" s="1406" t="s">
        <v>3138</v>
      </c>
      <c r="M6" s="1406">
        <v>125.73</v>
      </c>
      <c r="N6" s="1406">
        <v>125.73</v>
      </c>
      <c r="O6" s="1406">
        <v>13.33</v>
      </c>
      <c r="P6" s="1406">
        <v>200</v>
      </c>
      <c r="Q6" s="1406">
        <v>0</v>
      </c>
      <c r="R6" s="1406" t="s">
        <v>3123</v>
      </c>
      <c r="S6" s="1406">
        <f t="shared" si="0"/>
        <v>200</v>
      </c>
    </row>
    <row r="7" spans="1:19">
      <c r="A7" s="1406" t="s">
        <v>3139</v>
      </c>
      <c r="B7" s="1406" t="s">
        <v>3117</v>
      </c>
      <c r="C7" s="1406" t="s">
        <v>3118</v>
      </c>
      <c r="D7" s="1406">
        <v>7358</v>
      </c>
      <c r="E7" s="1406">
        <v>12508.6</v>
      </c>
      <c r="F7" s="1406" t="s">
        <v>3140</v>
      </c>
      <c r="G7" s="1406" t="s">
        <v>3120</v>
      </c>
      <c r="H7" s="1406" t="s">
        <v>3118</v>
      </c>
      <c r="I7" s="1406">
        <v>0</v>
      </c>
      <c r="J7" s="1406" t="s">
        <v>3141</v>
      </c>
      <c r="K7" s="1406" t="s">
        <v>3141</v>
      </c>
      <c r="L7" s="1406" t="s">
        <v>3142</v>
      </c>
      <c r="M7" s="1406">
        <v>125.09</v>
      </c>
      <c r="N7" s="1406">
        <v>125.09</v>
      </c>
      <c r="O7" s="1406">
        <v>11.33</v>
      </c>
      <c r="P7" s="1406">
        <v>100</v>
      </c>
      <c r="Q7" s="1406">
        <v>0</v>
      </c>
      <c r="R7" s="1406" t="s">
        <v>3123</v>
      </c>
      <c r="S7" s="1406">
        <f t="shared" si="0"/>
        <v>170</v>
      </c>
    </row>
    <row r="8" spans="1:19">
      <c r="A8" s="1406" t="s">
        <v>3143</v>
      </c>
      <c r="B8" s="1406" t="s">
        <v>3117</v>
      </c>
      <c r="C8" s="1406" t="s">
        <v>3118</v>
      </c>
      <c r="D8" s="1406">
        <v>95999</v>
      </c>
      <c r="E8" s="1406">
        <v>67199.3</v>
      </c>
      <c r="F8" s="1406" t="s">
        <v>3144</v>
      </c>
      <c r="G8" s="1406" t="s">
        <v>3120</v>
      </c>
      <c r="H8" s="1406" t="s">
        <v>3118</v>
      </c>
      <c r="I8" s="1406">
        <v>0</v>
      </c>
      <c r="J8" s="1406" t="s">
        <v>3145</v>
      </c>
      <c r="K8" s="1406" t="s">
        <v>3145</v>
      </c>
      <c r="L8" s="1406" t="s">
        <v>3146</v>
      </c>
      <c r="M8" s="1406">
        <v>1727.98</v>
      </c>
      <c r="N8" s="1406">
        <v>1727.98</v>
      </c>
      <c r="O8" s="1406">
        <v>12</v>
      </c>
      <c r="P8" s="1406">
        <v>257.13</v>
      </c>
      <c r="Q8" s="1406">
        <v>0</v>
      </c>
      <c r="R8" s="1406" t="s">
        <v>3123</v>
      </c>
      <c r="S8" s="1406">
        <f t="shared" si="0"/>
        <v>180</v>
      </c>
    </row>
    <row r="9" spans="1:19">
      <c r="A9" s="1406" t="s">
        <v>3147</v>
      </c>
      <c r="B9" s="1406" t="s">
        <v>3117</v>
      </c>
      <c r="C9" s="1406" t="s">
        <v>3118</v>
      </c>
      <c r="D9" s="1406">
        <v>8296</v>
      </c>
      <c r="E9" s="1406">
        <v>6636.8</v>
      </c>
      <c r="F9" s="1406" t="s">
        <v>3148</v>
      </c>
      <c r="G9" s="1406" t="s">
        <v>3120</v>
      </c>
      <c r="H9" s="1406" t="s">
        <v>3118</v>
      </c>
      <c r="I9" s="1406">
        <v>0</v>
      </c>
      <c r="J9" s="1406" t="s">
        <v>3149</v>
      </c>
      <c r="K9" s="1406" t="s">
        <v>3149</v>
      </c>
      <c r="L9" s="1406" t="s">
        <v>3150</v>
      </c>
      <c r="M9" s="1406">
        <v>165.91</v>
      </c>
      <c r="N9" s="1406">
        <v>165.91</v>
      </c>
      <c r="O9" s="1406">
        <v>13.33</v>
      </c>
      <c r="P9" s="1406">
        <v>250</v>
      </c>
      <c r="Q9" s="1406">
        <v>0</v>
      </c>
      <c r="R9" s="1406" t="s">
        <v>3123</v>
      </c>
      <c r="S9" s="1406">
        <f t="shared" si="0"/>
        <v>200</v>
      </c>
    </row>
    <row r="10" spans="1:19">
      <c r="A10" s="1406" t="s">
        <v>3151</v>
      </c>
      <c r="B10" s="1406" t="s">
        <v>3117</v>
      </c>
      <c r="C10" s="1406" t="s">
        <v>3118</v>
      </c>
      <c r="D10" s="1406">
        <v>2598</v>
      </c>
      <c r="E10" s="1406">
        <v>2598</v>
      </c>
      <c r="F10" s="1406" t="s">
        <v>3130</v>
      </c>
      <c r="G10" s="1406" t="s">
        <v>3120</v>
      </c>
      <c r="H10" s="1406" t="s">
        <v>3118</v>
      </c>
      <c r="I10" s="1406">
        <v>0</v>
      </c>
      <c r="J10" s="1406" t="s">
        <v>3152</v>
      </c>
      <c r="K10" s="1406" t="s">
        <v>3152</v>
      </c>
      <c r="L10" s="1406" t="s">
        <v>3153</v>
      </c>
      <c r="M10" s="1406">
        <v>41.57</v>
      </c>
      <c r="N10" s="1406">
        <v>41.57</v>
      </c>
      <c r="O10" s="1406">
        <v>10.67</v>
      </c>
      <c r="P10" s="1406">
        <v>160</v>
      </c>
      <c r="Q10" s="1406">
        <v>0</v>
      </c>
      <c r="R10" s="1406" t="s">
        <v>3123</v>
      </c>
      <c r="S10" s="1406">
        <f t="shared" si="0"/>
        <v>160</v>
      </c>
    </row>
    <row r="11" spans="1:19">
      <c r="A11" s="1406" t="s">
        <v>3147</v>
      </c>
      <c r="B11" s="1406" t="s">
        <v>3117</v>
      </c>
      <c r="C11" s="1406" t="s">
        <v>3118</v>
      </c>
      <c r="D11" s="1406">
        <v>13726</v>
      </c>
      <c r="E11" s="1406">
        <v>10980.8</v>
      </c>
      <c r="F11" s="1406" t="s">
        <v>3148</v>
      </c>
      <c r="G11" s="1406" t="s">
        <v>3120</v>
      </c>
      <c r="H11" s="1406" t="s">
        <v>3118</v>
      </c>
      <c r="I11" s="1406">
        <v>0</v>
      </c>
      <c r="J11" s="1406" t="s">
        <v>3154</v>
      </c>
      <c r="K11" s="1406" t="s">
        <v>3154</v>
      </c>
      <c r="L11" s="1406" t="s">
        <v>3150</v>
      </c>
      <c r="M11" s="1406">
        <v>247.06</v>
      </c>
      <c r="N11" s="1406">
        <v>247.06</v>
      </c>
      <c r="O11" s="1406">
        <v>12</v>
      </c>
      <c r="P11" s="1406">
        <v>225</v>
      </c>
      <c r="Q11" s="1406">
        <v>0</v>
      </c>
      <c r="R11" s="1406" t="s">
        <v>3123</v>
      </c>
      <c r="S11" s="1406">
        <f t="shared" si="0"/>
        <v>180</v>
      </c>
    </row>
    <row r="12" spans="1:19">
      <c r="A12" s="1406" t="s">
        <v>3147</v>
      </c>
      <c r="B12" s="1406" t="s">
        <v>3117</v>
      </c>
      <c r="C12" s="1406" t="s">
        <v>3118</v>
      </c>
      <c r="D12" s="1406">
        <v>11315.37</v>
      </c>
      <c r="E12" s="1406">
        <v>9052.2999999999993</v>
      </c>
      <c r="F12" s="1406" t="s">
        <v>3148</v>
      </c>
      <c r="G12" s="1406" t="s">
        <v>3120</v>
      </c>
      <c r="H12" s="1406" t="s">
        <v>3118</v>
      </c>
      <c r="I12" s="1406">
        <v>0</v>
      </c>
      <c r="J12" s="1406" t="s">
        <v>3154</v>
      </c>
      <c r="K12" s="1406" t="s">
        <v>3154</v>
      </c>
      <c r="L12" s="1406" t="s">
        <v>3150</v>
      </c>
      <c r="M12" s="1406">
        <v>203.68</v>
      </c>
      <c r="N12" s="1406">
        <v>203.68</v>
      </c>
      <c r="O12" s="1406">
        <v>12</v>
      </c>
      <c r="P12" s="1406">
        <v>225</v>
      </c>
      <c r="Q12" s="1406">
        <v>0</v>
      </c>
      <c r="R12" s="1406" t="s">
        <v>3123</v>
      </c>
      <c r="S12" s="1406">
        <f t="shared" si="0"/>
        <v>180</v>
      </c>
    </row>
    <row r="13" spans="1:19">
      <c r="A13" s="1406" t="s">
        <v>3155</v>
      </c>
      <c r="B13" s="1406" t="s">
        <v>3117</v>
      </c>
      <c r="C13" s="1406" t="s">
        <v>3118</v>
      </c>
      <c r="D13" s="1406">
        <v>12734</v>
      </c>
      <c r="E13" s="1406">
        <v>8913.7999999999993</v>
      </c>
      <c r="F13" s="1406" t="s">
        <v>3156</v>
      </c>
      <c r="G13" s="1406" t="s">
        <v>3120</v>
      </c>
      <c r="H13" s="1406" t="s">
        <v>3118</v>
      </c>
      <c r="I13" s="1406">
        <v>0</v>
      </c>
      <c r="J13" s="1406" t="s">
        <v>3154</v>
      </c>
      <c r="K13" s="1406" t="s">
        <v>3154</v>
      </c>
      <c r="L13" s="1406" t="s">
        <v>3157</v>
      </c>
      <c r="M13" s="1406">
        <v>269</v>
      </c>
      <c r="N13" s="1406">
        <v>269</v>
      </c>
      <c r="O13" s="1406">
        <v>14.08</v>
      </c>
      <c r="P13" s="1406">
        <v>301.77</v>
      </c>
      <c r="Q13" s="1406">
        <v>0</v>
      </c>
      <c r="R13" s="1406" t="s">
        <v>3123</v>
      </c>
      <c r="S13" s="1406">
        <f t="shared" si="0"/>
        <v>211</v>
      </c>
    </row>
    <row r="14" spans="1:19">
      <c r="A14" s="1406" t="s">
        <v>3151</v>
      </c>
      <c r="B14" s="1406" t="s">
        <v>3117</v>
      </c>
      <c r="C14" s="1406" t="s">
        <v>3118</v>
      </c>
      <c r="D14" s="1406">
        <v>2598</v>
      </c>
      <c r="E14" s="1406">
        <v>2598</v>
      </c>
      <c r="F14" s="1406" t="s">
        <v>3130</v>
      </c>
      <c r="G14" s="1406" t="s">
        <v>3120</v>
      </c>
      <c r="H14" s="1406" t="s">
        <v>3118</v>
      </c>
      <c r="I14" s="1406">
        <v>0</v>
      </c>
      <c r="J14" s="1406" t="s">
        <v>3158</v>
      </c>
      <c r="K14" s="1406" t="s">
        <v>3158</v>
      </c>
      <c r="L14" s="1406" t="s">
        <v>3153</v>
      </c>
      <c r="M14" s="1406">
        <v>41.57</v>
      </c>
      <c r="N14" s="1406">
        <v>41.57</v>
      </c>
      <c r="O14" s="1406">
        <v>10.67</v>
      </c>
      <c r="P14" s="1406">
        <v>160</v>
      </c>
      <c r="Q14" s="1406">
        <v>0</v>
      </c>
      <c r="R14" s="1406" t="s">
        <v>3123</v>
      </c>
      <c r="S14" s="1406">
        <f t="shared" si="0"/>
        <v>160</v>
      </c>
    </row>
    <row r="15" spans="1:19">
      <c r="A15" s="1406" t="s">
        <v>3147</v>
      </c>
      <c r="B15" s="1406" t="s">
        <v>3117</v>
      </c>
      <c r="C15" s="1406" t="s">
        <v>3118</v>
      </c>
      <c r="D15" s="1406">
        <v>13726</v>
      </c>
      <c r="E15" s="1406">
        <v>10980.8</v>
      </c>
      <c r="F15" s="1406" t="s">
        <v>3148</v>
      </c>
      <c r="G15" s="1406" t="s">
        <v>3120</v>
      </c>
      <c r="H15" s="1406" t="s">
        <v>3118</v>
      </c>
      <c r="I15" s="1406">
        <v>0</v>
      </c>
      <c r="J15" s="1406" t="s">
        <v>3159</v>
      </c>
      <c r="K15" s="1406" t="s">
        <v>3159</v>
      </c>
      <c r="L15" s="1406" t="s">
        <v>3150</v>
      </c>
      <c r="M15" s="1406">
        <v>247.06</v>
      </c>
      <c r="N15" s="1406">
        <v>247.06</v>
      </c>
      <c r="O15" s="1406">
        <v>12</v>
      </c>
      <c r="P15" s="1406">
        <v>225</v>
      </c>
      <c r="Q15" s="1406">
        <v>0</v>
      </c>
      <c r="R15" s="1406" t="s">
        <v>3123</v>
      </c>
      <c r="S15" s="1406">
        <f t="shared" si="0"/>
        <v>180</v>
      </c>
    </row>
    <row r="16" spans="1:19">
      <c r="A16" s="1406" t="s">
        <v>3147</v>
      </c>
      <c r="B16" s="1406" t="s">
        <v>3117</v>
      </c>
      <c r="C16" s="1406" t="s">
        <v>3118</v>
      </c>
      <c r="D16" s="1406">
        <v>11315.37</v>
      </c>
      <c r="E16" s="1406">
        <v>9052.2999999999993</v>
      </c>
      <c r="F16" s="1406" t="s">
        <v>3148</v>
      </c>
      <c r="G16" s="1406" t="s">
        <v>3120</v>
      </c>
      <c r="H16" s="1406" t="s">
        <v>3118</v>
      </c>
      <c r="I16" s="1406">
        <v>0</v>
      </c>
      <c r="J16" s="1406" t="s">
        <v>3159</v>
      </c>
      <c r="K16" s="1406" t="s">
        <v>3159</v>
      </c>
      <c r="L16" s="1406" t="s">
        <v>3150</v>
      </c>
      <c r="M16" s="1406">
        <v>203.68</v>
      </c>
      <c r="N16" s="1406">
        <v>203.68</v>
      </c>
      <c r="O16" s="1406">
        <v>12</v>
      </c>
      <c r="P16" s="1406">
        <v>225</v>
      </c>
      <c r="Q16" s="1406">
        <v>0</v>
      </c>
      <c r="R16" s="1406" t="s">
        <v>3123</v>
      </c>
      <c r="S16" s="1406">
        <f t="shared" si="0"/>
        <v>180</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32" sqref="M32"/>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2"/>
      <c r="F1" s="3032"/>
      <c r="G1" s="2895"/>
      <c r="H1" s="3032"/>
      <c r="I1" s="3032"/>
      <c r="J1" s="3032"/>
      <c r="K1" s="3033">
        <f>MATCH(C1,'数据-取费表'!A6:A16,0)+5</f>
        <v>7</v>
      </c>
    </row>
    <row r="2" spans="1:33" ht="18" customHeight="1">
      <c r="A2" s="206" t="s">
        <v>2148</v>
      </c>
      <c r="B2" s="209">
        <f ca="1">C32</f>
        <v>486</v>
      </c>
      <c r="C2" s="281" t="s">
        <v>2281</v>
      </c>
      <c r="D2" s="281"/>
      <c r="E2" s="3032"/>
      <c r="F2" s="3032"/>
      <c r="G2" s="3032"/>
      <c r="H2" s="3032"/>
      <c r="I2" s="3032"/>
      <c r="J2" s="3032"/>
      <c r="K2" s="3032"/>
    </row>
    <row r="3" spans="1:33" ht="18" customHeight="1" thickBot="1">
      <c r="A3" s="208" t="s">
        <v>2150</v>
      </c>
      <c r="B3" s="209">
        <f ca="1">ROUND(B2*10000/IF(C1="",'数据-汇总表'!E3,INDIRECT("'数据-取费表'!K"&amp;$K$1)),0)</f>
        <v>139</v>
      </c>
      <c r="C3" s="281" t="s">
        <v>2282</v>
      </c>
      <c r="D3" s="281"/>
      <c r="E3" s="3032"/>
      <c r="F3" s="3032"/>
      <c r="G3" s="3032"/>
      <c r="H3" s="3032"/>
      <c r="I3" s="3032"/>
      <c r="J3" s="3032"/>
      <c r="K3" s="3032"/>
    </row>
    <row r="4" spans="1:33" s="892" customFormat="1" ht="16.5" customHeight="1">
      <c r="A4" s="889" t="s">
        <v>2283</v>
      </c>
      <c r="B4" s="890"/>
      <c r="C4" s="932">
        <f ca="1">SUM(C8:K8)</f>
        <v>4631</v>
      </c>
      <c r="D4" s="890"/>
      <c r="E4" s="890"/>
      <c r="F4" s="890"/>
      <c r="G4" s="890"/>
      <c r="H4" s="890"/>
      <c r="I4" s="890"/>
      <c r="J4" s="890"/>
      <c r="K4" s="891"/>
    </row>
    <row r="5" spans="1:33" s="896" customFormat="1" ht="15">
      <c r="A5" s="893" t="s">
        <v>2284</v>
      </c>
      <c r="B5" s="894" t="s">
        <v>2285</v>
      </c>
      <c r="C5" s="2045" t="s">
        <v>3177</v>
      </c>
      <c r="D5" s="2045"/>
      <c r="E5" s="2045"/>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f ca="1">收益法!C43</f>
        <v>1327</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34910.400000000001</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2289</v>
      </c>
      <c r="B8" s="168" t="s">
        <v>2290</v>
      </c>
      <c r="C8" s="933">
        <f ca="1">收益法!C40</f>
        <v>4631</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3491</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105</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34910.400000000001</v>
      </c>
      <c r="E14" s="24">
        <f>'数据-取费表'!B35</f>
        <v>150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52</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3648</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34910.400000000001</v>
      </c>
      <c r="E17" s="24">
        <f>'数据-取费表'!B32</f>
        <v>0</v>
      </c>
      <c r="F17" s="914"/>
      <c r="G17" s="135" t="s">
        <v>2309</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0</v>
      </c>
      <c r="D18" s="954"/>
      <c r="E18" s="24"/>
      <c r="F18" s="912"/>
      <c r="G18" s="2047"/>
      <c r="H18" s="1348"/>
      <c r="I18" s="2048"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2313</v>
      </c>
      <c r="C20" s="24">
        <f ca="1">ROUND(D20*E20/10000,0)</f>
        <v>0</v>
      </c>
      <c r="D20" s="954">
        <f ca="1">IF(C1="",'数据-汇总表'!E6,IF(INDIRECT("'数据-取费表'!c"&amp;$K$1)="住宅",INDIRECT("'数据-取费表'!s"&amp;$K$1),INDIRECT("'数据-取费表'!k"&amp;$K$1)+INDIRECT("'数据-取费表'!s"&amp;$K$1)))</f>
        <v>34910.400000000001</v>
      </c>
      <c r="E20" s="24">
        <f>'数据-取费表'!B28</f>
        <v>0</v>
      </c>
      <c r="F20" s="912"/>
      <c r="G20" s="15"/>
      <c r="H20" s="917"/>
      <c r="I20" s="917"/>
      <c r="J20" s="917"/>
      <c r="K20" s="918"/>
    </row>
    <row r="21" spans="1:33" s="911" customFormat="1" ht="13.5" customHeight="1">
      <c r="A21" s="897" t="s">
        <v>802</v>
      </c>
      <c r="B21" s="921" t="s">
        <v>2314</v>
      </c>
      <c r="C21" s="922">
        <f ca="1">C16+C17+C18</f>
        <v>3648</v>
      </c>
      <c r="D21" s="923"/>
      <c r="E21" s="286"/>
      <c r="F21" s="286"/>
      <c r="G21" s="135" t="s">
        <v>2315</v>
      </c>
      <c r="H21" s="915"/>
      <c r="I21" s="915"/>
      <c r="J21" s="915"/>
      <c r="K21" s="916"/>
    </row>
    <row r="22" spans="1:33" s="911" customFormat="1" ht="13.5" customHeight="1">
      <c r="A22" s="897" t="s">
        <v>2287</v>
      </c>
      <c r="B22" s="921" t="s">
        <v>2316</v>
      </c>
      <c r="C22" s="922">
        <f ca="1">ROUND(C21*F22,0)</f>
        <v>55</v>
      </c>
      <c r="D22" s="286"/>
      <c r="E22" s="286"/>
      <c r="F22" s="924">
        <f>'数据-取费表'!B37</f>
        <v>1.4999999999999999E-2</v>
      </c>
      <c r="G22" s="8" t="s">
        <v>2317</v>
      </c>
      <c r="H22" s="904"/>
      <c r="I22" s="904"/>
      <c r="J22" s="904"/>
      <c r="K22" s="905"/>
    </row>
    <row r="23" spans="1:33" s="911" customFormat="1" ht="13.5" customHeight="1">
      <c r="A23" s="897" t="s">
        <v>2289</v>
      </c>
      <c r="B23" s="921" t="s">
        <v>2318</v>
      </c>
      <c r="C23" s="922">
        <f ca="1">ROUND(C4*F23*F11,0)</f>
        <v>0</v>
      </c>
      <c r="D23" s="286"/>
      <c r="E23" s="286"/>
      <c r="F23" s="924">
        <f>'数据-取费表'!B38</f>
        <v>1.4999999999999999E-2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5">
        <f ca="1">C27</f>
        <v>0</v>
      </c>
      <c r="D25" s="285">
        <f ca="1">C26</f>
        <v>0</v>
      </c>
      <c r="E25" s="287" t="s">
        <v>15</v>
      </c>
      <c r="F25" s="288">
        <f ca="1">'数据-取费表'!B40</f>
        <v>4.3499999999999997E-2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2325</v>
      </c>
      <c r="C26" s="1266">
        <f ca="1">ROUND(IF('数据-取费表'!B22&lt;=1,(1+C24)*F25*'数据-取费表'!B24,(1+C24)*(POWER((1+F25),'数据-取费表'!B24)-1)),4)</f>
        <v>0</v>
      </c>
      <c r="D26" s="289"/>
      <c r="E26" s="290"/>
      <c r="F26" s="291"/>
      <c r="G26" s="2049"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2326</v>
      </c>
      <c r="C27" s="1267">
        <f ca="1">ROUND(IF('数据-取费表'!B22&lt;=1,(C21+C22+C23)*F25*'数据-取费表'!B24/2,(C21+C22+C23)*(POWER((1+F25),'数据-取费表'!B24/2)-1)),0)</f>
        <v>0</v>
      </c>
      <c r="D27" s="289"/>
      <c r="E27" s="290"/>
      <c r="F27" s="291"/>
      <c r="G27" s="2049" t="str">
        <f>IF('数据-取费表'!B22&lt;=1,"（1）-（3）项×年利率×建设期÷2","（1）-（3）项×((1+年利率)^(建设期÷2)-1)")</f>
        <v>（1）-（3）项×年利率×建设期÷2</v>
      </c>
      <c r="H27" s="915"/>
      <c r="I27" s="915"/>
      <c r="J27" s="915"/>
      <c r="K27" s="916"/>
    </row>
    <row r="28" spans="1:33" s="294" customFormat="1" ht="13.5" customHeight="1">
      <c r="A28" s="897" t="s">
        <v>2327</v>
      </c>
      <c r="B28" s="2050" t="s">
        <v>2328</v>
      </c>
      <c r="C28" s="292">
        <f ca="1">C30</f>
        <v>185</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f ca="1">ROUND((C21+C22+C23)*F28,0)</f>
        <v>185</v>
      </c>
      <c r="D30" s="289"/>
      <c r="E30" s="290"/>
      <c r="F30" s="295"/>
      <c r="G30" s="135"/>
      <c r="H30" s="915"/>
      <c r="I30" s="915"/>
      <c r="J30" s="915"/>
      <c r="K30" s="916"/>
    </row>
    <row r="31" spans="1:33" s="911" customFormat="1" ht="13.5" customHeight="1" thickBot="1">
      <c r="A31" s="2051" t="s">
        <v>2332</v>
      </c>
      <c r="B31" s="941" t="s">
        <v>2333</v>
      </c>
      <c r="C31" s="942">
        <f ca="1">ROUND(C4*F31/(1+'数据-取费表'!C42),0)</f>
        <v>243</v>
      </c>
      <c r="D31" s="943"/>
      <c r="E31" s="944"/>
      <c r="F31" s="945">
        <f>'数据-取费表'!B41</f>
        <v>5.5000000000000007E-2</v>
      </c>
      <c r="G31" s="946" t="s">
        <v>2334</v>
      </c>
      <c r="H31" s="947"/>
      <c r="I31" s="947"/>
      <c r="J31" s="947"/>
      <c r="K31" s="948"/>
    </row>
    <row r="32" spans="1:33" s="906" customFormat="1" ht="13.5" customHeight="1" thickBot="1">
      <c r="A32" s="936" t="s">
        <v>2335</v>
      </c>
      <c r="B32" s="937"/>
      <c r="C32" s="938">
        <f ca="1">ROUND((C4-C21-C22-C23-C25-C28-C31)/(1+C24+D25+D28),0)</f>
        <v>486</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8" sqref="J5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3177</v>
      </c>
      <c r="D1" s="1545" t="s">
        <v>70</v>
      </c>
      <c r="E1" s="1546" t="s">
        <v>1352</v>
      </c>
      <c r="F1" s="1192">
        <f ca="1">J53</f>
        <v>38.340000000000003</v>
      </c>
      <c r="G1" s="1561">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4631</v>
      </c>
      <c r="C2" s="1570" t="s">
        <v>1481</v>
      </c>
      <c r="D2" s="1570"/>
      <c r="E2" s="1571"/>
      <c r="F2" s="1572"/>
      <c r="G2" s="2930"/>
      <c r="H2" s="2919"/>
      <c r="I2" s="2919"/>
      <c r="J2" s="2919"/>
      <c r="K2" s="2920"/>
      <c r="L2" s="2919"/>
      <c r="M2" s="2919"/>
    </row>
    <row r="3" spans="1:37" ht="18" customHeight="1" thickBot="1">
      <c r="A3" s="1573" t="s">
        <v>1482</v>
      </c>
      <c r="B3" s="1574">
        <f ca="1">IF(ISERROR(B2*10000/F43),0,ROUND(B2*10000/F43,0))</f>
        <v>1327</v>
      </c>
      <c r="C3" s="1570" t="s">
        <v>1483</v>
      </c>
      <c r="D3" s="1570"/>
      <c r="E3" s="1571"/>
      <c r="F3" s="1572"/>
      <c r="G3" s="2930"/>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271</v>
      </c>
      <c r="D5" s="1547" t="s">
        <v>1367</v>
      </c>
      <c r="E5" s="1202"/>
      <c r="F5" s="1203"/>
      <c r="G5" s="1567"/>
      <c r="H5" s="304">
        <v>1</v>
      </c>
      <c r="I5" s="305" t="s">
        <v>1366</v>
      </c>
      <c r="J5" s="1201">
        <f ca="1">J6+J10+J12</f>
        <v>0</v>
      </c>
      <c r="K5" s="1547" t="s">
        <v>1367</v>
      </c>
      <c r="L5" s="1202"/>
      <c r="M5" s="1203"/>
    </row>
    <row r="6" spans="1:37" ht="18" customHeight="1">
      <c r="A6" s="1200" t="s">
        <v>1003</v>
      </c>
      <c r="B6" s="3307" t="s">
        <v>1368</v>
      </c>
      <c r="C6" s="1205">
        <f ca="1">ROUND(F6*F8*F7*(1-F9)/10000,0)</f>
        <v>271</v>
      </c>
      <c r="D6" s="159" t="s">
        <v>2847</v>
      </c>
      <c r="E6" s="307" t="s">
        <v>1370</v>
      </c>
      <c r="F6" s="308">
        <f ca="1">INDIRECT("'数据-取费表'!u"&amp;$G$1)</f>
        <v>0.25</v>
      </c>
      <c r="G6" s="1567"/>
      <c r="H6" s="1200" t="s">
        <v>1003</v>
      </c>
      <c r="I6" s="3307" t="s">
        <v>1368</v>
      </c>
      <c r="J6" s="306">
        <f ca="1">ROUND(M6*M8*M7*(1-M9)/10000,0)</f>
        <v>0</v>
      </c>
      <c r="K6" s="159" t="s">
        <v>2846</v>
      </c>
      <c r="L6" s="307" t="s">
        <v>1370</v>
      </c>
      <c r="M6" s="308">
        <f ca="1">INDIRECT("'数据-取费表'!z"&amp;$G$1)</f>
        <v>0</v>
      </c>
    </row>
    <row r="7" spans="1:37" ht="18" customHeight="1">
      <c r="A7" s="1204"/>
      <c r="B7" s="3308"/>
      <c r="C7" s="1206"/>
      <c r="D7" s="312"/>
      <c r="E7" s="1207" t="s">
        <v>1371</v>
      </c>
      <c r="F7" s="308">
        <f ca="1">IF(INDIRECT("'数据-取费表'!ah"&amp;$G$1)="",INDIRECT("'数据-取费表'!k"&amp;$G$1),INDIRECT("'数据-取费表'!ah"&amp;$G$1))</f>
        <v>34910.400000000001</v>
      </c>
      <c r="G7" s="1567"/>
      <c r="H7" s="309"/>
      <c r="I7" s="3308"/>
      <c r="J7" s="311"/>
      <c r="K7" s="312"/>
      <c r="L7" s="307" t="s">
        <v>1371</v>
      </c>
      <c r="M7" s="308">
        <f ca="1">F7</f>
        <v>34910.400000000001</v>
      </c>
    </row>
    <row r="8" spans="1:37" ht="18" customHeight="1">
      <c r="A8" s="309"/>
      <c r="B8" s="3308"/>
      <c r="C8" s="311"/>
      <c r="D8" s="312"/>
      <c r="E8" s="307" t="s">
        <v>1372</v>
      </c>
      <c r="F8" s="308">
        <f ca="1">INDIRECT("'数据-取费表'!ai"&amp;$G$1)</f>
        <v>365</v>
      </c>
      <c r="G8" s="1567"/>
      <c r="H8" s="309"/>
      <c r="I8" s="3308"/>
      <c r="J8" s="311"/>
      <c r="K8" s="312"/>
      <c r="L8" s="307" t="s">
        <v>1372</v>
      </c>
      <c r="M8" s="308">
        <f ca="1">INDIRECT("'数据-取费表'!ai"&amp;$G$1)</f>
        <v>365</v>
      </c>
    </row>
    <row r="9" spans="1:37" ht="18" customHeight="1">
      <c r="A9" s="309"/>
      <c r="B9" s="3309"/>
      <c r="C9" s="311"/>
      <c r="D9" s="312"/>
      <c r="E9" s="307" t="s">
        <v>1373</v>
      </c>
      <c r="F9" s="317">
        <f ca="1">INDIRECT("'数据-取费表'!w"&amp;$G$1)</f>
        <v>0.15</v>
      </c>
      <c r="G9" s="1567"/>
      <c r="H9" s="309"/>
      <c r="I9" s="3309"/>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2855</v>
      </c>
      <c r="E10" s="318" t="s">
        <v>1375</v>
      </c>
      <c r="F10" s="1275" t="s">
        <v>3094</v>
      </c>
      <c r="G10" s="1567"/>
      <c r="H10" s="1200" t="s">
        <v>1007</v>
      </c>
      <c r="I10" s="1548" t="s">
        <v>1374</v>
      </c>
      <c r="J10" s="306">
        <f ca="1">ROUND(IF(M10="押一",J6/12*M11,IF(M10="押二",J6/12*2*M11,IF(M10="押三",J6/12*3*M11,J11*M11))),0)</f>
        <v>0</v>
      </c>
      <c r="K10" s="1549" t="s">
        <v>2854</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3491</v>
      </c>
      <c r="D14" s="1528" t="s">
        <v>1383</v>
      </c>
      <c r="E14" s="1525"/>
      <c r="F14" s="324"/>
      <c r="G14" s="1567"/>
      <c r="H14" s="1112" t="s">
        <v>1003</v>
      </c>
      <c r="I14" s="307" t="s">
        <v>1384</v>
      </c>
      <c r="J14" s="24">
        <f ca="1">C29</f>
        <v>4873</v>
      </c>
      <c r="K14" s="15"/>
      <c r="L14" s="915"/>
      <c r="M14" s="916"/>
    </row>
    <row r="15" spans="1:37" s="1580" customFormat="1" ht="18" customHeight="1" thickBot="1">
      <c r="A15" s="1112" t="s">
        <v>1004</v>
      </c>
      <c r="B15" s="307" t="s">
        <v>1385</v>
      </c>
      <c r="C15" s="24">
        <f ca="1">ROUND(C14*F15,0)</f>
        <v>105</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71</v>
      </c>
      <c r="K16" s="1246" t="s">
        <v>1390</v>
      </c>
      <c r="L16" s="1247"/>
      <c r="M16" s="1203"/>
    </row>
    <row r="17" spans="1:37" s="1580" customFormat="1" ht="18" customHeight="1">
      <c r="A17" s="1112" t="s">
        <v>1355</v>
      </c>
      <c r="B17" s="307" t="s">
        <v>1391</v>
      </c>
      <c r="C17" s="24">
        <f ca="1">ROUND(F17*(F43+INDIRECT("'数据-取费表'!S"&amp;$G$1))/10000,0)</f>
        <v>524</v>
      </c>
      <c r="D17" s="307" t="s">
        <v>1392</v>
      </c>
      <c r="E17" s="307" t="s">
        <v>1393</v>
      </c>
      <c r="F17" s="26">
        <f>'数据-取费表'!B35</f>
        <v>150</v>
      </c>
      <c r="G17" s="1579"/>
      <c r="H17" s="1112" t="s">
        <v>1003</v>
      </c>
      <c r="I17" s="307" t="s">
        <v>1394</v>
      </c>
      <c r="J17" s="2533">
        <f ca="1">ROUND(IF(AND(项目基本情况!B11="自然人",项目基本情况!B10="北京市"),J6*M17/(1+'数据-取费表'!C42),J18+J19+J20),0)</f>
        <v>47</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52</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4172</v>
      </c>
      <c r="D19" s="135" t="s">
        <v>1401</v>
      </c>
      <c r="E19" s="1543"/>
      <c r="F19" s="26"/>
      <c r="G19" s="1567"/>
      <c r="H19" s="1112" t="s">
        <v>1004</v>
      </c>
      <c r="I19" s="307" t="s">
        <v>1402</v>
      </c>
      <c r="J19" s="24">
        <f ca="1">IF(K19="按租金收入计税",ROUND(J6*M19/(1+'数据-取费表'!C42),2),ROUND(C29*M19*0.7,2))</f>
        <v>40.93</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63</v>
      </c>
      <c r="D20" s="328" t="s">
        <v>1405</v>
      </c>
      <c r="E20" s="307" t="s">
        <v>1387</v>
      </c>
      <c r="F20" s="327">
        <f>'数据-取费表'!B37</f>
        <v>1.4999999999999999E-2</v>
      </c>
      <c r="G20" s="1579"/>
      <c r="H20" s="1112" t="s">
        <v>1354</v>
      </c>
      <c r="I20" s="159" t="s">
        <v>1406</v>
      </c>
      <c r="J20" s="25">
        <f ca="1">ROUND(M20*M21/10000,2)</f>
        <v>6.55</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1.4999999999999999E-2</v>
      </c>
      <c r="G21" s="1579"/>
      <c r="H21" s="331"/>
      <c r="I21" s="316"/>
      <c r="J21" s="29"/>
      <c r="K21" s="332"/>
      <c r="L21" s="307" t="s">
        <v>1412</v>
      </c>
      <c r="M21" s="308">
        <f ca="1">INDIRECT("'数据-取费表'!r"&amp;$G$1)</f>
        <v>43638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ROUND(J14*M22,1)</f>
        <v>24.4</v>
      </c>
      <c r="K22" s="1527" t="s">
        <v>1415</v>
      </c>
      <c r="L22" s="307" t="s">
        <v>1387</v>
      </c>
      <c r="M22" s="333">
        <f ca="1">INDIRECT("'数据-取费表'!Ak"&amp;$G$1)</f>
        <v>5.0000000000000001E-3</v>
      </c>
    </row>
    <row r="23" spans="1:37" s="1580" customFormat="1" ht="18" customHeight="1">
      <c r="A23" s="1112" t="s">
        <v>1002</v>
      </c>
      <c r="B23" s="307" t="s">
        <v>1416</v>
      </c>
      <c r="C23" s="24">
        <f ca="1">IF('数据-取费表'!B22&lt;=1,ROUND(C19*F24*F23/2,0)+ROUND(C20*F24*F23/2,0),ROUND(C19*(POWER((1+F24),F23/2)-1),0)+ROUND(C20*(POWER((1+F24),F23/2)-1),0))</f>
        <v>92</v>
      </c>
      <c r="D23" s="334" t="str">
        <f>IF(F23&lt;=1,"(建造成本+管理费用)×利率×(建设周期÷2)","(建造成本+管理费用)×((1+利率)^(建设周期÷2)-1)")</f>
        <v>(建造成本+管理费用)×利率×(建设周期÷2)</v>
      </c>
      <c r="E23" s="307" t="s">
        <v>1417</v>
      </c>
      <c r="F23" s="330">
        <f>'数据-取费表'!B20</f>
        <v>1</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2.9999999999999997E-4</v>
      </c>
      <c r="D24" s="334" t="str">
        <f>IF(F23&lt;=1,"销售费用×利率×(建设周期÷2)","销售费用×((1+利率)^(建设周期÷2)-1)")</f>
        <v>销售费用×利率×(建设周期÷2)</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-71</v>
      </c>
      <c r="K25" s="1254" t="s">
        <v>1429</v>
      </c>
      <c r="L25" s="1255"/>
      <c r="M25" s="1256"/>
    </row>
    <row r="26" spans="1:37">
      <c r="A26" s="1112" t="s">
        <v>1002</v>
      </c>
      <c r="B26" s="307" t="s">
        <v>1430</v>
      </c>
      <c r="C26" s="24">
        <f ca="1">ROUND((C19+C20)*F26,0)</f>
        <v>212</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8.0000000000000004E-4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4873</v>
      </c>
      <c r="D29" s="1251"/>
      <c r="E29" s="1249"/>
      <c r="F29" s="1252"/>
      <c r="G29" s="1579"/>
      <c r="H29" s="339" t="s">
        <v>1001</v>
      </c>
      <c r="I29" s="340" t="s">
        <v>1444</v>
      </c>
      <c r="J29" s="341">
        <f ca="1">ROUND(J26/(1+F40)^F41,0)</f>
        <v>0</v>
      </c>
      <c r="K29" s="342" t="s">
        <v>1445</v>
      </c>
      <c r="L29" s="343"/>
      <c r="M29" s="344">
        <f ca="1">INDIRECT("'数据-取费表'!k"&amp;$G$1)</f>
        <v>34910.400000000001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79</v>
      </c>
      <c r="D30" s="1246" t="s">
        <v>1390</v>
      </c>
      <c r="E30" s="1247"/>
      <c r="F30" s="1203"/>
      <c r="G30" s="1567"/>
      <c r="H30" s="2921"/>
      <c r="I30" s="1581"/>
      <c r="J30" s="1582"/>
      <c r="K30" s="2697"/>
      <c r="L30" s="2922"/>
      <c r="M30" s="2923"/>
    </row>
    <row r="31" spans="1:37" ht="18" customHeight="1">
      <c r="A31" s="1112" t="s">
        <v>1003</v>
      </c>
      <c r="B31" s="307" t="s">
        <v>1394</v>
      </c>
      <c r="C31" s="2533">
        <f ca="1">ROUND(IF(AND(项目基本情况!B11="自然人",项目基本情况!B10="北京市"),C6*F31/(1+'数据-取费表'!C42),C32+C33+C34),0)</f>
        <v>52</v>
      </c>
      <c r="D31" s="1528" t="s">
        <v>1395</v>
      </c>
      <c r="E31" s="1527" t="s">
        <v>1446</v>
      </c>
      <c r="F31" s="2532" t="str">
        <f>IF(项目基本情况!B11="企业","——",IF('数据-取费表'!B10="住宅",IF(F6*F7*F8/12/(1+'数据-取费表'!F30)&gt;100000,4%,2.5%),IF(F6*F7*F8/12/(1+'数据-取费表'!F30)&gt;100000,12%,7%)))</f>
        <v>——</v>
      </c>
      <c r="G31" s="1567"/>
      <c r="H31" s="3034" t="s">
        <v>3054</v>
      </c>
      <c r="I31" s="1581"/>
      <c r="J31" s="1582"/>
      <c r="K31" s="2697"/>
      <c r="L31" s="2922"/>
      <c r="M31" s="2923"/>
    </row>
    <row r="32" spans="1:37" ht="18" customHeight="1">
      <c r="A32" s="1112" t="s">
        <v>1002</v>
      </c>
      <c r="B32" s="307" t="s">
        <v>1398</v>
      </c>
      <c r="C32" s="24">
        <f ca="1">IF(项目基本情况!B11="自然人","——",ROUND(C6*F32/(1+'数据-取费表'!C42),2))</f>
        <v>14.2</v>
      </c>
      <c r="D32" s="1527" t="s">
        <v>1399</v>
      </c>
      <c r="E32" s="307" t="s">
        <v>1387</v>
      </c>
      <c r="F32" s="336">
        <f>'数据-取费表'!B41</f>
        <v>5.5000000000000007E-2</v>
      </c>
      <c r="G32" s="1567"/>
      <c r="H32" s="2921"/>
      <c r="I32" s="1581"/>
      <c r="J32" s="1582"/>
      <c r="K32" s="2697"/>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30.97</v>
      </c>
      <c r="D33" s="1553" t="s">
        <v>3095</v>
      </c>
      <c r="E33" s="307" t="s">
        <v>1387</v>
      </c>
      <c r="F33" s="327">
        <f>IF(D33="按票据","——",IF(D33="按租金收入计税",'数据-取费表'!B51,'数据-取费表'!B50))</f>
        <v>0.12</v>
      </c>
      <c r="G33" s="1567"/>
      <c r="H33" s="2924"/>
      <c r="I33" s="1581"/>
      <c r="J33" s="1582"/>
      <c r="K33" s="2925"/>
      <c r="L33" s="2924"/>
      <c r="M33" s="2924"/>
    </row>
    <row r="34" spans="1:18" ht="18" customHeight="1">
      <c r="A34" s="1200" t="s">
        <v>1354</v>
      </c>
      <c r="B34" s="159" t="s">
        <v>1406</v>
      </c>
      <c r="C34" s="25">
        <f ca="1">IF(项目基本情况!B11="自然人","——",ROUND(F34*F35/10000,2))</f>
        <v>6.55</v>
      </c>
      <c r="D34" s="329" t="s">
        <v>1407</v>
      </c>
      <c r="E34" s="307" t="s">
        <v>1408</v>
      </c>
      <c r="F34" s="330">
        <f>'数据-取费表'!B52</f>
        <v>1.5</v>
      </c>
      <c r="G34" s="1567"/>
      <c r="H34" s="2921"/>
      <c r="I34" s="1581"/>
      <c r="J34" s="1582"/>
      <c r="K34" s="2926"/>
      <c r="L34" s="2927"/>
      <c r="M34" s="2927"/>
    </row>
    <row r="35" spans="1:18" ht="18" customHeight="1">
      <c r="A35" s="1262"/>
      <c r="B35" s="1260"/>
      <c r="C35" s="29"/>
      <c r="D35" s="332"/>
      <c r="E35" s="307" t="s">
        <v>1412</v>
      </c>
      <c r="F35" s="308">
        <f ca="1">INDIRECT("'数据-取费表'!r"&amp;$G$1)</f>
        <v>43638</v>
      </c>
      <c r="G35" s="1567"/>
      <c r="H35" s="2921"/>
      <c r="I35" s="1581"/>
      <c r="J35" s="1582"/>
      <c r="K35" s="2925"/>
      <c r="L35" s="2924"/>
      <c r="M35" s="2924"/>
    </row>
    <row r="36" spans="1:18" ht="18" customHeight="1">
      <c r="A36" s="1261" t="s">
        <v>1007</v>
      </c>
      <c r="B36" s="307" t="s">
        <v>1414</v>
      </c>
      <c r="C36" s="24">
        <f ca="1">ROUND(C29*F36,1)</f>
        <v>24.4</v>
      </c>
      <c r="D36" s="1527" t="s">
        <v>1447</v>
      </c>
      <c r="E36" s="307" t="s">
        <v>1387</v>
      </c>
      <c r="F36" s="333">
        <f ca="1">INDIRECT("'数据-取费表'!Ak"&amp;$G$1)</f>
        <v>5.0000000000000001E-3</v>
      </c>
      <c r="G36" s="1567"/>
      <c r="H36" s="2924"/>
      <c r="I36" s="1581"/>
      <c r="J36" s="1582"/>
      <c r="K36" s="2766"/>
      <c r="L36" s="2924"/>
      <c r="M36" s="2924"/>
    </row>
    <row r="37" spans="1:18" ht="18" customHeight="1">
      <c r="A37" s="1112" t="s">
        <v>1043</v>
      </c>
      <c r="B37" s="307" t="s">
        <v>1418</v>
      </c>
      <c r="C37" s="24">
        <f ca="1">ROUND(C13*F37,1)</f>
        <v>0</v>
      </c>
      <c r="D37" s="1527" t="s">
        <v>1419</v>
      </c>
      <c r="E37" s="307" t="s">
        <v>1420</v>
      </c>
      <c r="F37" s="335">
        <f ca="1">INDIRECT("'数据-取费表'!Al"&amp;$G$1)</f>
        <v>1E-3</v>
      </c>
      <c r="G37" s="1567"/>
      <c r="H37" s="2924"/>
      <c r="I37" s="1581"/>
      <c r="J37" s="1582"/>
      <c r="K37" s="2766"/>
      <c r="L37" s="2924"/>
      <c r="M37" s="2924"/>
    </row>
    <row r="38" spans="1:18" ht="18" customHeight="1" thickBot="1">
      <c r="A38" s="1248" t="s">
        <v>1358</v>
      </c>
      <c r="B38" s="1249" t="s">
        <v>1404</v>
      </c>
      <c r="C38" s="1250">
        <f ca="1">ROUND(C5*F38,1)</f>
        <v>2.7</v>
      </c>
      <c r="D38" s="1251" t="s">
        <v>1424</v>
      </c>
      <c r="E38" s="1249" t="s">
        <v>1420</v>
      </c>
      <c r="F38" s="1245">
        <f ca="1">INDIRECT("'数据-取费表'!Am"&amp;$G$1)</f>
        <v>0.01</v>
      </c>
      <c r="G38" s="1567"/>
      <c r="H38" s="2924"/>
      <c r="I38" s="1581"/>
      <c r="J38" s="1582"/>
      <c r="K38" s="2928"/>
      <c r="L38" s="2924"/>
      <c r="M38" s="2924"/>
    </row>
    <row r="39" spans="1:18" ht="24.6" customHeight="1" thickTop="1">
      <c r="A39" s="1238" t="s">
        <v>999</v>
      </c>
      <c r="B39" s="1253" t="s">
        <v>1448</v>
      </c>
      <c r="C39" s="315">
        <f ca="1">C5-C30</f>
        <v>192</v>
      </c>
      <c r="D39" s="1254" t="s">
        <v>1449</v>
      </c>
      <c r="E39" s="1255"/>
      <c r="F39" s="1256"/>
      <c r="G39" s="1567"/>
      <c r="H39" s="2924"/>
      <c r="I39" s="1581"/>
      <c r="J39" s="1582"/>
      <c r="K39" s="2928"/>
      <c r="L39" s="2924"/>
      <c r="M39" s="2924"/>
    </row>
    <row r="40" spans="1:18" ht="18" customHeight="1">
      <c r="A40" s="304" t="s">
        <v>1000</v>
      </c>
      <c r="B40" s="305" t="s">
        <v>1450</v>
      </c>
      <c r="C40" s="306">
        <f ca="1">ROUND(C39*(1-((1+F42)/(1+F40))^F41)/(F40-F42),0)</f>
        <v>4631</v>
      </c>
      <c r="D40" s="329" t="s">
        <v>1434</v>
      </c>
      <c r="E40" s="307" t="s">
        <v>1435</v>
      </c>
      <c r="F40" s="317">
        <f ca="1">INDIRECT("'数据-取费表'!I"&amp;$G$1)</f>
        <v>0.05</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38.340000000000003</v>
      </c>
      <c r="G41" s="1567"/>
      <c r="H41" s="1352"/>
      <c r="I41" s="1581"/>
      <c r="J41" s="1582"/>
      <c r="K41" s="2766"/>
      <c r="L41" s="1352"/>
      <c r="M41" s="1352"/>
    </row>
    <row r="42" spans="1:18" ht="18" customHeight="1">
      <c r="A42" s="313"/>
      <c r="B42" s="314"/>
      <c r="C42" s="315"/>
      <c r="D42" s="332"/>
      <c r="E42" s="307" t="s">
        <v>1442</v>
      </c>
      <c r="F42" s="317">
        <f ca="1">INDIRECT("'数据-取费表'!v"&amp;$G$1)</f>
        <v>2.5000000000000001E-2</v>
      </c>
      <c r="G42" s="1567"/>
      <c r="H42" s="1352"/>
      <c r="I42" s="1581"/>
      <c r="J42" s="1582"/>
      <c r="K42" s="2766"/>
      <c r="L42" s="1352"/>
      <c r="M42" s="1352"/>
    </row>
    <row r="43" spans="1:18" ht="18" customHeight="1" thickBot="1">
      <c r="A43" s="339" t="s">
        <v>1001</v>
      </c>
      <c r="B43" s="340" t="s">
        <v>1452</v>
      </c>
      <c r="C43" s="341">
        <f ca="1">ROUND(C40*10000/F43,0)</f>
        <v>1327</v>
      </c>
      <c r="D43" s="342" t="s">
        <v>1453</v>
      </c>
      <c r="E43" s="343" t="s">
        <v>1454</v>
      </c>
      <c r="F43" s="344">
        <f ca="1">INDIRECT("'数据-取费表'!k"&amp;$G$1)</f>
        <v>34910.400000000001</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9" t="s">
        <v>1484</v>
      </c>
      <c r="P45" s="1644"/>
      <c r="Q45" s="1644"/>
      <c r="R45" s="1644"/>
    </row>
    <row r="46" spans="1:18" s="1567" customFormat="1" ht="13.5" thickBot="1">
      <c r="A46" s="1587" t="s">
        <v>1485</v>
      </c>
      <c r="C46" s="1588">
        <f ca="1">C68-C40</f>
        <v>-12076</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3096</v>
      </c>
      <c r="K47" s="1599" t="s">
        <v>1492</v>
      </c>
      <c r="L47" s="1600">
        <f ca="1">INDIRECT("'数据-取费表'!d"&amp;$G$1)</f>
        <v>50</v>
      </c>
      <c r="M47" s="1563" t="str">
        <f>IF(ISNUMBER(FIND("住宅",C1)),"住宅","非住宅")</f>
        <v>非住宅</v>
      </c>
      <c r="O47" s="1601" t="s">
        <v>1008</v>
      </c>
      <c r="P47" s="1602" t="s">
        <v>1493</v>
      </c>
      <c r="Q47" s="1603">
        <f ca="1">C40+J29</f>
        <v>4631</v>
      </c>
      <c r="R47" s="1603" t="s">
        <v>1494</v>
      </c>
    </row>
    <row r="48" spans="1:18" s="1567" customFormat="1" ht="28.5" thickBot="1">
      <c r="A48" s="1269" t="s">
        <v>1103</v>
      </c>
      <c r="B48" s="305" t="s">
        <v>1366</v>
      </c>
      <c r="C48" s="1542">
        <f ca="1">C49+C53+C55</f>
        <v>0</v>
      </c>
      <c r="D48" s="1271"/>
      <c r="E48" s="1272"/>
      <c r="F48" s="1092"/>
      <c r="G48" s="730"/>
      <c r="H48" s="731"/>
      <c r="I48" s="1604" t="s">
        <v>1495</v>
      </c>
      <c r="J48" s="1605" t="s">
        <v>3097</v>
      </c>
      <c r="K48" s="1606" t="s">
        <v>1496</v>
      </c>
      <c r="L48" s="1607">
        <f ca="1">INDIRECT("'数据-取费表'!f"&amp;$G$1)</f>
        <v>38.340000000000003</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c r="K49" s="1606" t="s">
        <v>1500</v>
      </c>
      <c r="L49" s="1610"/>
      <c r="O49" s="1611" t="s">
        <v>1010</v>
      </c>
      <c r="P49" s="1602" t="s">
        <v>1501</v>
      </c>
      <c r="Q49" s="1603">
        <f ca="1">C29</f>
        <v>4873</v>
      </c>
      <c r="R49" s="1603" t="s">
        <v>1494</v>
      </c>
    </row>
    <row r="50" spans="1:18" s="1567" customFormat="1" ht="13.5" thickBot="1">
      <c r="A50" s="1106"/>
      <c r="B50" s="1109"/>
      <c r="C50" s="1277"/>
      <c r="D50" s="1083"/>
      <c r="E50" s="1186" t="s">
        <v>1371</v>
      </c>
      <c r="F50" s="1187">
        <f ca="1">F7</f>
        <v>34910.400000000001</v>
      </c>
      <c r="H50" s="731"/>
      <c r="I50" s="1604" t="s">
        <v>1502</v>
      </c>
      <c r="J50" s="1612">
        <f>SUMPRODUCT((I63:I65=J47)*(J62:L62=J48)*(J63:L65))</f>
        <v>50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50</v>
      </c>
      <c r="K51" s="1617" t="s">
        <v>1506</v>
      </c>
      <c r="L51" s="1618">
        <f ca="1">ROUND(-PV(INDIRECT("'数据-取费表'!h"&amp;$G$1),J51,(C39-C13*C76),0),0)</f>
        <v>3794</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38.340000000000003</v>
      </c>
      <c r="R52" s="1603" t="s">
        <v>1511</v>
      </c>
    </row>
    <row r="53" spans="1:18" s="1567" customFormat="1" ht="24.75" thickBot="1">
      <c r="A53" s="1313" t="s">
        <v>1105</v>
      </c>
      <c r="B53" s="1556" t="s">
        <v>1374</v>
      </c>
      <c r="C53" s="321">
        <f ca="1">ROUND(IF(F53="押一",C49/12*F11,IF(F53="押二",C49/12*2*F11,IF(F53="押三",C49/12*3*F11,C54*F11))),0)</f>
        <v>0</v>
      </c>
      <c r="D53" s="1549" t="s">
        <v>2854</v>
      </c>
      <c r="E53" s="318" t="s">
        <v>1375</v>
      </c>
      <c r="F53" s="1275"/>
      <c r="I53" s="1622" t="s">
        <v>1512</v>
      </c>
      <c r="J53" s="2385">
        <f ca="1">IF(M47="住宅",IF(D1="——",MAX(J51,L48),MAX(J51,L48-'数据-取费表'!B24)),IF(D1="——",MIN(J51,L48),MIN(J51,L48-'数据-取费表'!B24)))</f>
        <v>38.340000000000003</v>
      </c>
      <c r="K53" s="3305" t="s">
        <v>1513</v>
      </c>
      <c r="L53" s="3306"/>
      <c r="O53" s="1601" t="s">
        <v>1014</v>
      </c>
      <c r="P53" s="1602" t="s">
        <v>1514</v>
      </c>
      <c r="Q53" s="1603">
        <f ca="1">Q47+Q48</f>
        <v>4631</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0</v>
      </c>
      <c r="D56" s="1630"/>
      <c r="E56" s="1631"/>
      <c r="F56" s="1623"/>
      <c r="I56" s="1632" t="s">
        <v>1519</v>
      </c>
      <c r="J56" s="1633" t="s">
        <v>3090</v>
      </c>
      <c r="K56" s="1604" t="s">
        <v>1520</v>
      </c>
      <c r="L56" s="1607" t="str">
        <f ca="1">IF(L48&lt;J51,"——",L48-J53)</f>
        <v>——</v>
      </c>
      <c r="O56" s="1601" t="s">
        <v>1008</v>
      </c>
      <c r="P56" s="1602" t="s">
        <v>1493</v>
      </c>
      <c r="Q56" s="1603">
        <f ca="1">C40+J29</f>
        <v>4631</v>
      </c>
      <c r="R56" s="1603" t="s">
        <v>1494</v>
      </c>
    </row>
    <row r="57" spans="1:18" s="1567" customFormat="1" ht="24.75" thickBot="1">
      <c r="A57" s="1634"/>
      <c r="B57" s="1080" t="s">
        <v>1443</v>
      </c>
      <c r="C57" s="243">
        <f ca="1">C29</f>
        <v>4873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440</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416</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409.33</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6.55</v>
      </c>
      <c r="D62" s="1095" t="s">
        <v>1462</v>
      </c>
      <c r="E62" s="1080" t="s">
        <v>1463</v>
      </c>
      <c r="F62" s="330">
        <f t="shared" si="0"/>
        <v>1.5</v>
      </c>
      <c r="I62" s="1645" t="s">
        <v>1535</v>
      </c>
      <c r="J62" s="1646" t="s">
        <v>1536</v>
      </c>
      <c r="K62" s="1646" t="s">
        <v>1537</v>
      </c>
      <c r="L62" s="1646" t="s">
        <v>1538</v>
      </c>
      <c r="M62" s="1647" t="s">
        <v>1539</v>
      </c>
      <c r="O62" s="1601" t="s">
        <v>1014</v>
      </c>
      <c r="P62" s="1602" t="s">
        <v>1540</v>
      </c>
      <c r="Q62" s="1603">
        <f ca="1">Q56+Q57</f>
        <v>4631</v>
      </c>
      <c r="R62" s="1603" t="s">
        <v>1015</v>
      </c>
    </row>
    <row r="63" spans="1:18" s="1567" customFormat="1" ht="13.5" thickBot="1">
      <c r="A63" s="331"/>
      <c r="B63" s="1086"/>
      <c r="C63" s="29"/>
      <c r="D63" s="1096"/>
      <c r="E63" s="1080" t="s">
        <v>1464</v>
      </c>
      <c r="F63" s="308">
        <f t="shared" ca="1" si="0"/>
        <v>43638</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24.4</v>
      </c>
      <c r="D64" s="1094" t="s">
        <v>1467</v>
      </c>
      <c r="E64" s="1080" t="s">
        <v>1459</v>
      </c>
      <c r="F64" s="333">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1E-3</v>
      </c>
      <c r="I65" s="1645" t="s">
        <v>1544</v>
      </c>
      <c r="J65" s="1646">
        <v>40</v>
      </c>
      <c r="K65" s="1646">
        <v>30</v>
      </c>
      <c r="L65" s="1646">
        <v>50</v>
      </c>
      <c r="M65" s="1648">
        <v>0.02</v>
      </c>
      <c r="O65" s="1601" t="s">
        <v>1008</v>
      </c>
      <c r="P65" s="1602" t="s">
        <v>1545</v>
      </c>
      <c r="Q65" s="1603">
        <f ca="1">C40+J29</f>
        <v>4631</v>
      </c>
      <c r="R65" s="1603" t="s">
        <v>1494</v>
      </c>
    </row>
    <row r="66" spans="1:18" s="1567" customFormat="1" ht="16.5" thickBot="1">
      <c r="A66" s="1112" t="s">
        <v>1469</v>
      </c>
      <c r="B66" s="1080" t="s">
        <v>1404</v>
      </c>
      <c r="C66" s="24">
        <f ca="1">ROUND(C48*F66,1)</f>
        <v>0</v>
      </c>
      <c r="D66" s="1094" t="s">
        <v>1470</v>
      </c>
      <c r="E66" s="1080" t="s">
        <v>1387</v>
      </c>
      <c r="F66" s="317">
        <f t="shared" ca="1" si="0"/>
        <v>0.01</v>
      </c>
      <c r="O66" s="1601" t="s">
        <v>1009</v>
      </c>
      <c r="P66" s="1602" t="s">
        <v>1523</v>
      </c>
      <c r="Q66" s="1603">
        <f ca="1">L60</f>
        <v>0</v>
      </c>
      <c r="R66" s="1603" t="s">
        <v>1546</v>
      </c>
    </row>
    <row r="67" spans="1:18" s="1567" customFormat="1" ht="16.5" thickBot="1">
      <c r="A67" s="1087" t="s">
        <v>999</v>
      </c>
      <c r="B67" s="1097" t="s">
        <v>1428</v>
      </c>
      <c r="C67" s="321">
        <f ca="1">C48-C58</f>
        <v>-440</v>
      </c>
      <c r="D67" s="1093" t="s">
        <v>1429</v>
      </c>
      <c r="E67" s="1098"/>
      <c r="F67" s="1099"/>
      <c r="O67" s="1611" t="s">
        <v>1010</v>
      </c>
      <c r="P67" s="1602" t="s">
        <v>1527</v>
      </c>
      <c r="Q67" s="1649">
        <f ca="1">L51</f>
        <v>3794</v>
      </c>
      <c r="R67" s="1603" t="s">
        <v>1547</v>
      </c>
    </row>
    <row r="68" spans="1:18" s="1567" customFormat="1" ht="16.5" thickBot="1">
      <c r="A68" s="1077" t="s">
        <v>1000</v>
      </c>
      <c r="B68" s="1078" t="s">
        <v>1450</v>
      </c>
      <c r="C68" s="306">
        <f ca="1">ROUND(C67*(1-((1+F70)/(1+F68))^F69)/(F68-F70),0)</f>
        <v>-7445</v>
      </c>
      <c r="D68" s="1095" t="s">
        <v>1434</v>
      </c>
      <c r="E68" s="1080" t="s">
        <v>1435</v>
      </c>
      <c r="F68" s="317">
        <f ca="1">F40</f>
        <v>0.05</v>
      </c>
      <c r="O68" s="1611" t="s">
        <v>1011</v>
      </c>
      <c r="P68" s="1650" t="s">
        <v>1548</v>
      </c>
      <c r="Q68" s="1603">
        <f ca="1">ROUND(Q69-Q70*Q71,0)</f>
        <v>192</v>
      </c>
      <c r="R68" s="1603" t="s">
        <v>1019</v>
      </c>
    </row>
    <row r="69" spans="1:18" s="1567" customFormat="1" ht="13.5" thickBot="1">
      <c r="A69" s="1081"/>
      <c r="B69" s="1082"/>
      <c r="C69" s="311"/>
      <c r="D69" s="1100" t="s">
        <v>1438</v>
      </c>
      <c r="E69" s="1080" t="s">
        <v>1439</v>
      </c>
      <c r="F69" s="338">
        <f ca="1">F41</f>
        <v>38.340000000000003</v>
      </c>
      <c r="O69" s="1611" t="s">
        <v>1016</v>
      </c>
      <c r="P69" s="1650" t="s">
        <v>1549</v>
      </c>
      <c r="Q69" s="1603">
        <f ca="1">C39</f>
        <v>192</v>
      </c>
      <c r="R69" s="1603" t="s">
        <v>1494</v>
      </c>
    </row>
    <row r="70" spans="1:18" s="1567" customFormat="1" ht="13.5" thickBot="1">
      <c r="A70" s="1084"/>
      <c r="B70" s="1085"/>
      <c r="C70" s="315"/>
      <c r="D70" s="1096"/>
      <c r="E70" s="1080" t="s">
        <v>1442</v>
      </c>
      <c r="F70" s="1184"/>
      <c r="O70" s="1611" t="s">
        <v>1017</v>
      </c>
      <c r="P70" s="1650" t="s">
        <v>1550</v>
      </c>
      <c r="Q70" s="1603">
        <f ca="1">C13</f>
        <v>0</v>
      </c>
      <c r="R70" s="1603" t="s">
        <v>1494</v>
      </c>
    </row>
    <row r="71" spans="1:18" s="1567" customFormat="1" ht="13.5" thickBot="1">
      <c r="A71" s="1101" t="s">
        <v>1001</v>
      </c>
      <c r="B71" s="1102" t="s">
        <v>1452</v>
      </c>
      <c r="C71" s="341">
        <f ca="1">ROUND(C68*10000/F71,0)</f>
        <v>-2133</v>
      </c>
      <c r="D71" s="1103" t="s">
        <v>1453</v>
      </c>
      <c r="E71" s="1104" t="s">
        <v>1454</v>
      </c>
      <c r="F71" s="344">
        <f ca="1">F43</f>
        <v>34910.400000000001</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4631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H5" sqref="H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f ca="1">J53</f>
        <v>0</v>
      </c>
      <c r="G1" s="1561">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0"/>
      <c r="H2" s="2919"/>
      <c r="I2" s="2919"/>
      <c r="J2" s="2919"/>
      <c r="K2" s="2920"/>
      <c r="L2" s="2919"/>
      <c r="M2" s="2919"/>
    </row>
    <row r="3" spans="1:37" ht="18" customHeight="1" thickBot="1">
      <c r="A3" s="1573" t="s">
        <v>1558</v>
      </c>
      <c r="B3" s="1574">
        <f ca="1">IF(ISERROR(D2/F43),0,ROUND(D2/F43,0))</f>
        <v>0</v>
      </c>
      <c r="C3" s="1570" t="s">
        <v>1559</v>
      </c>
      <c r="D3" s="1570"/>
      <c r="E3" s="1571"/>
      <c r="F3" s="1572"/>
      <c r="G3" s="2930"/>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0</v>
      </c>
      <c r="D5" s="1547" t="s">
        <v>1566</v>
      </c>
      <c r="E5" s="1202"/>
      <c r="F5" s="1203"/>
      <c r="G5" s="1567"/>
      <c r="H5" s="304">
        <v>1</v>
      </c>
      <c r="I5" s="305" t="s">
        <v>1565</v>
      </c>
      <c r="J5" s="1201">
        <f ca="1">J6+J10+J12</f>
        <v>0</v>
      </c>
      <c r="K5" s="1547" t="s">
        <v>1566</v>
      </c>
      <c r="L5" s="1202"/>
      <c r="M5" s="1203"/>
    </row>
    <row r="6" spans="1:37" ht="18" customHeight="1">
      <c r="A6" s="1200" t="s">
        <v>1003</v>
      </c>
      <c r="B6" s="3307" t="s">
        <v>1368</v>
      </c>
      <c r="C6" s="1205">
        <f ca="1">ROUND(F6*F8*F7*(1-F9),0)</f>
        <v>0</v>
      </c>
      <c r="D6" s="159" t="s">
        <v>2844</v>
      </c>
      <c r="E6" s="307" t="s">
        <v>1370</v>
      </c>
      <c r="F6" s="308">
        <f ca="1">INDIRECT("'数据-取费表'!u"&amp;$G$1)</f>
        <v>0</v>
      </c>
      <c r="G6" s="1567"/>
      <c r="H6" s="1200" t="s">
        <v>1003</v>
      </c>
      <c r="I6" s="3307" t="s">
        <v>1368</v>
      </c>
      <c r="J6" s="306">
        <f ca="1">ROUND(M6*M8*M7*(1-M9),0)</f>
        <v>0</v>
      </c>
      <c r="K6" s="1559" t="s">
        <v>2845</v>
      </c>
      <c r="L6" s="307" t="s">
        <v>1370</v>
      </c>
      <c r="M6" s="308">
        <f ca="1">INDIRECT("'数据-取费表'!z"&amp;$G$1)</f>
        <v>0</v>
      </c>
    </row>
    <row r="7" spans="1:37" ht="18" customHeight="1">
      <c r="A7" s="1204"/>
      <c r="B7" s="3308"/>
      <c r="C7" s="1206"/>
      <c r="D7" s="312"/>
      <c r="E7" s="1207" t="s">
        <v>1371</v>
      </c>
      <c r="F7" s="308">
        <f ca="1">IF(INDIRECT("'数据-取费表'!ah"&amp;$G$1)="",INDIRECT("'数据-取费表'!k"&amp;$G$1),INDIRECT("'数据-取费表'!ah"&amp;$G$1))</f>
        <v>0</v>
      </c>
      <c r="G7" s="1567"/>
      <c r="H7" s="309"/>
      <c r="I7" s="3308"/>
      <c r="J7" s="311"/>
      <c r="K7" s="312"/>
      <c r="L7" s="307" t="s">
        <v>1371</v>
      </c>
      <c r="M7" s="308">
        <f ca="1">F7</f>
        <v>0</v>
      </c>
    </row>
    <row r="8" spans="1:37" ht="18" customHeight="1">
      <c r="A8" s="309"/>
      <c r="B8" s="3308"/>
      <c r="C8" s="311"/>
      <c r="D8" s="312"/>
      <c r="E8" s="307" t="s">
        <v>1372</v>
      </c>
      <c r="F8" s="308">
        <f ca="1">INDIRECT("'数据-取费表'!ai"&amp;$G$1)</f>
        <v>0</v>
      </c>
      <c r="G8" s="1567"/>
      <c r="H8" s="309"/>
      <c r="I8" s="3308"/>
      <c r="J8" s="311"/>
      <c r="K8" s="312"/>
      <c r="L8" s="307" t="s">
        <v>1372</v>
      </c>
      <c r="M8" s="308">
        <f ca="1">INDIRECT("'数据-取费表'!ai"&amp;$G$1)</f>
        <v>0</v>
      </c>
    </row>
    <row r="9" spans="1:37" ht="18" customHeight="1">
      <c r="A9" s="309"/>
      <c r="B9" s="3309"/>
      <c r="C9" s="311"/>
      <c r="D9" s="312"/>
      <c r="E9" s="307" t="s">
        <v>1373</v>
      </c>
      <c r="F9" s="317">
        <f ca="1">INDIRECT("'数据-取费表'!w"&amp;$G$1)</f>
        <v>0</v>
      </c>
      <c r="G9" s="1567"/>
      <c r="H9" s="309"/>
      <c r="I9" s="3309"/>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2854</v>
      </c>
      <c r="E10" s="318" t="s">
        <v>1375</v>
      </c>
      <c r="F10" s="1275"/>
      <c r="G10" s="1567"/>
      <c r="H10" s="1200" t="s">
        <v>1007</v>
      </c>
      <c r="I10" s="1548" t="s">
        <v>1374</v>
      </c>
      <c r="J10" s="306">
        <f ca="1">ROUND(IF(M10="押一",J6/12*M11,IF(M10="押二",J6/12*2*M11,IF(M10="押三",J6/12*3*M11,J11*M11))),0)</f>
        <v>0</v>
      </c>
      <c r="K10" s="1560" t="s">
        <v>2856</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0</v>
      </c>
      <c r="D14" s="1528" t="s">
        <v>1383</v>
      </c>
      <c r="E14" s="1525"/>
      <c r="F14" s="324"/>
      <c r="G14" s="1567"/>
      <c r="H14" s="1112" t="s">
        <v>1003</v>
      </c>
      <c r="I14" s="307" t="s">
        <v>1384</v>
      </c>
      <c r="J14" s="24">
        <f ca="1">C29</f>
        <v>0</v>
      </c>
      <c r="K14" s="15"/>
      <c r="L14" s="915"/>
      <c r="M14" s="916"/>
    </row>
    <row r="15" spans="1:37" s="1580" customFormat="1" ht="18" customHeight="1" thickBot="1">
      <c r="A15" s="1112" t="s">
        <v>1004</v>
      </c>
      <c r="B15" s="307" t="s">
        <v>1385</v>
      </c>
      <c r="C15" s="24">
        <f ca="1">ROUND(C14*F15,0)</f>
        <v>0</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ROUND(F17*(F43+INDIRECT("'数据-取费表'!S"&amp;$G$1)),0)</f>
        <v>0</v>
      </c>
      <c r="D17" s="307" t="s">
        <v>1392</v>
      </c>
      <c r="E17" s="307" t="s">
        <v>1393</v>
      </c>
      <c r="F17" s="26">
        <f>'数据-取费表'!B35</f>
        <v>150</v>
      </c>
      <c r="G17" s="1579"/>
      <c r="H17" s="1112"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0</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0</v>
      </c>
      <c r="D19" s="135" t="s">
        <v>1401</v>
      </c>
      <c r="E19" s="1543"/>
      <c r="F19" s="26"/>
      <c r="G19" s="1567"/>
      <c r="H19" s="1112"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2" t="s">
        <v>1007</v>
      </c>
      <c r="B20" s="307" t="s">
        <v>1404</v>
      </c>
      <c r="C20" s="24">
        <f ca="1">ROUND(C19*F20,0)</f>
        <v>0</v>
      </c>
      <c r="D20" s="328" t="s">
        <v>1405</v>
      </c>
      <c r="E20" s="307" t="s">
        <v>1387</v>
      </c>
      <c r="F20" s="327">
        <f>'数据-取费表'!B37</f>
        <v>1.4999999999999999E-2</v>
      </c>
      <c r="G20" s="1579"/>
      <c r="H20" s="1112" t="s">
        <v>1354</v>
      </c>
      <c r="I20" s="159" t="s">
        <v>1406</v>
      </c>
      <c r="J20" s="25">
        <f ca="1">ROUND(M20*M21,0)</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1.4999999999999999E-2</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ROUND(J14*M22,0)</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9"/>
      <c r="H23" s="1112"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2.9999999999999997E-4</v>
      </c>
      <c r="D24" s="334" t="str">
        <f>IF(F23&lt;=1,"销售费用×利率×(建设周期÷2)","销售费用×((1+利率)^(建设周期÷2)-1)")</f>
        <v>销售费用×利率×(建设周期÷2)</v>
      </c>
      <c r="E24" s="307" t="s">
        <v>1423</v>
      </c>
      <c r="F24" s="336">
        <f ca="1">'数据-取费表'!B40</f>
        <v>4.3499999999999997E-2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0</v>
      </c>
      <c r="D30" s="1246" t="s">
        <v>1390</v>
      </c>
      <c r="E30" s="1247"/>
      <c r="F30" s="1203"/>
      <c r="G30" s="1567"/>
      <c r="H30" s="2921"/>
      <c r="I30" s="1581"/>
      <c r="J30" s="1582"/>
      <c r="K30" s="2697"/>
      <c r="L30" s="2922"/>
      <c r="M30" s="2923"/>
    </row>
    <row r="31" spans="1:37" ht="18" customHeight="1">
      <c r="A31" s="1112"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4" t="s">
        <v>3054</v>
      </c>
      <c r="I31" s="1581"/>
      <c r="J31" s="1582"/>
      <c r="K31" s="2697"/>
      <c r="L31" s="2922"/>
      <c r="M31" s="2923"/>
    </row>
    <row r="32" spans="1:37" ht="18" customHeight="1">
      <c r="A32" s="1112" t="s">
        <v>1002</v>
      </c>
      <c r="B32" s="307" t="s">
        <v>1398</v>
      </c>
      <c r="C32" s="24">
        <f ca="1">IF(项目基本情况!B11="自然人","——",ROUND(C6*F32/(1+'数据-取费表'!C42),0))</f>
        <v>0</v>
      </c>
      <c r="D32" s="1527" t="s">
        <v>1399</v>
      </c>
      <c r="E32" s="307" t="s">
        <v>1387</v>
      </c>
      <c r="F32" s="336">
        <f>'数据-取费表'!B41</f>
        <v>5.5000000000000007E-2</v>
      </c>
      <c r="G32" s="1567"/>
      <c r="H32" s="2921"/>
      <c r="I32" s="1581"/>
      <c r="J32" s="1582"/>
      <c r="K32" s="2697"/>
      <c r="L32" s="2922"/>
      <c r="M32" s="2923"/>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4"/>
      <c r="I33" s="1581"/>
      <c r="J33" s="1582"/>
      <c r="K33" s="2925"/>
      <c r="L33" s="2924"/>
      <c r="M33" s="2924"/>
    </row>
    <row r="34" spans="1:18" ht="18" customHeight="1">
      <c r="A34" s="1200" t="s">
        <v>1354</v>
      </c>
      <c r="B34" s="159" t="s">
        <v>1406</v>
      </c>
      <c r="C34" s="25">
        <f ca="1">IF(项目基本情况!B11="自然人","——",ROUND(F34*F35,))</f>
        <v>0</v>
      </c>
      <c r="D34" s="329" t="s">
        <v>1407</v>
      </c>
      <c r="E34" s="307" t="s">
        <v>1408</v>
      </c>
      <c r="F34" s="330">
        <f>'数据-取费表'!B52</f>
        <v>1.5</v>
      </c>
      <c r="G34" s="1567"/>
      <c r="H34" s="2921"/>
      <c r="I34" s="1581"/>
      <c r="J34" s="1582"/>
      <c r="K34" s="2926"/>
      <c r="L34" s="2927"/>
      <c r="M34" s="2927"/>
    </row>
    <row r="35" spans="1:18" ht="18" customHeight="1">
      <c r="A35" s="1262"/>
      <c r="B35" s="1260"/>
      <c r="C35" s="29"/>
      <c r="D35" s="332"/>
      <c r="E35" s="307" t="s">
        <v>1412</v>
      </c>
      <c r="F35" s="308">
        <f ca="1">INDIRECT("'数据-取费表'!r"&amp;$G$1)</f>
        <v>0</v>
      </c>
      <c r="G35" s="1567"/>
      <c r="H35" s="2921"/>
      <c r="I35" s="1581"/>
      <c r="J35" s="1582"/>
      <c r="K35" s="2925"/>
      <c r="L35" s="2924"/>
      <c r="M35" s="2924"/>
    </row>
    <row r="36" spans="1:18" ht="18" customHeight="1">
      <c r="A36" s="1261" t="s">
        <v>1007</v>
      </c>
      <c r="B36" s="307" t="s">
        <v>1414</v>
      </c>
      <c r="C36" s="24">
        <f ca="1">ROUND(C29*F36,0)</f>
        <v>0</v>
      </c>
      <c r="D36" s="1527" t="s">
        <v>1447</v>
      </c>
      <c r="E36" s="307" t="s">
        <v>1387</v>
      </c>
      <c r="F36" s="333">
        <f ca="1">INDIRECT("'数据-取费表'!Ak"&amp;$G$1)</f>
        <v>0</v>
      </c>
      <c r="G36" s="1567"/>
      <c r="H36" s="2924"/>
      <c r="I36" s="1581"/>
      <c r="J36" s="1582"/>
      <c r="K36" s="2766"/>
      <c r="L36" s="2924"/>
      <c r="M36" s="2924"/>
    </row>
    <row r="37" spans="1:18" ht="18" customHeight="1">
      <c r="A37" s="1112" t="s">
        <v>1043</v>
      </c>
      <c r="B37" s="307" t="s">
        <v>1418</v>
      </c>
      <c r="C37" s="24">
        <f ca="1">ROUND(C13*F37,0)</f>
        <v>0</v>
      </c>
      <c r="D37" s="1527" t="s">
        <v>1419</v>
      </c>
      <c r="E37" s="307" t="s">
        <v>1420</v>
      </c>
      <c r="F37" s="335">
        <f ca="1">INDIRECT("'数据-取费表'!Al"&amp;$G$1)</f>
        <v>0</v>
      </c>
      <c r="G37" s="1567"/>
      <c r="H37" s="2924"/>
      <c r="I37" s="1581"/>
      <c r="J37" s="1582"/>
      <c r="K37" s="2766"/>
      <c r="L37" s="2924"/>
      <c r="M37" s="2924"/>
    </row>
    <row r="38" spans="1:18" ht="18" customHeight="1" thickBot="1">
      <c r="A38" s="1248" t="s">
        <v>1358</v>
      </c>
      <c r="B38" s="1249" t="s">
        <v>1404</v>
      </c>
      <c r="C38" s="1250">
        <f ca="1">ROUND(C5*F38,1)</f>
        <v>0</v>
      </c>
      <c r="D38" s="1251" t="s">
        <v>1424</v>
      </c>
      <c r="E38" s="1249" t="s">
        <v>1420</v>
      </c>
      <c r="F38" s="1245">
        <f ca="1">INDIRECT("'数据-取费表'!Am"&amp;$G$1)</f>
        <v>0</v>
      </c>
      <c r="G38" s="1567"/>
      <c r="H38" s="2924"/>
      <c r="I38" s="1581"/>
      <c r="J38" s="1582"/>
      <c r="K38" s="2928"/>
      <c r="L38" s="2924"/>
      <c r="M38" s="2924"/>
    </row>
    <row r="39" spans="1:18" ht="24.6" customHeight="1" thickTop="1">
      <c r="A39" s="1238" t="s">
        <v>999</v>
      </c>
      <c r="B39" s="1253" t="s">
        <v>1448</v>
      </c>
      <c r="C39" s="315">
        <f ca="1">C5-C30</f>
        <v>0</v>
      </c>
      <c r="D39" s="1254" t="s">
        <v>1449</v>
      </c>
      <c r="E39" s="1255"/>
      <c r="F39" s="1256"/>
      <c r="G39" s="1567"/>
      <c r="H39" s="2924"/>
      <c r="I39" s="1581"/>
      <c r="J39" s="1582"/>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2"/>
      <c r="I41" s="1581"/>
      <c r="J41" s="1582"/>
      <c r="K41" s="2766"/>
      <c r="L41" s="1352"/>
      <c r="M41" s="1352"/>
    </row>
    <row r="42" spans="1:18" ht="18" customHeight="1">
      <c r="A42" s="313"/>
      <c r="B42" s="314"/>
      <c r="C42" s="315"/>
      <c r="D42" s="332"/>
      <c r="E42" s="307" t="s">
        <v>1442</v>
      </c>
      <c r="F42" s="317">
        <f ca="1">INDIRECT("'数据-取费表'!v"&amp;$G$1)</f>
        <v>0</v>
      </c>
      <c r="G42" s="1567"/>
      <c r="H42" s="1352"/>
      <c r="I42" s="1581"/>
      <c r="J42" s="1582"/>
      <c r="K42" s="2766"/>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50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38.340000000000003</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8" t="s">
        <v>1374</v>
      </c>
      <c r="C53" s="321">
        <f ca="1">ROUND(IF(F53="押一",C49/12*F11,IF(F53="押二",C49/12*2*F11,IF(F53="押三",C49/12*3*F11,C54*F11))),0)</f>
        <v>0</v>
      </c>
      <c r="D53" s="1549" t="s">
        <v>2857</v>
      </c>
      <c r="E53" s="318" t="s">
        <v>1375</v>
      </c>
      <c r="F53" s="1275"/>
      <c r="I53" s="1622" t="s">
        <v>1512</v>
      </c>
      <c r="J53" s="2385">
        <f ca="1">IF(M47="住宅",IF(D1="——",MAX(J51,L48),MAX(J51,L48-'数据-取费表'!B24)),IF(D1="——",MIN(J51,L48),MIN(J51,L48-'数据-取费表'!B24)))</f>
        <v>0</v>
      </c>
      <c r="K53" s="3305" t="s">
        <v>1513</v>
      </c>
      <c r="L53" s="3306"/>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0</v>
      </c>
      <c r="D56" s="1630"/>
      <c r="E56" s="1631"/>
      <c r="F56" s="1623"/>
      <c r="I56" s="1632" t="s">
        <v>1519</v>
      </c>
      <c r="J56" s="1633"/>
      <c r="K56" s="1604" t="s">
        <v>1520</v>
      </c>
      <c r="L56" s="1607">
        <f ca="1">IF(L48&lt;J51,"——",L48-J51)</f>
        <v>38.340000000000003</v>
      </c>
      <c r="O56" s="1601" t="s">
        <v>1008</v>
      </c>
      <c r="P56" s="1602" t="s">
        <v>1493</v>
      </c>
      <c r="Q56" s="1603" t="e">
        <f ca="1">C40+J29</f>
        <v>#DIV/0!</v>
      </c>
      <c r="R56" s="1603" t="s">
        <v>1494</v>
      </c>
    </row>
    <row r="57" spans="1:18" s="1567" customFormat="1" ht="24.75" thickBot="1">
      <c r="A57" s="1634"/>
      <c r="B57" s="1080" t="s">
        <v>1443</v>
      </c>
      <c r="C57" s="243">
        <f ca="1">C29</f>
        <v>0</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8" t="s">
        <v>1389</v>
      </c>
      <c r="C58" s="321">
        <f ca="1">ROUND(C59+C64+C65+C66,0)</f>
        <v>0</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0</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1" t="s">
        <v>1530</v>
      </c>
      <c r="J60" s="1642" t="str">
        <f ca="1">IF(OR(M47="住宅",J51&lt;L48,J56="是"),"0",ROUND(J59/(1+J52)^J53,0))</f>
        <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0">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6"/>
      <c r="C63" s="29"/>
      <c r="D63" s="1096"/>
      <c r="E63" s="1080"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7">
        <f t="shared" ca="1" si="0"/>
        <v>0</v>
      </c>
      <c r="O66" s="1601" t="s">
        <v>1009</v>
      </c>
      <c r="P66" s="1602" t="s">
        <v>1523</v>
      </c>
      <c r="Q66" s="1603" t="e">
        <f ca="1">L60</f>
        <v>#DIV/0!</v>
      </c>
      <c r="R66" s="1603" t="s">
        <v>1546</v>
      </c>
    </row>
    <row r="67" spans="1:18" s="1567" customFormat="1" ht="16.5" thickBot="1">
      <c r="A67" s="1087" t="s">
        <v>999</v>
      </c>
      <c r="B67" s="1097" t="s">
        <v>1428</v>
      </c>
      <c r="C67" s="321">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6" t="e">
        <f ca="1">ROUND(C67*(1-((1+F70)/(1+F68))^F69)/(F68-F70),0)</f>
        <v>#DIV/0!</v>
      </c>
      <c r="D68" s="1095" t="s">
        <v>1434</v>
      </c>
      <c r="E68" s="1080" t="s">
        <v>1435</v>
      </c>
      <c r="F68" s="317">
        <f ca="1">F40</f>
        <v>0</v>
      </c>
      <c r="O68" s="1611" t="s">
        <v>1011</v>
      </c>
      <c r="P68" s="1650" t="s">
        <v>1548</v>
      </c>
      <c r="Q68" s="1603">
        <f ca="1">ROUND(Q69-Q70*Q71,0)</f>
        <v>0</v>
      </c>
      <c r="R68" s="1603" t="s">
        <v>1019</v>
      </c>
    </row>
    <row r="69" spans="1:18" s="1567" customFormat="1" ht="13.5" thickBot="1">
      <c r="A69" s="1081"/>
      <c r="B69" s="1082"/>
      <c r="C69" s="311"/>
      <c r="D69" s="1100" t="s">
        <v>1438</v>
      </c>
      <c r="E69" s="1080" t="s">
        <v>1439</v>
      </c>
      <c r="F69" s="338">
        <f ca="1">F41</f>
        <v>0</v>
      </c>
      <c r="O69" s="1611" t="s">
        <v>1016</v>
      </c>
      <c r="P69" s="1650" t="s">
        <v>1549</v>
      </c>
      <c r="Q69" s="1603">
        <f ca="1">C39</f>
        <v>0</v>
      </c>
      <c r="R69" s="1603" t="s">
        <v>1494</v>
      </c>
    </row>
    <row r="70" spans="1:18" s="1567" customFormat="1" ht="13.5" thickBot="1">
      <c r="A70" s="1084"/>
      <c r="B70" s="1085"/>
      <c r="C70" s="315"/>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1" t="e">
        <f ca="1">ROUND(C68/F71,0)</f>
        <v>#DIV/0!</v>
      </c>
      <c r="D71" s="1103" t="s">
        <v>1453</v>
      </c>
      <c r="E71" s="1104"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2344</v>
      </c>
      <c r="B1" s="2053"/>
      <c r="C1" s="2053"/>
      <c r="D1" s="2053"/>
      <c r="E1" s="2054"/>
      <c r="F1" s="2931"/>
      <c r="G1" s="1673"/>
      <c r="H1" s="1673"/>
      <c r="I1" s="1673"/>
      <c r="J1" s="1673"/>
      <c r="K1" s="1673"/>
      <c r="L1" s="1673"/>
      <c r="M1" s="1673"/>
      <c r="N1" s="1673"/>
      <c r="O1" s="1673"/>
      <c r="P1" s="1673"/>
      <c r="Q1" s="1673"/>
      <c r="R1" s="1673"/>
      <c r="S1" s="1673"/>
    </row>
    <row r="2" spans="1:22" ht="15.75">
      <c r="A2" s="2055" t="s">
        <v>2148</v>
      </c>
      <c r="B2" s="2056">
        <f ca="1">SUMIF(B6:B13,"&lt;&gt;#ref!",B6:B13)</f>
        <v>4631</v>
      </c>
      <c r="C2" s="2057" t="s">
        <v>2337</v>
      </c>
      <c r="D2" s="2058" t="s">
        <v>2338</v>
      </c>
      <c r="E2" s="2829">
        <f>SUM(E6:E13)</f>
        <v>34910.400000000001</v>
      </c>
      <c r="F2" s="2931"/>
      <c r="G2" s="1673"/>
      <c r="H2" s="1673"/>
      <c r="I2" s="1673"/>
      <c r="J2" s="1673"/>
      <c r="K2" s="1673"/>
      <c r="L2" s="1673"/>
      <c r="M2" s="1673"/>
      <c r="N2" s="1673"/>
      <c r="O2" s="1673"/>
      <c r="P2" s="1673"/>
      <c r="Q2" s="1673"/>
      <c r="R2" s="1673"/>
      <c r="S2" s="1673"/>
    </row>
    <row r="3" spans="1:22" ht="15.75">
      <c r="A3" s="2055" t="s">
        <v>1360</v>
      </c>
      <c r="B3" s="2823">
        <f ca="1">ROUND(B2*10000/E2,0)</f>
        <v>1327</v>
      </c>
      <c r="C3" s="2057" t="s">
        <v>2345</v>
      </c>
      <c r="D3" s="2933"/>
      <c r="E3" s="2935"/>
      <c r="F3" s="2931"/>
      <c r="G3" s="1673"/>
      <c r="H3" s="1673"/>
      <c r="I3" s="1673"/>
      <c r="J3" s="1673"/>
      <c r="K3" s="1673"/>
      <c r="L3" s="1673"/>
      <c r="M3" s="1673"/>
      <c r="N3" s="1673"/>
      <c r="O3" s="1673"/>
      <c r="P3" s="1673"/>
      <c r="Q3" s="1673"/>
      <c r="R3" s="1673"/>
      <c r="S3" s="1673"/>
    </row>
    <row r="4" spans="1:22" ht="15.75">
      <c r="A4" s="2936"/>
      <c r="B4" s="2933"/>
      <c r="C4" s="2933"/>
      <c r="D4" s="2933"/>
      <c r="E4" s="2935"/>
      <c r="F4" s="2931"/>
      <c r="G4" s="1673"/>
      <c r="H4" s="1673"/>
      <c r="I4" s="1673"/>
      <c r="J4" s="1673"/>
      <c r="K4" s="1673"/>
      <c r="L4" s="1673"/>
      <c r="M4" s="1673"/>
      <c r="N4" s="1673"/>
      <c r="O4" s="1673"/>
      <c r="P4" s="1673"/>
      <c r="Q4" s="1673"/>
      <c r="R4" s="1673"/>
      <c r="S4" s="1673"/>
    </row>
    <row r="5" spans="1:22" ht="15">
      <c r="A5" s="2825" t="s">
        <v>2339</v>
      </c>
      <c r="B5" s="3310" t="s">
        <v>2340</v>
      </c>
      <c r="C5" s="3311"/>
      <c r="D5" s="2932"/>
      <c r="E5" s="2059" t="s">
        <v>2341</v>
      </c>
      <c r="F5" s="2060" t="s">
        <v>2342</v>
      </c>
      <c r="G5" s="1673"/>
      <c r="H5" s="1673"/>
      <c r="I5" s="1673"/>
      <c r="J5" s="1673"/>
      <c r="K5" s="1673"/>
      <c r="L5" s="1673"/>
      <c r="M5" s="1673"/>
      <c r="N5" s="1673"/>
      <c r="O5" s="1673"/>
      <c r="P5" s="1673"/>
      <c r="Q5" s="1673"/>
      <c r="R5" s="1673"/>
      <c r="S5" s="1673"/>
    </row>
    <row r="6" spans="1:22">
      <c r="A6" s="2826" t="str">
        <f>'数据-取费表'!AN6</f>
        <v>收益法</v>
      </c>
      <c r="B6" s="2824">
        <f ca="1">IF(F6="是",'数据-取费表'!AO6,0)</f>
        <v>4631</v>
      </c>
      <c r="C6" s="2057" t="s">
        <v>2337</v>
      </c>
      <c r="D6" s="2933"/>
      <c r="E6" s="2828">
        <f>IF(OR(A6=0,F6="否"),0,'数据-取费表'!K6+'数据-取费表'!S6)</f>
        <v>34910.400000000001</v>
      </c>
      <c r="F6" s="2061" t="s">
        <v>2343</v>
      </c>
      <c r="G6" s="1673"/>
      <c r="H6" s="1673"/>
      <c r="I6" s="1673"/>
      <c r="J6" s="1673"/>
      <c r="K6" s="1673"/>
      <c r="L6" s="1673"/>
      <c r="M6" s="1673"/>
      <c r="N6" s="1673"/>
      <c r="O6" s="1673"/>
      <c r="P6" s="1673"/>
      <c r="Q6" s="1673"/>
      <c r="R6" s="1673"/>
      <c r="S6" s="1673"/>
    </row>
    <row r="7" spans="1:22">
      <c r="A7" s="2826">
        <f>'数据-取费表'!AN7</f>
        <v>0</v>
      </c>
      <c r="B7" s="2824" t="e">
        <f ca="1">IF(F7="是",'数据-取费表'!AO7,0)</f>
        <v>#REF!</v>
      </c>
      <c r="C7" s="2057" t="s">
        <v>2337</v>
      </c>
      <c r="D7" s="2933"/>
      <c r="E7" s="2828">
        <f>IF(OR(A7=0,F7="否"),0,'数据-取费表'!K7+'数据-取费表'!S7)</f>
        <v>0</v>
      </c>
      <c r="F7" s="2061" t="s">
        <v>2343</v>
      </c>
      <c r="G7" s="1673"/>
      <c r="H7" s="1673"/>
      <c r="I7" s="1673"/>
      <c r="J7" s="1673"/>
      <c r="K7" s="1673"/>
      <c r="L7" s="1673"/>
      <c r="M7" s="1673"/>
      <c r="N7" s="1673"/>
      <c r="O7" s="1673"/>
      <c r="P7" s="1673"/>
      <c r="Q7" s="1673"/>
      <c r="R7" s="1673"/>
      <c r="S7" s="1673"/>
    </row>
    <row r="8" spans="1:22">
      <c r="A8" s="2826">
        <f>'数据-取费表'!AN8</f>
        <v>0</v>
      </c>
      <c r="B8" s="2824" t="e">
        <f ca="1">IF(F8="是",'数据-取费表'!AO8,0)</f>
        <v>#REF!</v>
      </c>
      <c r="C8" s="2057" t="s">
        <v>2337</v>
      </c>
      <c r="D8" s="2933"/>
      <c r="E8" s="2828">
        <f>IF(OR(A8=0,F8="否"),0,'数据-取费表'!K8+'数据-取费表'!S8)</f>
        <v>0</v>
      </c>
      <c r="F8" s="2061" t="s">
        <v>2343</v>
      </c>
      <c r="G8" s="1673"/>
      <c r="H8" s="1673"/>
      <c r="I8" s="1673"/>
      <c r="J8" s="1673"/>
      <c r="K8" s="1673"/>
      <c r="L8" s="1673"/>
      <c r="M8" s="1673"/>
      <c r="N8" s="1673"/>
      <c r="O8" s="1673"/>
      <c r="P8" s="1673"/>
      <c r="Q8" s="1673"/>
      <c r="R8" s="1673"/>
      <c r="S8" s="1673"/>
    </row>
    <row r="9" spans="1:22">
      <c r="A9" s="2826">
        <f>'数据-取费表'!AN9</f>
        <v>0</v>
      </c>
      <c r="B9" s="2824" t="e">
        <f ca="1">IF(F9="是",'数据-取费表'!AO9,0)</f>
        <v>#REF!</v>
      </c>
      <c r="C9" s="2057" t="s">
        <v>2337</v>
      </c>
      <c r="D9" s="2933"/>
      <c r="E9" s="2828">
        <f>IF(OR(A9=0,F9="否"),0,'数据-取费表'!K9+'数据-取费表'!S9)</f>
        <v>0</v>
      </c>
      <c r="F9" s="2061" t="s">
        <v>2343</v>
      </c>
      <c r="G9" s="1673"/>
      <c r="H9" s="1673"/>
      <c r="I9" s="1673"/>
      <c r="J9" s="1673"/>
      <c r="K9" s="1673"/>
      <c r="L9" s="1673"/>
      <c r="M9" s="1673"/>
      <c r="N9" s="1673"/>
      <c r="O9" s="1673"/>
      <c r="P9" s="1673"/>
      <c r="Q9" s="1673"/>
      <c r="R9" s="1673"/>
      <c r="S9" s="1673"/>
    </row>
    <row r="10" spans="1:22">
      <c r="A10" s="2826">
        <f>'数据-取费表'!AN10</f>
        <v>0</v>
      </c>
      <c r="B10" s="2824" t="e">
        <f ca="1">IF(F10="是",'数据-取费表'!AO10,0)</f>
        <v>#REF!</v>
      </c>
      <c r="C10" s="2057" t="s">
        <v>2337</v>
      </c>
      <c r="D10" s="2933"/>
      <c r="E10" s="2828">
        <f>IF(OR(A10=0,F10="否"),0,'数据-取费表'!K10+'数据-取费表'!S10)</f>
        <v>0</v>
      </c>
      <c r="F10" s="2061" t="s">
        <v>2343</v>
      </c>
      <c r="G10" s="1673"/>
      <c r="H10" s="1673"/>
      <c r="I10" s="1673"/>
      <c r="J10" s="1673"/>
      <c r="K10" s="1673"/>
      <c r="L10" s="1673"/>
      <c r="M10" s="1673"/>
      <c r="N10" s="1673"/>
      <c r="O10" s="1673"/>
      <c r="P10" s="1673"/>
      <c r="Q10" s="1673"/>
      <c r="R10" s="1673"/>
      <c r="S10" s="1673"/>
    </row>
    <row r="11" spans="1:22">
      <c r="A11" s="2826">
        <f>'数据-取费表'!AN11</f>
        <v>0</v>
      </c>
      <c r="B11" s="2824" t="e">
        <f ca="1">IF(F11="是",'数据-取费表'!AO11,0)</f>
        <v>#REF!</v>
      </c>
      <c r="C11" s="2057" t="s">
        <v>2337</v>
      </c>
      <c r="D11" s="2933"/>
      <c r="E11" s="2828">
        <f>IF(OR(A11=0,F11="否"),0,'数据-取费表'!K11+'数据-取费表'!S11)</f>
        <v>0</v>
      </c>
      <c r="F11" s="2061" t="s">
        <v>2343</v>
      </c>
      <c r="G11" s="1673"/>
      <c r="H11" s="1673"/>
      <c r="I11" s="1673"/>
      <c r="J11" s="1673"/>
      <c r="K11" s="1673"/>
      <c r="L11" s="1673"/>
      <c r="M11" s="1673"/>
      <c r="N11" s="1673"/>
      <c r="O11" s="1673"/>
      <c r="P11" s="1673"/>
      <c r="Q11" s="1673"/>
      <c r="R11" s="1673"/>
      <c r="S11" s="1673"/>
    </row>
    <row r="12" spans="1:22">
      <c r="A12" s="2826">
        <f>'数据-取费表'!AN12</f>
        <v>0</v>
      </c>
      <c r="B12" s="2824" t="e">
        <f ca="1">IF(F12="是",'数据-取费表'!AO12,0)</f>
        <v>#REF!</v>
      </c>
      <c r="C12" s="2057" t="s">
        <v>2337</v>
      </c>
      <c r="D12" s="2933"/>
      <c r="E12" s="2828">
        <f>IF(OR(A12=0,F12="否"),0,'数据-取费表'!K12+'数据-取费表'!S12)</f>
        <v>0</v>
      </c>
      <c r="F12" s="2061" t="s">
        <v>2343</v>
      </c>
      <c r="G12" s="1673"/>
      <c r="H12" s="1673"/>
      <c r="I12" s="1673"/>
      <c r="J12" s="1673"/>
      <c r="K12" s="1673"/>
      <c r="L12" s="1673"/>
      <c r="M12" s="1673"/>
      <c r="N12" s="1673"/>
      <c r="O12" s="1673"/>
      <c r="P12" s="1673"/>
      <c r="Q12" s="1673"/>
      <c r="R12" s="1673"/>
      <c r="S12" s="1673"/>
    </row>
    <row r="13" spans="1:22" ht="15" thickBot="1">
      <c r="A13" s="2827">
        <f>'数据-取费表'!AN13</f>
        <v>0</v>
      </c>
      <c r="B13" s="2824" t="e">
        <f ca="1">IF(F13="是",'数据-取费表'!AO13,0)</f>
        <v>#REF!</v>
      </c>
      <c r="C13" s="2062" t="s">
        <v>2337</v>
      </c>
      <c r="D13" s="2934"/>
      <c r="E13" s="2828">
        <f>IF(OR(A13=0,F13="否"),0,'数据-取费表'!K13+'数据-取费表'!S13)</f>
        <v>0</v>
      </c>
      <c r="F13" s="2061"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H5" sqref="H5"/>
    </sheetView>
  </sheetViews>
  <sheetFormatPr defaultRowHeight="13.5"/>
  <cols>
    <col min="1" max="1" width="10.5" customWidth="1"/>
    <col min="2" max="2" width="12.875" customWidth="1"/>
    <col min="3" max="3" width="8.75" customWidth="1"/>
  </cols>
  <sheetData>
    <row r="1" spans="1:9" ht="14.25">
      <c r="A1" s="3328" t="s">
        <v>1044</v>
      </c>
      <c r="B1" s="3329"/>
      <c r="C1" s="3330"/>
      <c r="D1" s="3331">
        <f>SUM(I10,I15,I20,I21,I23)</f>
        <v>0</v>
      </c>
      <c r="E1" s="3331"/>
      <c r="F1" s="3331"/>
      <c r="G1" s="3331"/>
      <c r="H1" s="3331"/>
      <c r="I1" s="3332"/>
    </row>
    <row r="2" spans="1:9">
      <c r="A2" s="3318" t="s">
        <v>1045</v>
      </c>
      <c r="B2" s="3319" t="s">
        <v>1046</v>
      </c>
      <c r="C2" s="3319"/>
      <c r="D2" s="1210" t="s">
        <v>1047</v>
      </c>
      <c r="E2" s="1210" t="s">
        <v>1048</v>
      </c>
      <c r="F2" s="1210" t="s">
        <v>1049</v>
      </c>
      <c r="G2" s="1210" t="s">
        <v>1050</v>
      </c>
      <c r="H2" s="1210" t="s">
        <v>1051</v>
      </c>
      <c r="I2" s="1211" t="s">
        <v>1052</v>
      </c>
    </row>
    <row r="3" spans="1:9">
      <c r="A3" s="3318"/>
      <c r="B3" s="3319" t="s">
        <v>1053</v>
      </c>
      <c r="C3" s="3319"/>
      <c r="D3" s="1212"/>
      <c r="E3" s="1210"/>
      <c r="F3" s="1213"/>
      <c r="G3" s="1213"/>
      <c r="H3" s="1214"/>
      <c r="I3" s="1215">
        <f>ROUND(D3*E3*F3*G3*H3/10000,0)</f>
        <v>0</v>
      </c>
    </row>
    <row r="4" spans="1:9">
      <c r="A4" s="3318"/>
      <c r="B4" s="3319" t="s">
        <v>1054</v>
      </c>
      <c r="C4" s="3319"/>
      <c r="D4" s="1212"/>
      <c r="E4" s="1210"/>
      <c r="F4" s="1213"/>
      <c r="G4" s="1213"/>
      <c r="H4" s="1214"/>
      <c r="I4" s="1215">
        <f t="shared" ref="I4:I9" si="0">ROUND(D4*E4*F4*G4*H4/10000,0)</f>
        <v>0</v>
      </c>
    </row>
    <row r="5" spans="1:9">
      <c r="A5" s="3318"/>
      <c r="B5" s="3319" t="s">
        <v>1055</v>
      </c>
      <c r="C5" s="3319"/>
      <c r="D5" s="1212"/>
      <c r="E5" s="1210"/>
      <c r="F5" s="1213"/>
      <c r="G5" s="1213"/>
      <c r="H5" s="1214"/>
      <c r="I5" s="1215">
        <f t="shared" si="0"/>
        <v>0</v>
      </c>
    </row>
    <row r="6" spans="1:9">
      <c r="A6" s="3318"/>
      <c r="B6" s="3319" t="s">
        <v>1056</v>
      </c>
      <c r="C6" s="3319"/>
      <c r="D6" s="1212"/>
      <c r="E6" s="1210"/>
      <c r="F6" s="1213"/>
      <c r="G6" s="1213"/>
      <c r="H6" s="1214"/>
      <c r="I6" s="1215">
        <f t="shared" si="0"/>
        <v>0</v>
      </c>
    </row>
    <row r="7" spans="1:9">
      <c r="A7" s="3318"/>
      <c r="B7" s="3319" t="s">
        <v>1057</v>
      </c>
      <c r="C7" s="3319"/>
      <c r="D7" s="1212"/>
      <c r="E7" s="1210"/>
      <c r="F7" s="1213"/>
      <c r="G7" s="1213"/>
      <c r="H7" s="1214"/>
      <c r="I7" s="1215">
        <f t="shared" si="0"/>
        <v>0</v>
      </c>
    </row>
    <row r="8" spans="1:9">
      <c r="A8" s="3318"/>
      <c r="B8" s="3319" t="s">
        <v>1058</v>
      </c>
      <c r="C8" s="3319"/>
      <c r="D8" s="1212"/>
      <c r="E8" s="1210"/>
      <c r="F8" s="1213"/>
      <c r="G8" s="1213"/>
      <c r="H8" s="1214"/>
      <c r="I8" s="1215">
        <f t="shared" si="0"/>
        <v>0</v>
      </c>
    </row>
    <row r="9" spans="1:9">
      <c r="A9" s="3318"/>
      <c r="B9" s="3319" t="s">
        <v>1059</v>
      </c>
      <c r="C9" s="3319"/>
      <c r="D9" s="1212"/>
      <c r="E9" s="1210"/>
      <c r="F9" s="1213"/>
      <c r="G9" s="1213"/>
      <c r="H9" s="1214"/>
      <c r="I9" s="1215">
        <f t="shared" si="0"/>
        <v>0</v>
      </c>
    </row>
    <row r="10" spans="1:9">
      <c r="A10" s="3318"/>
      <c r="B10" s="3320" t="s">
        <v>1060</v>
      </c>
      <c r="C10" s="3320"/>
      <c r="D10" s="1216"/>
      <c r="E10" s="1216" t="e">
        <f>ROUND(D1*10000/D10/H9,0)</f>
        <v>#DIV/0!</v>
      </c>
      <c r="F10" s="1217"/>
      <c r="G10" s="1217"/>
      <c r="H10" s="1218"/>
      <c r="I10" s="1219">
        <f>SUM(I3:I9)</f>
        <v>0</v>
      </c>
    </row>
    <row r="11" spans="1:9" ht="14.25">
      <c r="A11" s="3318" t="s">
        <v>1061</v>
      </c>
      <c r="B11" s="3319" t="s">
        <v>1062</v>
      </c>
      <c r="C11" s="3319"/>
      <c r="D11" s="1212" t="s">
        <v>1063</v>
      </c>
      <c r="E11" s="1212" t="s">
        <v>1064</v>
      </c>
      <c r="F11" s="1213" t="s">
        <v>1065</v>
      </c>
      <c r="G11" s="1213" t="s">
        <v>1051</v>
      </c>
      <c r="H11" s="1220" t="s">
        <v>1066</v>
      </c>
      <c r="I11" s="1211" t="s">
        <v>1052</v>
      </c>
    </row>
    <row r="12" spans="1:9">
      <c r="A12" s="3318"/>
      <c r="B12" s="3319" t="s">
        <v>1067</v>
      </c>
      <c r="C12" s="3319"/>
      <c r="D12" s="1212"/>
      <c r="E12" s="1212"/>
      <c r="F12" s="1213"/>
      <c r="G12" s="1214"/>
      <c r="H12" s="1221"/>
      <c r="I12" s="1211">
        <f>ROUND(D12*E12*F12*G12/10000,0)</f>
        <v>0</v>
      </c>
    </row>
    <row r="13" spans="1:9">
      <c r="A13" s="3318"/>
      <c r="B13" s="3319" t="s">
        <v>1068</v>
      </c>
      <c r="C13" s="3319"/>
      <c r="D13" s="1212"/>
      <c r="E13" s="1212"/>
      <c r="F13" s="1213"/>
      <c r="G13" s="1214"/>
      <c r="H13" s="1221"/>
      <c r="I13" s="1211">
        <f>ROUND(D13*E13*F13*G13/10000,0)</f>
        <v>0</v>
      </c>
    </row>
    <row r="14" spans="1:9">
      <c r="A14" s="3318"/>
      <c r="B14" s="3319" t="s">
        <v>1069</v>
      </c>
      <c r="C14" s="3319"/>
      <c r="D14" s="1212"/>
      <c r="E14" s="1212"/>
      <c r="F14" s="1213"/>
      <c r="G14" s="1214"/>
      <c r="H14" s="1221"/>
      <c r="I14" s="1211">
        <f>ROUND(D14*E14*F14*G14/10000,0)</f>
        <v>0</v>
      </c>
    </row>
    <row r="15" spans="1:9">
      <c r="A15" s="3318"/>
      <c r="B15" s="3320" t="s">
        <v>1060</v>
      </c>
      <c r="C15" s="3320"/>
      <c r="D15" s="1216"/>
      <c r="E15" s="1216">
        <f>SUM(E12:E14)</f>
        <v>0</v>
      </c>
      <c r="F15" s="1217"/>
      <c r="G15" s="1214"/>
      <c r="H15" s="1221"/>
      <c r="I15" s="1222">
        <f>SUM(I12:I14)</f>
        <v>0</v>
      </c>
    </row>
    <row r="16" spans="1:9" ht="24">
      <c r="A16" s="3318" t="s">
        <v>1070</v>
      </c>
      <c r="B16" s="3319" t="s">
        <v>1071</v>
      </c>
      <c r="C16" s="3319"/>
      <c r="D16" s="1212" t="s">
        <v>1047</v>
      </c>
      <c r="E16" s="1223" t="s">
        <v>1072</v>
      </c>
      <c r="F16" s="1213" t="s">
        <v>1073</v>
      </c>
      <c r="G16" s="1214" t="s">
        <v>1051</v>
      </c>
      <c r="H16" s="1220" t="s">
        <v>1066</v>
      </c>
      <c r="I16" s="1211" t="s">
        <v>1052</v>
      </c>
    </row>
    <row r="17" spans="1:9" ht="14.25">
      <c r="A17" s="3318"/>
      <c r="B17" s="3319" t="s">
        <v>1074</v>
      </c>
      <c r="C17" s="3319"/>
      <c r="D17" s="1212"/>
      <c r="E17" s="1212"/>
      <c r="F17" s="1213"/>
      <c r="G17" s="1214"/>
      <c r="H17" s="1224"/>
      <c r="I17" s="1225">
        <f>ROUND(D17*E17*F17*G17/10000,0)</f>
        <v>0</v>
      </c>
    </row>
    <row r="18" spans="1:9" ht="14.25">
      <c r="A18" s="3318"/>
      <c r="B18" s="3319" t="s">
        <v>1075</v>
      </c>
      <c r="C18" s="3319"/>
      <c r="D18" s="1212"/>
      <c r="E18" s="1212"/>
      <c r="F18" s="1213"/>
      <c r="G18" s="1214"/>
      <c r="H18" s="1224"/>
      <c r="I18" s="1225">
        <f>ROUND(D18*E18*F18*G18/10000,0)</f>
        <v>0</v>
      </c>
    </row>
    <row r="19" spans="1:9" ht="14.25">
      <c r="A19" s="3318"/>
      <c r="B19" s="3319" t="s">
        <v>1076</v>
      </c>
      <c r="C19" s="3319"/>
      <c r="D19" s="1212"/>
      <c r="E19" s="1212"/>
      <c r="F19" s="1213"/>
      <c r="G19" s="1214"/>
      <c r="H19" s="1224"/>
      <c r="I19" s="1225">
        <f>ROUND(D19*E19*F19*G19/10000,0)</f>
        <v>0</v>
      </c>
    </row>
    <row r="20" spans="1:9">
      <c r="A20" s="3318"/>
      <c r="B20" s="3320" t="s">
        <v>1060</v>
      </c>
      <c r="C20" s="3320"/>
      <c r="D20" s="1216">
        <f>SUM(D17:D19)</f>
        <v>0</v>
      </c>
      <c r="E20" s="1216"/>
      <c r="F20" s="1217"/>
      <c r="G20" s="1214"/>
      <c r="H20" s="1221"/>
      <c r="I20" s="1222">
        <f>SUM(I17:I19)</f>
        <v>0</v>
      </c>
    </row>
    <row r="21" spans="1:9">
      <c r="A21" s="3318" t="s">
        <v>1077</v>
      </c>
      <c r="B21" s="3321"/>
      <c r="C21" s="3321"/>
      <c r="D21" s="3321"/>
      <c r="E21" s="3321"/>
      <c r="F21" s="3321"/>
      <c r="G21" s="3321"/>
      <c r="H21" s="1501">
        <v>0.1</v>
      </c>
      <c r="I21" s="1219">
        <f>ROUND(I10*H21,0)</f>
        <v>0</v>
      </c>
    </row>
    <row r="22" spans="1:9" ht="14.25">
      <c r="A22" s="3322" t="s">
        <v>1078</v>
      </c>
      <c r="B22" s="3323"/>
      <c r="C22" s="3324"/>
      <c r="D22" s="1226" t="s">
        <v>1079</v>
      </c>
      <c r="E22" s="1226" t="s">
        <v>1080</v>
      </c>
      <c r="F22" s="1227" t="s">
        <v>1081</v>
      </c>
      <c r="G22" s="1227" t="s">
        <v>1082</v>
      </c>
      <c r="H22" s="1220" t="s">
        <v>1083</v>
      </c>
      <c r="I22" s="1211" t="s">
        <v>1084</v>
      </c>
    </row>
    <row r="23" spans="1:9" ht="14.25" thickBot="1">
      <c r="A23" s="3325"/>
      <c r="B23" s="3326"/>
      <c r="C23" s="3327"/>
      <c r="D23" s="1228"/>
      <c r="E23" s="1228"/>
      <c r="F23" s="1228"/>
      <c r="G23" s="1229"/>
      <c r="H23" s="1230"/>
      <c r="I23" s="1231">
        <f>ROUND(E23*D23*F23*(1-G23)/10000,0)</f>
        <v>0</v>
      </c>
    </row>
    <row r="26" spans="1:9">
      <c r="A26" s="1232" t="s">
        <v>1085</v>
      </c>
      <c r="B26" s="1232"/>
      <c r="C26" s="1232"/>
      <c r="D26" s="1232"/>
      <c r="E26" s="3315">
        <f>C27-C30-C31-C32</f>
        <v>0</v>
      </c>
      <c r="F26" s="3315"/>
      <c r="G26" s="3315"/>
      <c r="H26" s="1498" t="s">
        <v>1306</v>
      </c>
    </row>
    <row r="27" spans="1:9">
      <c r="A27" s="1233">
        <v>1</v>
      </c>
      <c r="B27" s="1234" t="s">
        <v>1086</v>
      </c>
      <c r="C27" s="1234">
        <f>C28+C29</f>
        <v>0</v>
      </c>
      <c r="D27" s="1234"/>
      <c r="E27" s="3316"/>
      <c r="F27" s="3316"/>
      <c r="G27" s="3316"/>
    </row>
    <row r="28" spans="1:9">
      <c r="A28" s="1235" t="s">
        <v>1087</v>
      </c>
      <c r="B28" s="1234" t="s">
        <v>1088</v>
      </c>
      <c r="C28" s="1234"/>
      <c r="D28" s="1234"/>
      <c r="E28" s="3316"/>
      <c r="F28" s="3316"/>
      <c r="G28" s="331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7"/>
      <c r="F32" s="3317"/>
      <c r="G32" s="3317"/>
    </row>
    <row r="33" spans="1:7" hidden="1">
      <c r="A33" s="3312" t="s">
        <v>1097</v>
      </c>
      <c r="B33" s="3313"/>
      <c r="C33" s="3313"/>
      <c r="D33" s="3314"/>
      <c r="E33" s="3315"/>
      <c r="F33" s="3315"/>
      <c r="G33" s="3315"/>
    </row>
    <row r="34" spans="1:7" hidden="1">
      <c r="A34" s="1237">
        <v>1</v>
      </c>
      <c r="B34" s="1234" t="s">
        <v>1098</v>
      </c>
      <c r="C34" s="1234"/>
      <c r="D34" s="1234"/>
      <c r="E34" s="3316"/>
      <c r="F34" s="3316"/>
      <c r="G34" s="3316"/>
    </row>
    <row r="35" spans="1:7" hidden="1">
      <c r="A35" s="1237">
        <v>2</v>
      </c>
      <c r="B35" s="1234" t="s">
        <v>1099</v>
      </c>
      <c r="C35" s="1234"/>
      <c r="D35" s="1234"/>
      <c r="E35" s="3316"/>
      <c r="F35" s="3316"/>
      <c r="G35" s="3316"/>
    </row>
    <row r="36" spans="1:7" hidden="1">
      <c r="A36" s="1237">
        <v>3</v>
      </c>
      <c r="B36" s="1234" t="s">
        <v>1100</v>
      </c>
      <c r="C36" s="1234"/>
      <c r="D36" s="1234"/>
      <c r="E36" s="3316"/>
      <c r="F36" s="3316"/>
      <c r="G36" s="3316"/>
    </row>
    <row r="37" spans="1:7" hidden="1">
      <c r="A37" s="1237">
        <v>4</v>
      </c>
      <c r="B37" s="1234" t="s">
        <v>1101</v>
      </c>
      <c r="C37" s="1234"/>
      <c r="D37" s="1234"/>
      <c r="E37" s="3316"/>
      <c r="F37" s="3316"/>
      <c r="G37" s="3316"/>
    </row>
    <row r="38" spans="1:7" hidden="1">
      <c r="A38" s="3312" t="s">
        <v>1102</v>
      </c>
      <c r="B38" s="3313"/>
      <c r="C38" s="3313"/>
      <c r="D38" s="3314"/>
      <c r="E38" s="3315"/>
      <c r="F38" s="3315"/>
      <c r="G38" s="33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3" t="s">
        <v>2347</v>
      </c>
      <c r="C1" s="1405" t="s">
        <v>2348</v>
      </c>
      <c r="D1" s="1392"/>
      <c r="E1" s="2543"/>
      <c r="F1" s="2064" t="s">
        <v>2349</v>
      </c>
      <c r="G1" s="1402" t="s">
        <v>2350</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6"/>
      <c r="D2" s="1274" t="e">
        <f ca="1">SUMIF(INDIRECT("'"&amp;F2&amp;"'"&amp;"!A:A"),"承租人权益价值",INDIRECT("'"&amp;F2&amp;"'"&amp;"!c:c"))</f>
        <v>#REF!</v>
      </c>
      <c r="E2" s="2067" t="s">
        <v>2351</v>
      </c>
      <c r="F2" s="2068"/>
      <c r="G2" s="1037"/>
      <c r="H2" s="1037"/>
      <c r="I2" s="1037"/>
      <c r="J2" s="1037"/>
      <c r="K2" s="2069"/>
      <c r="L2" s="2937"/>
      <c r="M2" s="2938"/>
      <c r="N2" s="2938"/>
      <c r="O2" s="2938"/>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2352</v>
      </c>
      <c r="D3" s="358">
        <f>IF(D1="",'数据-汇总表'!E3,SUMIF('数据-汇总表'!$C19:$C33,D1,'数据-汇总表'!$E19:$E33))</f>
        <v>34910.400000000001</v>
      </c>
      <c r="E3" s="1037"/>
      <c r="F3" s="2073"/>
      <c r="G3" s="1037"/>
      <c r="H3" s="1037"/>
      <c r="I3" s="1037"/>
      <c r="J3" s="1037"/>
      <c r="K3" s="2069"/>
      <c r="L3" s="2937"/>
      <c r="M3" s="2938"/>
      <c r="N3" s="2938"/>
      <c r="O3" s="2938"/>
      <c r="P3" s="2070"/>
      <c r="Q3" s="2071"/>
      <c r="R3" s="2071"/>
      <c r="S3" s="2071"/>
      <c r="T3" s="2071"/>
      <c r="U3" s="2071"/>
      <c r="V3" s="2071"/>
      <c r="W3" s="2071"/>
      <c r="X3" s="2071"/>
      <c r="Y3" s="2071"/>
      <c r="Z3" s="2071"/>
      <c r="AA3" s="2071"/>
      <c r="AB3" s="2071"/>
      <c r="AC3" s="1191"/>
    </row>
    <row r="4" spans="1:29" ht="15">
      <c r="A4" s="360" t="s">
        <v>2353</v>
      </c>
      <c r="B4" s="361"/>
      <c r="C4" s="3262" t="s">
        <v>2354</v>
      </c>
      <c r="D4" s="3289"/>
      <c r="E4" s="3290" t="s">
        <v>2355</v>
      </c>
      <c r="F4" s="3291"/>
      <c r="G4" s="3262" t="s">
        <v>2356</v>
      </c>
      <c r="H4" s="3289"/>
      <c r="I4" s="3262" t="s">
        <v>2357</v>
      </c>
      <c r="J4" s="3289"/>
      <c r="K4" s="2074" t="s">
        <v>2358</v>
      </c>
      <c r="L4" s="2939"/>
      <c r="M4" s="2940"/>
      <c r="N4" s="2940"/>
      <c r="O4" s="2940"/>
      <c r="P4" s="3292" t="s">
        <v>2359</v>
      </c>
      <c r="Q4" s="3293"/>
      <c r="R4" s="3269" t="s">
        <v>2355</v>
      </c>
      <c r="S4" s="3270"/>
      <c r="T4" s="3269" t="s">
        <v>2356</v>
      </c>
      <c r="U4" s="3270"/>
      <c r="V4" s="3282" t="s">
        <v>2357</v>
      </c>
      <c r="W4" s="3282"/>
      <c r="X4" s="1538"/>
      <c r="Y4" s="3269" t="s">
        <v>2359</v>
      </c>
      <c r="Z4" s="3270"/>
      <c r="AA4" s="3286" t="s">
        <v>2355</v>
      </c>
      <c r="AB4" s="3286" t="s">
        <v>2356</v>
      </c>
      <c r="AC4" s="3286" t="s">
        <v>2357</v>
      </c>
    </row>
    <row r="5" spans="1:29" ht="15">
      <c r="A5" s="363"/>
      <c r="B5" s="364"/>
      <c r="C5" s="3273" t="s">
        <v>2360</v>
      </c>
      <c r="D5" s="3274"/>
      <c r="E5" s="3298" t="s">
        <v>2361</v>
      </c>
      <c r="F5" s="3299"/>
      <c r="G5" s="3273" t="s">
        <v>2362</v>
      </c>
      <c r="H5" s="3274"/>
      <c r="I5" s="3273" t="s">
        <v>2363</v>
      </c>
      <c r="J5" s="3274"/>
      <c r="K5" s="2075"/>
      <c r="L5" s="2939"/>
      <c r="M5" s="2940"/>
      <c r="N5" s="2940"/>
      <c r="O5" s="2940"/>
      <c r="P5" s="3294"/>
      <c r="Q5" s="3295"/>
      <c r="R5" s="3271"/>
      <c r="S5" s="3272"/>
      <c r="T5" s="3271"/>
      <c r="U5" s="3272"/>
      <c r="V5" s="3282"/>
      <c r="W5" s="3282"/>
      <c r="X5" s="1538"/>
      <c r="Y5" s="3271"/>
      <c r="Z5" s="3272"/>
      <c r="AA5" s="3287"/>
      <c r="AB5" s="3287"/>
      <c r="AC5" s="3287"/>
    </row>
    <row r="6" spans="1:29" ht="15.75" thickBot="1">
      <c r="A6" s="365"/>
      <c r="B6" s="366"/>
      <c r="C6" s="3341" t="s">
        <v>2364</v>
      </c>
      <c r="D6" s="3342"/>
      <c r="E6" s="3343" t="s">
        <v>2364</v>
      </c>
      <c r="F6" s="3344"/>
      <c r="G6" s="3341" t="s">
        <v>2364</v>
      </c>
      <c r="H6" s="3342"/>
      <c r="I6" s="3341" t="s">
        <v>2364</v>
      </c>
      <c r="J6" s="3342"/>
      <c r="K6" s="2075" t="s">
        <v>2365</v>
      </c>
      <c r="L6" s="2939"/>
      <c r="M6" s="2940"/>
      <c r="N6" s="2940"/>
      <c r="O6" s="2940"/>
      <c r="P6" s="3296"/>
      <c r="Q6" s="3297"/>
      <c r="R6" s="3271"/>
      <c r="S6" s="3272"/>
      <c r="T6" s="3280"/>
      <c r="U6" s="3281"/>
      <c r="V6" s="3282"/>
      <c r="W6" s="3282"/>
      <c r="X6" s="1538"/>
      <c r="Y6" s="3280"/>
      <c r="Z6" s="3281"/>
      <c r="AA6" s="3288"/>
      <c r="AB6" s="3288"/>
      <c r="AC6" s="3288"/>
    </row>
    <row r="7" spans="1:29" s="112" customFormat="1" ht="15.75" thickBot="1">
      <c r="A7" s="367" t="s">
        <v>2366</v>
      </c>
      <c r="B7" s="368"/>
      <c r="C7" s="369">
        <f>'数据-取费表'!B2</f>
        <v>44332</v>
      </c>
      <c r="D7" s="370">
        <v>100</v>
      </c>
      <c r="E7" s="371"/>
      <c r="F7" s="372">
        <f>SUMIF(58:58,YEAR(E7)&amp;"-"&amp;MONTH(E7),59:59)</f>
        <v>0</v>
      </c>
      <c r="G7" s="371"/>
      <c r="H7" s="370">
        <f>SUMIF(58:58,YEAR(G7)&amp;"-"&amp;MONTH(G7),59:59)</f>
        <v>0</v>
      </c>
      <c r="I7" s="371"/>
      <c r="J7" s="370">
        <f>SUMIF(58:58,YEAR(I7)&amp;"-"&amp;MONTH(I7),59:59)</f>
        <v>0</v>
      </c>
      <c r="K7" s="2076"/>
      <c r="L7" s="2941"/>
      <c r="M7" s="2942"/>
      <c r="N7" s="2942"/>
      <c r="O7" s="2942"/>
      <c r="P7" s="3267" t="s">
        <v>2367</v>
      </c>
      <c r="Q7" s="3277"/>
      <c r="R7" s="709" t="s">
        <v>23</v>
      </c>
      <c r="S7" s="710">
        <f t="shared" ref="S7:S15" si="0">F7</f>
        <v>0</v>
      </c>
      <c r="T7" s="709" t="s">
        <v>23</v>
      </c>
      <c r="U7" s="710">
        <f t="shared" ref="U7:U15" si="1">H7</f>
        <v>0</v>
      </c>
      <c r="V7" s="709" t="s">
        <v>23</v>
      </c>
      <c r="W7" s="710">
        <f t="shared" ref="W7:W15" si="2">J7</f>
        <v>0</v>
      </c>
      <c r="X7" s="711"/>
      <c r="Y7" s="3267" t="s">
        <v>2367</v>
      </c>
      <c r="Z7" s="3268"/>
      <c r="AA7" s="712" t="e">
        <f>D7/F7</f>
        <v>#DIV/0!</v>
      </c>
      <c r="AB7" s="712" t="e">
        <f>D7/H7</f>
        <v>#DIV/0!</v>
      </c>
      <c r="AC7" s="712" t="e">
        <f>D7/J7</f>
        <v>#DIV/0!</v>
      </c>
    </row>
    <row r="8" spans="1:29" s="112" customFormat="1" ht="15.75" thickBot="1">
      <c r="A8" s="367" t="s">
        <v>2368</v>
      </c>
      <c r="B8" s="368"/>
      <c r="C8" s="373" t="s">
        <v>2369</v>
      </c>
      <c r="D8" s="370">
        <v>100</v>
      </c>
      <c r="E8" s="2077"/>
      <c r="F8" s="372">
        <f>SUMIF(61:61,E8,62:62)-SUMIF(61:61,C8,62:62)+100</f>
        <v>0</v>
      </c>
      <c r="G8" s="373"/>
      <c r="H8" s="370">
        <f>SUMIF(61:61,G8,62:62)-SUMIF(61:61,C8,62:62)+100</f>
        <v>0</v>
      </c>
      <c r="I8" s="2077"/>
      <c r="J8" s="370">
        <f>SUMIF(61:61,I8,62:62)-SUMIF(61:61,C8,62:62)+100</f>
        <v>0</v>
      </c>
      <c r="K8" s="2076"/>
      <c r="L8" s="2941"/>
      <c r="M8" s="2942"/>
      <c r="N8" s="2942"/>
      <c r="O8" s="2942"/>
      <c r="P8" s="3267" t="s">
        <v>2370</v>
      </c>
      <c r="Q8" s="3268"/>
      <c r="R8" s="709" t="s">
        <v>23</v>
      </c>
      <c r="S8" s="710">
        <f t="shared" si="0"/>
        <v>0</v>
      </c>
      <c r="T8" s="709" t="s">
        <v>23</v>
      </c>
      <c r="U8" s="710">
        <f t="shared" si="1"/>
        <v>0</v>
      </c>
      <c r="V8" s="709" t="s">
        <v>23</v>
      </c>
      <c r="W8" s="710">
        <f t="shared" si="2"/>
        <v>0</v>
      </c>
      <c r="X8" s="711"/>
      <c r="Y8" s="3267" t="s">
        <v>2370</v>
      </c>
      <c r="Z8" s="3268"/>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6"/>
      <c r="L9" s="2941"/>
      <c r="M9" s="2942"/>
      <c r="N9" s="2942"/>
      <c r="O9" s="2942"/>
      <c r="P9" s="3264"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264"/>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264"/>
      <c r="Q11" s="1526" t="str">
        <f t="shared" si="6"/>
        <v>容积率</v>
      </c>
      <c r="R11" s="709" t="s">
        <v>21</v>
      </c>
      <c r="S11" s="710" t="e">
        <f t="shared" si="0"/>
        <v>#N/A</v>
      </c>
      <c r="T11" s="709" t="s">
        <v>21</v>
      </c>
      <c r="U11" s="710" t="e">
        <f t="shared" si="1"/>
        <v>#N/A</v>
      </c>
      <c r="V11" s="709" t="s">
        <v>21</v>
      </c>
      <c r="W11" s="710" t="e">
        <f t="shared" si="2"/>
        <v>#N/A</v>
      </c>
      <c r="X11" s="711"/>
      <c r="Y11" s="3163"/>
      <c r="Z11" s="55"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1"/>
      <c r="M12" s="2942"/>
      <c r="N12" s="2942"/>
      <c r="O12" s="2942"/>
      <c r="P12" s="3264"/>
      <c r="Q12" s="1526">
        <f t="shared" si="6"/>
        <v>111</v>
      </c>
      <c r="R12" s="709" t="s">
        <v>21</v>
      </c>
      <c r="S12" s="710">
        <f t="shared" si="0"/>
        <v>100</v>
      </c>
      <c r="T12" s="709" t="s">
        <v>21</v>
      </c>
      <c r="U12" s="710">
        <f t="shared" si="1"/>
        <v>100</v>
      </c>
      <c r="V12" s="709" t="s">
        <v>21</v>
      </c>
      <c r="W12" s="710">
        <f t="shared" si="2"/>
        <v>100</v>
      </c>
      <c r="X12" s="711"/>
      <c r="Y12" s="3163"/>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6"/>
      <c r="M13" s="2940"/>
      <c r="N13" s="2940"/>
      <c r="O13" s="2940"/>
      <c r="P13" s="3264"/>
      <c r="Q13" s="1526">
        <f t="shared" si="6"/>
        <v>111</v>
      </c>
      <c r="R13" s="709" t="s">
        <v>21</v>
      </c>
      <c r="S13" s="710">
        <f t="shared" si="0"/>
        <v>100</v>
      </c>
      <c r="T13" s="709" t="s">
        <v>21</v>
      </c>
      <c r="U13" s="710">
        <f t="shared" si="1"/>
        <v>100</v>
      </c>
      <c r="V13" s="709" t="s">
        <v>21</v>
      </c>
      <c r="W13" s="710">
        <f t="shared" si="2"/>
        <v>100</v>
      </c>
      <c r="X13" s="711"/>
      <c r="Y13" s="3163"/>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6"/>
      <c r="M14" s="2940"/>
      <c r="N14" s="2940"/>
      <c r="O14" s="2940"/>
      <c r="P14" s="3264"/>
      <c r="Q14" s="1526">
        <f t="shared" si="6"/>
        <v>111</v>
      </c>
      <c r="R14" s="709" t="s">
        <v>21</v>
      </c>
      <c r="S14" s="710">
        <f t="shared" si="0"/>
        <v>100</v>
      </c>
      <c r="T14" s="709" t="s">
        <v>21</v>
      </c>
      <c r="U14" s="710">
        <f t="shared" si="1"/>
        <v>100</v>
      </c>
      <c r="V14" s="709" t="s">
        <v>21</v>
      </c>
      <c r="W14" s="710">
        <f t="shared" si="2"/>
        <v>100</v>
      </c>
      <c r="X14" s="711"/>
      <c r="Y14" s="3163"/>
      <c r="Z14" s="55">
        <f t="shared" si="7"/>
        <v>111</v>
      </c>
      <c r="AA14" s="712">
        <f t="shared" si="3"/>
        <v>1</v>
      </c>
      <c r="AB14" s="712">
        <f t="shared" si="4"/>
        <v>1</v>
      </c>
      <c r="AC14" s="712">
        <f t="shared" si="5"/>
        <v>1</v>
      </c>
    </row>
    <row r="15" spans="1:29" ht="99.75">
      <c r="A15" s="398" t="s">
        <v>2377</v>
      </c>
      <c r="B15" s="65"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39" t="s">
        <v>2378</v>
      </c>
      <c r="Q15" s="1535" t="str">
        <f t="shared" si="6"/>
        <v>居住社区成熟度</v>
      </c>
      <c r="R15" s="713" t="s">
        <v>21</v>
      </c>
      <c r="S15" s="714">
        <f t="shared" si="0"/>
        <v>100</v>
      </c>
      <c r="T15" s="713" t="s">
        <v>21</v>
      </c>
      <c r="U15" s="714">
        <f t="shared" si="1"/>
        <v>100</v>
      </c>
      <c r="V15" s="713" t="s">
        <v>21</v>
      </c>
      <c r="W15" s="714">
        <f t="shared" si="2"/>
        <v>100</v>
      </c>
      <c r="X15" s="1538"/>
      <c r="Y15" s="3283" t="s">
        <v>2378</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46"/>
      <c r="M16" s="2940"/>
      <c r="N16" s="2940"/>
      <c r="O16" s="2940"/>
      <c r="P16" s="3340"/>
      <c r="Q16" s="1535"/>
      <c r="R16" s="713"/>
      <c r="S16" s="714"/>
      <c r="T16" s="713"/>
      <c r="U16" s="714"/>
      <c r="V16" s="713"/>
      <c r="W16" s="714"/>
      <c r="X16" s="1538"/>
      <c r="Y16" s="3284"/>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40"/>
      <c r="Q17" s="1535" t="str">
        <f>B17</f>
        <v>交通便捷度</v>
      </c>
      <c r="R17" s="713" t="s">
        <v>21</v>
      </c>
      <c r="S17" s="714">
        <f>F17</f>
        <v>100</v>
      </c>
      <c r="T17" s="713" t="s">
        <v>21</v>
      </c>
      <c r="U17" s="714">
        <f>H17</f>
        <v>100</v>
      </c>
      <c r="V17" s="713" t="s">
        <v>21</v>
      </c>
      <c r="W17" s="714">
        <f>J17</f>
        <v>100</v>
      </c>
      <c r="X17" s="1538"/>
      <c r="Y17" s="3284"/>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46"/>
      <c r="M18" s="2940"/>
      <c r="N18" s="2940"/>
      <c r="O18" s="2940"/>
      <c r="P18" s="3340"/>
      <c r="Q18" s="1535"/>
      <c r="R18" s="713"/>
      <c r="S18" s="714"/>
      <c r="T18" s="713"/>
      <c r="U18" s="714"/>
      <c r="V18" s="713"/>
      <c r="W18" s="714"/>
      <c r="X18" s="1538"/>
      <c r="Y18" s="3284"/>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40"/>
      <c r="Q19" s="1535" t="str">
        <f>B19</f>
        <v>公共配套设施</v>
      </c>
      <c r="R19" s="713" t="s">
        <v>21</v>
      </c>
      <c r="S19" s="714">
        <f>F19</f>
        <v>100</v>
      </c>
      <c r="T19" s="713" t="s">
        <v>21</v>
      </c>
      <c r="U19" s="714">
        <f>H19</f>
        <v>100</v>
      </c>
      <c r="V19" s="713" t="s">
        <v>21</v>
      </c>
      <c r="W19" s="714">
        <f>J19</f>
        <v>100</v>
      </c>
      <c r="X19" s="1538"/>
      <c r="Y19" s="3284"/>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46"/>
      <c r="M20" s="2940"/>
      <c r="N20" s="2940"/>
      <c r="O20" s="2940"/>
      <c r="P20" s="3340"/>
      <c r="Q20" s="1535"/>
      <c r="R20" s="713"/>
      <c r="S20" s="714"/>
      <c r="T20" s="713"/>
      <c r="U20" s="714"/>
      <c r="V20" s="713"/>
      <c r="W20" s="714"/>
      <c r="X20" s="1538"/>
      <c r="Y20" s="3284"/>
      <c r="Z20" s="1539"/>
      <c r="AA20" s="1536">
        <v>1</v>
      </c>
      <c r="AB20" s="1536">
        <v>1</v>
      </c>
      <c r="AC20" s="1536">
        <v>1</v>
      </c>
    </row>
    <row r="21" spans="1:29" ht="28.5">
      <c r="A21" s="386"/>
      <c r="B21" s="1292"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40"/>
      <c r="Q21" s="1535" t="str">
        <f>B21</f>
        <v>基础设施水平</v>
      </c>
      <c r="R21" s="713" t="s">
        <v>17</v>
      </c>
      <c r="S21" s="714">
        <f>F21</f>
        <v>100</v>
      </c>
      <c r="T21" s="713" t="s">
        <v>17</v>
      </c>
      <c r="U21" s="714">
        <f>H21</f>
        <v>100</v>
      </c>
      <c r="V21" s="713" t="s">
        <v>17</v>
      </c>
      <c r="W21" s="714">
        <f>J21</f>
        <v>100</v>
      </c>
      <c r="X21" s="1538"/>
      <c r="Y21" s="3284"/>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6"/>
      <c r="G22" s="2089"/>
      <c r="H22" s="406"/>
      <c r="I22" s="405"/>
      <c r="J22" s="406"/>
      <c r="K22" s="2090"/>
      <c r="L22" s="2946"/>
      <c r="M22" s="2940"/>
      <c r="N22" s="2940"/>
      <c r="O22" s="2940"/>
      <c r="P22" s="3340"/>
      <c r="Q22" s="1535"/>
      <c r="R22" s="713"/>
      <c r="S22" s="714"/>
      <c r="T22" s="713"/>
      <c r="U22" s="714"/>
      <c r="V22" s="713"/>
      <c r="W22" s="714"/>
      <c r="X22" s="1538"/>
      <c r="Y22" s="3284"/>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40"/>
      <c r="Q23" s="1535" t="str">
        <f>B23</f>
        <v>自然及人文环境</v>
      </c>
      <c r="R23" s="713" t="s">
        <v>21</v>
      </c>
      <c r="S23" s="714">
        <f>F23</f>
        <v>100</v>
      </c>
      <c r="T23" s="713" t="s">
        <v>21</v>
      </c>
      <c r="U23" s="714">
        <f>H23</f>
        <v>100</v>
      </c>
      <c r="V23" s="713" t="s">
        <v>21</v>
      </c>
      <c r="W23" s="714">
        <f>J23</f>
        <v>100</v>
      </c>
      <c r="X23" s="1538"/>
      <c r="Y23" s="3284"/>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46"/>
      <c r="M24" s="2940"/>
      <c r="N24" s="2940"/>
      <c r="O24" s="2940"/>
      <c r="P24" s="3340"/>
      <c r="Q24" s="1535"/>
      <c r="R24" s="713"/>
      <c r="S24" s="714"/>
      <c r="T24" s="713"/>
      <c r="U24" s="714"/>
      <c r="V24" s="713"/>
      <c r="W24" s="714"/>
      <c r="X24" s="1538"/>
      <c r="Y24" s="3284"/>
      <c r="Z24" s="1539"/>
      <c r="AA24" s="1536">
        <v>1</v>
      </c>
      <c r="AB24" s="1536">
        <v>1</v>
      </c>
      <c r="AC24" s="1536">
        <v>1</v>
      </c>
    </row>
    <row r="25" spans="1:29" ht="15">
      <c r="A25" s="386"/>
      <c r="B25" s="380" t="s">
        <v>2379</v>
      </c>
      <c r="C25" s="418"/>
      <c r="D25" s="393">
        <v>100</v>
      </c>
      <c r="E25" s="2091"/>
      <c r="F25" s="393">
        <f>SUMIF(86:86,E25,87:87)-SUMIF(86:86,C25,87:87)+100</f>
        <v>100</v>
      </c>
      <c r="G25" s="2092"/>
      <c r="H25" s="393">
        <f>SUMIF(86:86,G25,87:87)-SUMIF(86:86,C25,87:87)+100</f>
        <v>100</v>
      </c>
      <c r="I25" s="2092"/>
      <c r="J25" s="393">
        <f>SUMIF(86:86,I25,87:87)-SUMIF(86:86,C25,87:87)+100</f>
        <v>100</v>
      </c>
      <c r="K25" s="384"/>
      <c r="L25" s="2946"/>
      <c r="M25" s="2940"/>
      <c r="N25" s="2940"/>
      <c r="O25" s="2940"/>
      <c r="P25" s="3340"/>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284"/>
      <c r="Z25" s="1539" t="str">
        <f>Q25</f>
        <v>楼层-1</v>
      </c>
      <c r="AA25" s="1536">
        <f t="shared" ref="AA25:AA46" si="15">D25/F25</f>
        <v>1</v>
      </c>
      <c r="AB25" s="1536">
        <f t="shared" ref="AB25:AB46" si="16">D25/H25</f>
        <v>1</v>
      </c>
      <c r="AC25" s="1536">
        <f t="shared" ref="AC25:AC46" si="17">D25/J25</f>
        <v>1</v>
      </c>
    </row>
    <row r="26" spans="1:29" ht="15">
      <c r="A26" s="386"/>
      <c r="B26" s="380" t="s">
        <v>2380</v>
      </c>
      <c r="C26" s="418"/>
      <c r="D26" s="393">
        <v>100</v>
      </c>
      <c r="E26" s="2091"/>
      <c r="F26" s="393">
        <f>SUMIF(88:88,E26,89:89)-SUMIF(88:88,C26,89:89)+100</f>
        <v>100</v>
      </c>
      <c r="G26" s="2092"/>
      <c r="H26" s="393">
        <f>SUMIF(88:88,G26,89:89)-SUMIF(88:88,C26,89:89)+100</f>
        <v>100</v>
      </c>
      <c r="I26" s="2092"/>
      <c r="J26" s="393">
        <f>SUMIF(88:88,I26,89:89)-SUMIF(88:88,C26,89:89)+100</f>
        <v>100</v>
      </c>
      <c r="K26" s="384"/>
      <c r="L26" s="2946"/>
      <c r="M26" s="2940"/>
      <c r="N26" s="2940"/>
      <c r="O26" s="2940"/>
      <c r="P26" s="3340"/>
      <c r="Q26" s="1535" t="str">
        <f t="shared" si="11"/>
        <v>朝向</v>
      </c>
      <c r="R26" s="713" t="s">
        <v>21</v>
      </c>
      <c r="S26" s="714">
        <f t="shared" si="12"/>
        <v>100</v>
      </c>
      <c r="T26" s="713" t="s">
        <v>21</v>
      </c>
      <c r="U26" s="714">
        <f t="shared" si="13"/>
        <v>100</v>
      </c>
      <c r="V26" s="713" t="s">
        <v>21</v>
      </c>
      <c r="W26" s="714">
        <f t="shared" si="14"/>
        <v>100</v>
      </c>
      <c r="X26" s="1538"/>
      <c r="Y26" s="3284"/>
      <c r="Z26" s="1539" t="str">
        <f>Q26</f>
        <v>朝向</v>
      </c>
      <c r="AA26" s="1536">
        <f t="shared" si="15"/>
        <v>1</v>
      </c>
      <c r="AB26" s="1536">
        <f t="shared" si="16"/>
        <v>1</v>
      </c>
      <c r="AC26" s="1536">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1"/>
      <c r="M27" s="2942"/>
      <c r="N27" s="2942"/>
      <c r="O27" s="2942"/>
      <c r="P27" s="3340"/>
      <c r="Q27" s="1526">
        <f t="shared" si="11"/>
        <v>111</v>
      </c>
      <c r="R27" s="709" t="s">
        <v>21</v>
      </c>
      <c r="S27" s="710">
        <f t="shared" si="12"/>
        <v>100</v>
      </c>
      <c r="T27" s="709" t="s">
        <v>21</v>
      </c>
      <c r="U27" s="710">
        <f t="shared" si="13"/>
        <v>100</v>
      </c>
      <c r="V27" s="709" t="s">
        <v>21</v>
      </c>
      <c r="W27" s="710">
        <f t="shared" si="14"/>
        <v>100</v>
      </c>
      <c r="X27" s="711"/>
      <c r="Y27" s="3284"/>
      <c r="Z27" s="55">
        <f>Q27</f>
        <v>111</v>
      </c>
      <c r="AA27" s="1536">
        <f t="shared" si="15"/>
        <v>1</v>
      </c>
      <c r="AB27" s="1536">
        <f t="shared" si="16"/>
        <v>1</v>
      </c>
      <c r="AC27" s="1536">
        <f t="shared" si="17"/>
        <v>1</v>
      </c>
    </row>
    <row r="28" spans="1:29" ht="15">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46"/>
      <c r="M28" s="2940"/>
      <c r="N28" s="2940"/>
      <c r="O28" s="2940"/>
      <c r="P28" s="3340"/>
      <c r="Q28" s="1535">
        <f t="shared" si="11"/>
        <v>111</v>
      </c>
      <c r="R28" s="713" t="s">
        <v>21</v>
      </c>
      <c r="S28" s="714">
        <f t="shared" si="12"/>
        <v>100</v>
      </c>
      <c r="T28" s="713" t="s">
        <v>21</v>
      </c>
      <c r="U28" s="714">
        <f t="shared" si="13"/>
        <v>100</v>
      </c>
      <c r="V28" s="713" t="s">
        <v>21</v>
      </c>
      <c r="W28" s="714">
        <f t="shared" si="14"/>
        <v>100</v>
      </c>
      <c r="X28" s="1538"/>
      <c r="Y28" s="3284"/>
      <c r="Z28" s="1539">
        <f t="shared" ref="Z28:Z46" si="18">Q28</f>
        <v>111</v>
      </c>
      <c r="AA28" s="1536">
        <f t="shared" si="15"/>
        <v>1</v>
      </c>
      <c r="AB28" s="1536">
        <f t="shared" si="16"/>
        <v>1</v>
      </c>
      <c r="AC28" s="1536">
        <f t="shared" si="17"/>
        <v>1</v>
      </c>
    </row>
    <row r="29" spans="1:29" ht="15">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46"/>
      <c r="M29" s="2940"/>
      <c r="N29" s="2940"/>
      <c r="O29" s="2940"/>
      <c r="P29" s="3340"/>
      <c r="Q29" s="1535">
        <f t="shared" si="11"/>
        <v>111</v>
      </c>
      <c r="R29" s="713" t="s">
        <v>21</v>
      </c>
      <c r="S29" s="714">
        <f t="shared" si="12"/>
        <v>100</v>
      </c>
      <c r="T29" s="713" t="s">
        <v>21</v>
      </c>
      <c r="U29" s="714">
        <f t="shared" si="13"/>
        <v>100</v>
      </c>
      <c r="V29" s="713" t="s">
        <v>21</v>
      </c>
      <c r="W29" s="714">
        <f t="shared" si="14"/>
        <v>100</v>
      </c>
      <c r="X29" s="1538"/>
      <c r="Y29" s="3284"/>
      <c r="Z29" s="1539">
        <f t="shared" si="18"/>
        <v>111</v>
      </c>
      <c r="AA29" s="1536">
        <f t="shared" si="15"/>
        <v>1</v>
      </c>
      <c r="AB29" s="1536">
        <f t="shared" si="16"/>
        <v>1</v>
      </c>
      <c r="AC29" s="1536">
        <f t="shared" si="17"/>
        <v>1</v>
      </c>
    </row>
    <row r="30" spans="1:29" ht="15">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46"/>
      <c r="M30" s="2940"/>
      <c r="N30" s="2940"/>
      <c r="O30" s="2940"/>
      <c r="P30" s="3340"/>
      <c r="Q30" s="1535">
        <f t="shared" si="11"/>
        <v>111</v>
      </c>
      <c r="R30" s="713" t="s">
        <v>21</v>
      </c>
      <c r="S30" s="714">
        <f t="shared" si="12"/>
        <v>100</v>
      </c>
      <c r="T30" s="713" t="s">
        <v>21</v>
      </c>
      <c r="U30" s="714">
        <f t="shared" si="13"/>
        <v>100</v>
      </c>
      <c r="V30" s="713" t="s">
        <v>21</v>
      </c>
      <c r="W30" s="714">
        <f t="shared" si="14"/>
        <v>100</v>
      </c>
      <c r="X30" s="1538"/>
      <c r="Y30" s="3284"/>
      <c r="Z30" s="1539">
        <f t="shared" si="18"/>
        <v>111</v>
      </c>
      <c r="AA30" s="1536">
        <f t="shared" si="15"/>
        <v>1</v>
      </c>
      <c r="AB30" s="1536">
        <f t="shared" si="16"/>
        <v>1</v>
      </c>
      <c r="AC30" s="1536">
        <f t="shared" si="17"/>
        <v>1</v>
      </c>
    </row>
    <row r="31" spans="1:29" ht="15.75"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46"/>
      <c r="M31" s="2940"/>
      <c r="N31" s="2940"/>
      <c r="O31" s="2940"/>
      <c r="P31" s="3340"/>
      <c r="Q31" s="1535">
        <f t="shared" si="11"/>
        <v>111</v>
      </c>
      <c r="R31" s="713" t="s">
        <v>21</v>
      </c>
      <c r="S31" s="714">
        <f t="shared" si="12"/>
        <v>100</v>
      </c>
      <c r="T31" s="713" t="s">
        <v>21</v>
      </c>
      <c r="U31" s="714">
        <f t="shared" si="13"/>
        <v>100</v>
      </c>
      <c r="V31" s="713" t="s">
        <v>21</v>
      </c>
      <c r="W31" s="714">
        <f t="shared" si="14"/>
        <v>100</v>
      </c>
      <c r="X31" s="1538"/>
      <c r="Y31" s="3284"/>
      <c r="Z31" s="1539">
        <f t="shared" si="18"/>
        <v>111</v>
      </c>
      <c r="AA31" s="1536">
        <f t="shared" si="15"/>
        <v>1</v>
      </c>
      <c r="AB31" s="1536">
        <f t="shared" si="16"/>
        <v>1</v>
      </c>
      <c r="AC31" s="1536">
        <f t="shared" si="17"/>
        <v>1</v>
      </c>
    </row>
    <row r="32" spans="1:29" ht="15">
      <c r="A32" s="398" t="s">
        <v>2381</v>
      </c>
      <c r="B32" s="67" t="s">
        <v>2382</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46"/>
      <c r="M32" s="2940"/>
      <c r="N32" s="2940"/>
      <c r="O32" s="2940"/>
      <c r="P32" s="3335" t="s">
        <v>2383</v>
      </c>
      <c r="Q32" s="1535" t="str">
        <f t="shared" si="11"/>
        <v>建筑类型</v>
      </c>
      <c r="R32" s="713" t="s">
        <v>21</v>
      </c>
      <c r="S32" s="714">
        <f t="shared" si="12"/>
        <v>100</v>
      </c>
      <c r="T32" s="713" t="s">
        <v>21</v>
      </c>
      <c r="U32" s="714">
        <f t="shared" si="13"/>
        <v>100</v>
      </c>
      <c r="V32" s="713" t="s">
        <v>21</v>
      </c>
      <c r="W32" s="714">
        <f t="shared" si="14"/>
        <v>100</v>
      </c>
      <c r="X32" s="1538"/>
      <c r="Y32" s="3285" t="s">
        <v>2383</v>
      </c>
      <c r="Z32" s="1539" t="str">
        <f t="shared" si="18"/>
        <v>建筑类型</v>
      </c>
      <c r="AA32" s="1536">
        <f t="shared" si="15"/>
        <v>1</v>
      </c>
      <c r="AB32" s="1536">
        <f t="shared" si="16"/>
        <v>1</v>
      </c>
      <c r="AC32" s="1536">
        <f t="shared" si="17"/>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5"/>
      <c r="M33" s="2947"/>
      <c r="N33" s="2947"/>
      <c r="O33" s="2947"/>
      <c r="P33" s="3336"/>
      <c r="Q33" s="715" t="str">
        <f t="shared" si="11"/>
        <v>项目建筑规模</v>
      </c>
      <c r="R33" s="716" t="s">
        <v>21</v>
      </c>
      <c r="S33" s="717" t="e">
        <f t="shared" si="12"/>
        <v>#N/A</v>
      </c>
      <c r="T33" s="716" t="s">
        <v>21</v>
      </c>
      <c r="U33" s="717" t="e">
        <f t="shared" si="13"/>
        <v>#N/A</v>
      </c>
      <c r="V33" s="716" t="s">
        <v>21</v>
      </c>
      <c r="W33" s="717" t="e">
        <f t="shared" si="14"/>
        <v>#N/A</v>
      </c>
      <c r="X33" s="718"/>
      <c r="Y33" s="3285"/>
      <c r="Z33" s="719" t="str">
        <f t="shared" si="18"/>
        <v>项目建筑规模</v>
      </c>
      <c r="AA33" s="1536" t="e">
        <f t="shared" si="15"/>
        <v>#N/A</v>
      </c>
      <c r="AB33" s="1536" t="e">
        <f t="shared" si="16"/>
        <v>#N/A</v>
      </c>
      <c r="AC33" s="1536" t="e">
        <f t="shared" si="17"/>
        <v>#N/A</v>
      </c>
    </row>
    <row r="34" spans="1:29" ht="15">
      <c r="A34" s="430"/>
      <c r="B34" s="380" t="s">
        <v>2385</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46"/>
      <c r="M34" s="2940"/>
      <c r="N34" s="2940"/>
      <c r="O34" s="2940"/>
      <c r="P34" s="3336"/>
      <c r="Q34" s="1535" t="str">
        <f t="shared" si="11"/>
        <v>建筑结构</v>
      </c>
      <c r="R34" s="713" t="s">
        <v>21</v>
      </c>
      <c r="S34" s="714">
        <f t="shared" si="12"/>
        <v>100</v>
      </c>
      <c r="T34" s="713" t="s">
        <v>21</v>
      </c>
      <c r="U34" s="714">
        <f t="shared" si="13"/>
        <v>100</v>
      </c>
      <c r="V34" s="713" t="s">
        <v>21</v>
      </c>
      <c r="W34" s="714">
        <f t="shared" si="14"/>
        <v>100</v>
      </c>
      <c r="X34" s="1538"/>
      <c r="Y34" s="3285"/>
      <c r="Z34" s="1539" t="str">
        <f t="shared" si="18"/>
        <v>建筑结构</v>
      </c>
      <c r="AA34" s="1536">
        <f t="shared" si="15"/>
        <v>1</v>
      </c>
      <c r="AB34" s="1536">
        <f t="shared" si="16"/>
        <v>1</v>
      </c>
      <c r="AC34" s="1536">
        <f t="shared" si="17"/>
        <v>1</v>
      </c>
    </row>
    <row r="35" spans="1:29" ht="15">
      <c r="A35" s="430"/>
      <c r="B35" s="380" t="s">
        <v>2386</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46"/>
      <c r="M35" s="2940"/>
      <c r="N35" s="2940"/>
      <c r="O35" s="2940"/>
      <c r="P35" s="3336"/>
      <c r="Q35" s="1535" t="str">
        <f t="shared" si="11"/>
        <v>建筑品质</v>
      </c>
      <c r="R35" s="713" t="s">
        <v>21</v>
      </c>
      <c r="S35" s="714">
        <f t="shared" si="12"/>
        <v>100</v>
      </c>
      <c r="T35" s="713" t="s">
        <v>21</v>
      </c>
      <c r="U35" s="714">
        <f t="shared" si="13"/>
        <v>100</v>
      </c>
      <c r="V35" s="713" t="s">
        <v>21</v>
      </c>
      <c r="W35" s="714">
        <f t="shared" si="14"/>
        <v>100</v>
      </c>
      <c r="X35" s="1538"/>
      <c r="Y35" s="3285"/>
      <c r="Z35" s="1539" t="str">
        <f t="shared" si="18"/>
        <v>建筑品质</v>
      </c>
      <c r="AA35" s="1536">
        <f t="shared" si="15"/>
        <v>1</v>
      </c>
      <c r="AB35" s="1536">
        <f t="shared" si="16"/>
        <v>1</v>
      </c>
      <c r="AC35" s="1536">
        <f t="shared" si="17"/>
        <v>1</v>
      </c>
    </row>
    <row r="36" spans="1:29" ht="15">
      <c r="A36" s="430"/>
      <c r="B36" s="380" t="s">
        <v>2387</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46"/>
      <c r="M36" s="2940"/>
      <c r="N36" s="2940"/>
      <c r="O36" s="2940"/>
      <c r="P36" s="3336"/>
      <c r="Q36" s="1535" t="str">
        <f t="shared" si="11"/>
        <v>公共部分装修</v>
      </c>
      <c r="R36" s="713" t="s">
        <v>21</v>
      </c>
      <c r="S36" s="714">
        <f t="shared" si="12"/>
        <v>100</v>
      </c>
      <c r="T36" s="713" t="s">
        <v>21</v>
      </c>
      <c r="U36" s="714">
        <f t="shared" si="13"/>
        <v>100</v>
      </c>
      <c r="V36" s="713" t="s">
        <v>21</v>
      </c>
      <c r="W36" s="714">
        <f t="shared" si="14"/>
        <v>100</v>
      </c>
      <c r="X36" s="1538"/>
      <c r="Y36" s="3285"/>
      <c r="Z36" s="1539" t="str">
        <f t="shared" si="18"/>
        <v>公共部分装修</v>
      </c>
      <c r="AA36" s="1536">
        <f t="shared" si="15"/>
        <v>1</v>
      </c>
      <c r="AB36" s="1536">
        <f t="shared" si="16"/>
        <v>1</v>
      </c>
      <c r="AC36" s="1536">
        <f t="shared" si="17"/>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36"/>
      <c r="Q37" s="1526" t="str">
        <f t="shared" si="11"/>
        <v>成新度</v>
      </c>
      <c r="R37" s="709" t="s">
        <v>21</v>
      </c>
      <c r="S37" s="710" t="e">
        <f t="shared" si="12"/>
        <v>#N/A</v>
      </c>
      <c r="T37" s="709" t="s">
        <v>21</v>
      </c>
      <c r="U37" s="710" t="e">
        <f t="shared" si="13"/>
        <v>#N/A</v>
      </c>
      <c r="V37" s="709" t="s">
        <v>21</v>
      </c>
      <c r="W37" s="710" t="e">
        <f t="shared" si="14"/>
        <v>#N/A</v>
      </c>
      <c r="X37" s="711"/>
      <c r="Y37" s="3285"/>
      <c r="Z37" s="55" t="str">
        <f t="shared" si="18"/>
        <v>成新度</v>
      </c>
      <c r="AA37" s="712" t="e">
        <f t="shared" si="15"/>
        <v>#N/A</v>
      </c>
      <c r="AB37" s="712" t="e">
        <f t="shared" si="16"/>
        <v>#N/A</v>
      </c>
      <c r="AC37" s="712" t="e">
        <f t="shared" si="17"/>
        <v>#N/A</v>
      </c>
    </row>
    <row r="38" spans="1:29" ht="15">
      <c r="A38" s="430"/>
      <c r="B38" s="380" t="s">
        <v>2389</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46"/>
      <c r="M38" s="2940"/>
      <c r="N38" s="2940"/>
      <c r="O38" s="2940"/>
      <c r="P38" s="3336" t="s">
        <v>2383</v>
      </c>
      <c r="Q38" s="1535" t="str">
        <f t="shared" si="11"/>
        <v>物业管理</v>
      </c>
      <c r="R38" s="713" t="s">
        <v>21</v>
      </c>
      <c r="S38" s="714">
        <f t="shared" si="12"/>
        <v>100</v>
      </c>
      <c r="T38" s="713" t="s">
        <v>21</v>
      </c>
      <c r="U38" s="714">
        <f t="shared" si="13"/>
        <v>100</v>
      </c>
      <c r="V38" s="713" t="s">
        <v>21</v>
      </c>
      <c r="W38" s="714">
        <f t="shared" si="14"/>
        <v>100</v>
      </c>
      <c r="X38" s="1538"/>
      <c r="Y38" s="3285" t="s">
        <v>2383</v>
      </c>
      <c r="Z38" s="1539" t="str">
        <f t="shared" si="18"/>
        <v>物业管理</v>
      </c>
      <c r="AA38" s="1536">
        <f t="shared" si="15"/>
        <v>1</v>
      </c>
      <c r="AB38" s="1536">
        <f t="shared" si="16"/>
        <v>1</v>
      </c>
      <c r="AC38" s="1536">
        <f t="shared" si="17"/>
        <v>1</v>
      </c>
    </row>
    <row r="39" spans="1:29" ht="15">
      <c r="A39" s="430"/>
      <c r="B39" s="380" t="s">
        <v>2390</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46"/>
      <c r="M39" s="2940"/>
      <c r="N39" s="2940"/>
      <c r="O39" s="2940"/>
      <c r="P39" s="3336"/>
      <c r="Q39" s="1535" t="str">
        <f t="shared" si="11"/>
        <v>市政基础设施</v>
      </c>
      <c r="R39" s="713" t="s">
        <v>21</v>
      </c>
      <c r="S39" s="714">
        <f t="shared" si="12"/>
        <v>100</v>
      </c>
      <c r="T39" s="713" t="s">
        <v>21</v>
      </c>
      <c r="U39" s="714">
        <f t="shared" si="13"/>
        <v>100</v>
      </c>
      <c r="V39" s="713" t="s">
        <v>21</v>
      </c>
      <c r="W39" s="714">
        <f t="shared" si="14"/>
        <v>100</v>
      </c>
      <c r="X39" s="1538"/>
      <c r="Y39" s="3285"/>
      <c r="Z39" s="1539" t="str">
        <f t="shared" si="18"/>
        <v>市政基础设施</v>
      </c>
      <c r="AA39" s="1536">
        <f t="shared" si="15"/>
        <v>1</v>
      </c>
      <c r="AB39" s="1536">
        <f t="shared" si="16"/>
        <v>1</v>
      </c>
      <c r="AC39" s="1536">
        <f t="shared" si="17"/>
        <v>1</v>
      </c>
    </row>
    <row r="40" spans="1:29" ht="15">
      <c r="A40" s="430"/>
      <c r="B40" s="380" t="s">
        <v>2391</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46"/>
      <c r="M40" s="2940"/>
      <c r="N40" s="2940"/>
      <c r="O40" s="2940"/>
      <c r="P40" s="3336"/>
      <c r="Q40" s="1535" t="str">
        <f t="shared" si="11"/>
        <v>房型</v>
      </c>
      <c r="R40" s="713" t="s">
        <v>21</v>
      </c>
      <c r="S40" s="714">
        <f t="shared" si="12"/>
        <v>100</v>
      </c>
      <c r="T40" s="713" t="s">
        <v>21</v>
      </c>
      <c r="U40" s="714">
        <f t="shared" si="13"/>
        <v>100</v>
      </c>
      <c r="V40" s="713" t="s">
        <v>21</v>
      </c>
      <c r="W40" s="714">
        <f t="shared" si="14"/>
        <v>100</v>
      </c>
      <c r="X40" s="1538"/>
      <c r="Y40" s="3285"/>
      <c r="Z40" s="1539" t="str">
        <f t="shared" si="18"/>
        <v>房型</v>
      </c>
      <c r="AA40" s="1536">
        <f t="shared" si="15"/>
        <v>1</v>
      </c>
      <c r="AB40" s="1536">
        <f t="shared" si="16"/>
        <v>1</v>
      </c>
      <c r="AC40" s="1536">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5"/>
      <c r="M41" s="2947"/>
      <c r="N41" s="2947"/>
      <c r="O41" s="2947"/>
      <c r="P41" s="3336"/>
      <c r="Q41" s="715" t="str">
        <f t="shared" si="11"/>
        <v>单套/主力户型建筑面积</v>
      </c>
      <c r="R41" s="716" t="s">
        <v>21</v>
      </c>
      <c r="S41" s="717">
        <f t="shared" si="12"/>
        <v>100</v>
      </c>
      <c r="T41" s="716" t="s">
        <v>21</v>
      </c>
      <c r="U41" s="717">
        <f t="shared" si="13"/>
        <v>100</v>
      </c>
      <c r="V41" s="716" t="s">
        <v>21</v>
      </c>
      <c r="W41" s="717">
        <f t="shared" si="14"/>
        <v>100</v>
      </c>
      <c r="X41" s="718"/>
      <c r="Y41" s="3285"/>
      <c r="Z41" s="719" t="str">
        <f t="shared" si="18"/>
        <v>单套/主力户型建筑面积</v>
      </c>
      <c r="AA41" s="1536">
        <f t="shared" si="15"/>
        <v>1</v>
      </c>
      <c r="AB41" s="1536">
        <f t="shared" si="16"/>
        <v>1</v>
      </c>
      <c r="AC41" s="1536">
        <f t="shared" si="17"/>
        <v>1</v>
      </c>
    </row>
    <row r="42" spans="1:29" ht="15">
      <c r="A42" s="430"/>
      <c r="B42" s="380" t="s">
        <v>2393</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46"/>
      <c r="M42" s="2940"/>
      <c r="N42" s="2940"/>
      <c r="O42" s="2940"/>
      <c r="P42" s="3336"/>
      <c r="Q42" s="1535" t="str">
        <f t="shared" si="11"/>
        <v>内部装修</v>
      </c>
      <c r="R42" s="713" t="s">
        <v>21</v>
      </c>
      <c r="S42" s="714">
        <f t="shared" si="12"/>
        <v>100</v>
      </c>
      <c r="T42" s="713" t="s">
        <v>21</v>
      </c>
      <c r="U42" s="714">
        <f t="shared" si="13"/>
        <v>100</v>
      </c>
      <c r="V42" s="713" t="s">
        <v>21</v>
      </c>
      <c r="W42" s="714">
        <f t="shared" si="14"/>
        <v>100</v>
      </c>
      <c r="X42" s="1538"/>
      <c r="Y42" s="3285"/>
      <c r="Z42" s="1539" t="str">
        <f t="shared" si="18"/>
        <v>内部装修</v>
      </c>
      <c r="AA42" s="1536">
        <f t="shared" si="15"/>
        <v>1</v>
      </c>
      <c r="AB42" s="1536">
        <f t="shared" si="16"/>
        <v>1</v>
      </c>
      <c r="AC42" s="1536">
        <f t="shared" si="17"/>
        <v>1</v>
      </c>
    </row>
    <row r="43" spans="1:29" ht="15">
      <c r="A43" s="430"/>
      <c r="B43" s="380" t="s">
        <v>2394</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46"/>
      <c r="M43" s="2940"/>
      <c r="N43" s="2940"/>
      <c r="O43" s="2940"/>
      <c r="P43" s="3336"/>
      <c r="Q43" s="1535" t="str">
        <f t="shared" si="11"/>
        <v>内部装修维护情况</v>
      </c>
      <c r="R43" s="713" t="s">
        <v>21</v>
      </c>
      <c r="S43" s="714">
        <f t="shared" si="12"/>
        <v>100</v>
      </c>
      <c r="T43" s="713" t="s">
        <v>21</v>
      </c>
      <c r="U43" s="714">
        <f t="shared" si="13"/>
        <v>100</v>
      </c>
      <c r="V43" s="713" t="s">
        <v>21</v>
      </c>
      <c r="W43" s="714">
        <f t="shared" si="14"/>
        <v>100</v>
      </c>
      <c r="X43" s="1538"/>
      <c r="Y43" s="3285"/>
      <c r="Z43" s="1539" t="str">
        <f t="shared" si="18"/>
        <v>内部装修维护情况</v>
      </c>
      <c r="AA43" s="1536">
        <f t="shared" si="15"/>
        <v>1</v>
      </c>
      <c r="AB43" s="1536">
        <f t="shared" si="16"/>
        <v>1</v>
      </c>
      <c r="AC43" s="1536">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1"/>
      <c r="M44" s="2942"/>
      <c r="N44" s="2942"/>
      <c r="O44" s="2942"/>
      <c r="P44" s="3336"/>
      <c r="Q44" s="1526">
        <f t="shared" si="11"/>
        <v>111</v>
      </c>
      <c r="R44" s="709" t="s">
        <v>21</v>
      </c>
      <c r="S44" s="710">
        <f t="shared" si="12"/>
        <v>100</v>
      </c>
      <c r="T44" s="709" t="s">
        <v>21</v>
      </c>
      <c r="U44" s="710">
        <f t="shared" si="13"/>
        <v>100</v>
      </c>
      <c r="V44" s="709" t="s">
        <v>21</v>
      </c>
      <c r="W44" s="710">
        <f t="shared" si="14"/>
        <v>100</v>
      </c>
      <c r="X44" s="711"/>
      <c r="Y44" s="3285"/>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6"/>
      <c r="M45" s="2940"/>
      <c r="N45" s="2940"/>
      <c r="O45" s="2940"/>
      <c r="P45" s="3336"/>
      <c r="Q45" s="1535">
        <f t="shared" si="11"/>
        <v>111</v>
      </c>
      <c r="R45" s="713" t="s">
        <v>21</v>
      </c>
      <c r="S45" s="714">
        <f t="shared" si="12"/>
        <v>100</v>
      </c>
      <c r="T45" s="713" t="s">
        <v>21</v>
      </c>
      <c r="U45" s="714">
        <f t="shared" si="13"/>
        <v>100</v>
      </c>
      <c r="V45" s="713" t="s">
        <v>21</v>
      </c>
      <c r="W45" s="714">
        <f t="shared" si="14"/>
        <v>100</v>
      </c>
      <c r="X45" s="1538"/>
      <c r="Y45" s="3285"/>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6"/>
      <c r="M46" s="2940"/>
      <c r="N46" s="2940"/>
      <c r="O46" s="2940"/>
      <c r="P46" s="3337"/>
      <c r="Q46" s="1535">
        <f t="shared" si="11"/>
        <v>111</v>
      </c>
      <c r="R46" s="713" t="s">
        <v>20</v>
      </c>
      <c r="S46" s="714">
        <f t="shared" si="12"/>
        <v>100</v>
      </c>
      <c r="T46" s="713" t="s">
        <v>20</v>
      </c>
      <c r="U46" s="714">
        <f t="shared" si="13"/>
        <v>100</v>
      </c>
      <c r="V46" s="713" t="s">
        <v>20</v>
      </c>
      <c r="W46" s="714">
        <f t="shared" si="14"/>
        <v>100</v>
      </c>
      <c r="X46" s="1538"/>
      <c r="Y46" s="3338"/>
      <c r="Z46" s="1539">
        <f t="shared" si="18"/>
        <v>111</v>
      </c>
      <c r="AA46" s="1536">
        <f t="shared" si="15"/>
        <v>1</v>
      </c>
      <c r="AB46" s="1536">
        <f t="shared" si="16"/>
        <v>1</v>
      </c>
      <c r="AC46" s="1536">
        <f t="shared" si="17"/>
        <v>1</v>
      </c>
    </row>
    <row r="47" spans="1:29" ht="15">
      <c r="A47" s="437" t="s">
        <v>2395</v>
      </c>
      <c r="B47" s="438"/>
      <c r="C47" s="1315" t="s">
        <v>19</v>
      </c>
      <c r="D47" s="1316"/>
      <c r="E47" s="1317"/>
      <c r="F47" s="1318"/>
      <c r="G47" s="1319"/>
      <c r="H47" s="1320"/>
      <c r="I47" s="1317"/>
      <c r="J47" s="1320"/>
      <c r="K47" s="2099"/>
      <c r="L47" s="2948"/>
      <c r="M47" s="2949"/>
      <c r="N47" s="2940"/>
      <c r="O47" s="2949"/>
      <c r="P47" s="3265" t="str">
        <f>A47</f>
        <v>成交单价（元/平方米）</v>
      </c>
      <c r="Q47" s="3265"/>
      <c r="R47" s="3334">
        <f>E47</f>
        <v>0</v>
      </c>
      <c r="S47" s="3334"/>
      <c r="T47" s="3334">
        <f>G47</f>
        <v>0</v>
      </c>
      <c r="U47" s="3334"/>
      <c r="V47" s="3334">
        <f>I47</f>
        <v>0</v>
      </c>
      <c r="W47" s="3334"/>
      <c r="X47" s="698"/>
      <c r="Y47" s="720"/>
      <c r="Z47" s="698"/>
      <c r="AA47" s="698"/>
      <c r="AB47" s="698"/>
      <c r="AC47" s="698"/>
    </row>
    <row r="48" spans="1:29" ht="15.75" thickBot="1">
      <c r="A48" s="444" t="s">
        <v>2396</v>
      </c>
      <c r="B48" s="445"/>
      <c r="C48" s="1321" t="e">
        <f>R49</f>
        <v>#DIV/0!</v>
      </c>
      <c r="D48" s="2537" t="s">
        <v>2877</v>
      </c>
      <c r="E48" s="1322" t="e">
        <f>R48</f>
        <v>#DIV/0!</v>
      </c>
      <c r="F48" s="2538"/>
      <c r="G48" s="1321" t="e">
        <f>T48</f>
        <v>#DIV/0!</v>
      </c>
      <c r="H48" s="2538"/>
      <c r="I48" s="1322" t="e">
        <f>V48</f>
        <v>#DIV/0!</v>
      </c>
      <c r="J48" s="2538"/>
      <c r="K48" s="2539">
        <f>F48+H48+J48</f>
        <v>0</v>
      </c>
      <c r="L48" s="2948"/>
      <c r="M48" s="2949"/>
      <c r="N48" s="2949"/>
      <c r="O48" s="2949"/>
      <c r="P48" s="3265" t="str">
        <f>A48</f>
        <v>比较价值（元/平方米）</v>
      </c>
      <c r="Q48" s="3265"/>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8"/>
      <c r="Y48" s="698"/>
      <c r="Z48" s="698"/>
      <c r="AA48" s="698"/>
      <c r="AB48" s="698"/>
      <c r="AC48" s="698"/>
    </row>
    <row r="49" spans="1:29" ht="15.75" thickBot="1">
      <c r="A49" s="448" t="s">
        <v>2397</v>
      </c>
      <c r="B49" s="449"/>
      <c r="C49" s="1323" t="e">
        <f>R49</f>
        <v>#DIV/0!</v>
      </c>
      <c r="D49" s="1324"/>
      <c r="E49" s="1324"/>
      <c r="F49" s="1324"/>
      <c r="G49" s="1324"/>
      <c r="H49" s="1324"/>
      <c r="I49" s="1324"/>
      <c r="J49" s="1324"/>
      <c r="K49" s="2100"/>
      <c r="L49" s="2948"/>
      <c r="M49" s="2949"/>
      <c r="N49" s="2949"/>
      <c r="O49" s="2949"/>
      <c r="P49" s="3301" t="str">
        <f>A49</f>
        <v>估价对象XX用房的比较价值（楼面单价，元/平方米）</v>
      </c>
      <c r="Q49" s="3302"/>
      <c r="R49" s="3333" t="e">
        <f>IF(F1="售价",ROUND(IF(D48="简单平均",AVERAGE(R48:V48),R48*F48+T48*H48+V48*J48),0),ROUND(IF(D48="简单平均",AVERAGE(R48:V48),R48*F48+T48*H48+V48*J48),1))</f>
        <v>#DIV/0!</v>
      </c>
      <c r="S49" s="3333"/>
      <c r="T49" s="3333"/>
      <c r="U49" s="3333"/>
      <c r="V49" s="3333"/>
      <c r="W49" s="3333"/>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2"/>
    </row>
    <row r="55" spans="1:29" s="458" customFormat="1">
      <c r="A55" s="2952"/>
      <c r="B55" s="2955"/>
      <c r="C55" s="2956"/>
      <c r="D55" s="2952"/>
      <c r="E55" s="2952"/>
      <c r="F55" s="2952"/>
      <c r="G55" s="2952"/>
      <c r="H55" s="2952"/>
      <c r="I55" s="2952"/>
      <c r="J55" s="2952"/>
      <c r="K55" s="2957"/>
      <c r="L55" s="2951"/>
      <c r="M55" s="2952"/>
      <c r="N55" s="2952"/>
      <c r="O55" s="2952"/>
      <c r="P55" s="2102"/>
    </row>
    <row r="56" spans="1:29">
      <c r="A56" s="2949"/>
      <c r="B56" s="2955"/>
      <c r="C56" s="2956"/>
      <c r="D56" s="2949"/>
      <c r="E56" s="2949"/>
      <c r="F56" s="2949"/>
      <c r="G56" s="2949"/>
      <c r="H56" s="2949"/>
      <c r="I56" s="2949"/>
      <c r="J56" s="2949"/>
      <c r="K56" s="2954"/>
      <c r="L56" s="2950"/>
      <c r="M56" s="2949"/>
      <c r="N56" s="2949"/>
      <c r="O56" s="2949"/>
    </row>
    <row r="57" spans="1:29" ht="21.75" thickBot="1">
      <c r="A57" s="702" t="s">
        <v>2401</v>
      </c>
      <c r="B57" s="698"/>
      <c r="C57" s="703"/>
      <c r="D57" s="703"/>
      <c r="E57" s="703"/>
      <c r="F57" s="704"/>
      <c r="G57" s="704"/>
      <c r="H57" s="703"/>
      <c r="I57" s="703"/>
      <c r="J57" s="703"/>
      <c r="K57" s="1071"/>
      <c r="L57" s="1072"/>
      <c r="M57" s="1070"/>
      <c r="N57" s="1070"/>
      <c r="O57" s="1070"/>
      <c r="P57" s="2103"/>
      <c r="Q57" s="460"/>
    </row>
    <row r="58" spans="1:29" s="464" customFormat="1" ht="15">
      <c r="A58" s="461" t="s">
        <v>2402</v>
      </c>
      <c r="B58" s="462"/>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2" customFormat="1" ht="15">
      <c r="A59" s="465"/>
      <c r="B59" s="2104"/>
      <c r="C59" s="1344">
        <v>100</v>
      </c>
      <c r="D59" s="467"/>
      <c r="E59" s="468"/>
      <c r="F59" s="468"/>
      <c r="G59" s="468"/>
      <c r="H59" s="468"/>
      <c r="I59" s="468"/>
      <c r="J59" s="468"/>
      <c r="K59" s="468"/>
      <c r="L59" s="468"/>
      <c r="M59" s="469"/>
      <c r="N59" s="468"/>
      <c r="O59" s="469"/>
      <c r="P59" s="2105"/>
    </row>
    <row r="60" spans="1:29" s="112" customFormat="1" ht="15.75" thickBot="1">
      <c r="A60" s="471" t="s">
        <v>2403</v>
      </c>
      <c r="B60" s="472"/>
      <c r="C60" s="473"/>
      <c r="D60" s="474"/>
      <c r="E60" s="474"/>
      <c r="F60" s="474"/>
      <c r="G60" s="474"/>
      <c r="H60" s="474"/>
      <c r="I60" s="474"/>
      <c r="J60" s="474"/>
      <c r="K60" s="474"/>
      <c r="L60" s="474"/>
      <c r="M60" s="475"/>
      <c r="N60" s="474"/>
      <c r="O60" s="475"/>
      <c r="P60" s="2105"/>
      <c r="Q60" s="460"/>
    </row>
    <row r="61" spans="1:29" s="112" customFormat="1" ht="15">
      <c r="A61" s="477" t="s">
        <v>2404</v>
      </c>
      <c r="B61" s="466"/>
      <c r="C61" s="478" t="s">
        <v>2405</v>
      </c>
      <c r="D61" s="479"/>
      <c r="E61" s="479"/>
      <c r="F61" s="479"/>
      <c r="G61" s="479"/>
      <c r="H61" s="479"/>
      <c r="I61" s="479"/>
      <c r="J61" s="479"/>
      <c r="K61" s="479"/>
      <c r="L61" s="480"/>
      <c r="M61" s="481"/>
      <c r="N61" s="1062"/>
      <c r="O61" s="1062"/>
      <c r="P61" s="2106"/>
      <c r="Q61" s="460"/>
    </row>
    <row r="62" spans="1:29" s="112"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2406</v>
      </c>
      <c r="B63" s="484" t="s">
        <v>2372</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1946</v>
      </c>
      <c r="C82" s="495" t="s">
        <v>2422</v>
      </c>
      <c r="D82" s="495" t="s">
        <v>2423</v>
      </c>
      <c r="E82" s="495" t="s">
        <v>2424</v>
      </c>
      <c r="F82" s="495" t="s">
        <v>2425</v>
      </c>
      <c r="G82" s="495" t="s">
        <v>2426</v>
      </c>
      <c r="H82" s="495"/>
      <c r="I82" s="495"/>
      <c r="J82" s="495"/>
      <c r="K82" s="495"/>
      <c r="L82" s="495"/>
      <c r="M82" s="1290"/>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2" customFormat="1" ht="15.75" thickTop="1">
      <c r="A86" s="535"/>
      <c r="B86" s="494" t="s">
        <v>2428</v>
      </c>
      <c r="C86" s="510"/>
      <c r="D86" s="510"/>
      <c r="E86" s="510"/>
      <c r="F86" s="510"/>
      <c r="G86" s="510"/>
      <c r="H86" s="510"/>
      <c r="I86" s="510"/>
      <c r="J86" s="510"/>
      <c r="K86" s="510"/>
      <c r="L86" s="536"/>
      <c r="M86" s="537"/>
      <c r="N86" s="1062"/>
      <c r="O86" s="1062"/>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2" customFormat="1" ht="15.75" thickTop="1">
      <c r="A88" s="535"/>
      <c r="B88" s="494" t="s">
        <v>2429</v>
      </c>
      <c r="C88" s="510"/>
      <c r="D88" s="510"/>
      <c r="E88" s="510"/>
      <c r="F88" s="2112"/>
      <c r="G88" s="510"/>
      <c r="H88" s="510"/>
      <c r="I88" s="510"/>
      <c r="J88" s="510"/>
      <c r="K88" s="510"/>
      <c r="L88" s="510"/>
      <c r="M88" s="537"/>
      <c r="N88" s="1062"/>
      <c r="O88" s="1062"/>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2381</v>
      </c>
      <c r="B100" s="484" t="s">
        <v>2430</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2432</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2433</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2434</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2435</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2436</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2437</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2438</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2440</v>
      </c>
    </row>
    <row r="137" spans="1:17" ht="15">
      <c r="B137" s="2115" t="s">
        <v>2441</v>
      </c>
      <c r="C137" s="2116"/>
      <c r="D137" s="2116"/>
      <c r="E137" s="2116"/>
      <c r="F137" s="2116"/>
      <c r="G137" s="2117"/>
      <c r="H137" s="2118"/>
      <c r="I137" s="2119" t="s">
        <v>2442</v>
      </c>
      <c r="J137" s="2116"/>
      <c r="K137" s="2120"/>
    </row>
    <row r="138" spans="1:17" ht="15">
      <c r="B138" s="2121"/>
      <c r="C138" s="141" t="s">
        <v>2443</v>
      </c>
      <c r="D138" s="141" t="s">
        <v>2444</v>
      </c>
      <c r="E138" s="2122" t="s">
        <v>2445</v>
      </c>
      <c r="F138" s="2123" t="s">
        <v>2446</v>
      </c>
      <c r="G138" s="141" t="s">
        <v>2444</v>
      </c>
      <c r="H138" s="142" t="s">
        <v>2445</v>
      </c>
      <c r="I138" s="2124"/>
      <c r="J138" s="141" t="s">
        <v>2447</v>
      </c>
      <c r="K138" s="142" t="s">
        <v>2448</v>
      </c>
    </row>
    <row r="139" spans="1:17" ht="15">
      <c r="B139" s="997">
        <v>6</v>
      </c>
      <c r="C139" s="998">
        <v>96</v>
      </c>
      <c r="D139" s="2125" t="s">
        <v>2449</v>
      </c>
      <c r="E139" s="999">
        <v>100</v>
      </c>
      <c r="F139" s="1000">
        <v>102.5</v>
      </c>
      <c r="G139" s="2125" t="s">
        <v>2449</v>
      </c>
      <c r="H139" s="1001">
        <v>105</v>
      </c>
      <c r="I139" s="2126" t="s">
        <v>2450</v>
      </c>
      <c r="J139" s="998">
        <v>20</v>
      </c>
      <c r="K139" s="1002">
        <f>C145/(J139-2)</f>
        <v>4.0555555555555553E-3</v>
      </c>
    </row>
    <row r="140" spans="1:17" ht="15">
      <c r="B140" s="1003">
        <v>5</v>
      </c>
      <c r="C140" s="1004">
        <v>100</v>
      </c>
      <c r="D140" s="1004"/>
      <c r="E140" s="1005"/>
      <c r="F140" s="1006">
        <v>102</v>
      </c>
      <c r="G140" s="1004"/>
      <c r="H140" s="1007"/>
      <c r="I140" s="2127" t="s">
        <v>2451</v>
      </c>
      <c r="J140" s="276">
        <f>ROUNDUP((J139-1)/2,0)</f>
        <v>10</v>
      </c>
      <c r="K140" s="1008">
        <v>100</v>
      </c>
    </row>
    <row r="141" spans="1:17" ht="15">
      <c r="B141" s="1003">
        <v>4</v>
      </c>
      <c r="C141" s="1004">
        <v>102</v>
      </c>
      <c r="D141" s="1004"/>
      <c r="E141" s="1005"/>
      <c r="F141" s="1006">
        <v>101.5</v>
      </c>
      <c r="G141" s="1004"/>
      <c r="H141" s="1007"/>
      <c r="I141" s="2127" t="s">
        <v>2452</v>
      </c>
      <c r="J141" s="276">
        <v>1</v>
      </c>
      <c r="K141" s="1009">
        <f>ROUND(100+(J141-J140)*K139*100,1)</f>
        <v>96.4</v>
      </c>
    </row>
    <row r="142" spans="1:17" ht="15">
      <c r="B142" s="1003">
        <v>3</v>
      </c>
      <c r="C142" s="1004">
        <v>103</v>
      </c>
      <c r="D142" s="1004"/>
      <c r="E142" s="1005"/>
      <c r="F142" s="1006">
        <v>101</v>
      </c>
      <c r="G142" s="1004"/>
      <c r="H142" s="1007"/>
      <c r="I142" s="2127" t="s">
        <v>2453</v>
      </c>
      <c r="J142" s="276">
        <f>J139</f>
        <v>20</v>
      </c>
      <c r="K142" s="1010">
        <v>95</v>
      </c>
    </row>
    <row r="143" spans="1:17" ht="15">
      <c r="B143" s="1003">
        <v>2</v>
      </c>
      <c r="C143" s="1004">
        <v>100</v>
      </c>
      <c r="D143" s="1004"/>
      <c r="E143" s="1005"/>
      <c r="F143" s="1006">
        <v>100.5</v>
      </c>
      <c r="G143" s="1004"/>
      <c r="H143" s="1007"/>
      <c r="I143" s="2127" t="s">
        <v>2454</v>
      </c>
      <c r="J143" s="1004">
        <v>15</v>
      </c>
      <c r="K143" s="1009">
        <f>ROUND(100+(J143-J140)*K139*100,1)</f>
        <v>102</v>
      </c>
    </row>
    <row r="144" spans="1:17" ht="15">
      <c r="B144" s="1003">
        <v>1</v>
      </c>
      <c r="C144" s="1004">
        <v>98</v>
      </c>
      <c r="D144" s="2128" t="s">
        <v>2455</v>
      </c>
      <c r="E144" s="1005">
        <v>102</v>
      </c>
      <c r="F144" s="1011">
        <v>100</v>
      </c>
      <c r="G144" s="2128" t="s">
        <v>2455</v>
      </c>
      <c r="H144" s="1007">
        <v>105</v>
      </c>
      <c r="I144" s="2127" t="s">
        <v>2454</v>
      </c>
      <c r="J144" s="1004">
        <v>18</v>
      </c>
      <c r="K144" s="1009">
        <f>ROUND(100+(J144-J140)*K139*100,1)</f>
        <v>103.2</v>
      </c>
    </row>
    <row r="145" spans="2:11" ht="15.75" thickBot="1">
      <c r="B145" s="2129" t="s">
        <v>2456</v>
      </c>
      <c r="C145" s="1012">
        <f>ROUND(MAX(C139:C144)/MIN(C139:C144)-1,3)</f>
        <v>7.2999999999999995E-2</v>
      </c>
      <c r="D145" s="1013"/>
      <c r="E145" s="1013"/>
      <c r="F145" s="2130" t="s">
        <v>2457</v>
      </c>
      <c r="G145" s="2131"/>
      <c r="H145" s="2132"/>
      <c r="I145" s="2133" t="s">
        <v>2454</v>
      </c>
      <c r="J145" s="1014">
        <v>8</v>
      </c>
      <c r="K145" s="1015">
        <f>ROUND(100+(J145-J140)*K139*100,1)</f>
        <v>99.2</v>
      </c>
    </row>
    <row r="147" spans="2:11">
      <c r="B147" s="2114" t="s">
        <v>2458</v>
      </c>
    </row>
    <row r="148" spans="2:11">
      <c r="B148" s="2114"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中谷集团上海粮油有限公司：</v>
      </c>
    </row>
    <row r="4" spans="1:1" ht="36">
      <c r="A4" s="1664" t="str">
        <f>"受贵公司委托，我公司对"&amp;项目基本情况!S1&amp;"进行了预评估。"</f>
        <v>受贵公司委托，我公司对吉林省辽源市沙河镇沙河村二组房地产市场价值进行了预评估。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估价对象为吉林省辽源市沙河镇沙河村二组房地产，为中谷集团上海粮油有限公司所有。根据《国有土地使用证》[]，估价对象（分摊）出让国有建设用地使用权面积为43638平方米，建筑面积为34910.4平方米。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辽源市沙河镇沙河村二组房地产,为中谷集团上海粮油有限公司开发建设的工业项目，该项目尚在开发建设中。根据《国有土地使用证》[]，估价对象（分摊）出让国有建设用地使用权面积为43638平方米，规划建筑面积为34910.4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2021年5月16日（评估专业人员实地查勘之日）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本次评估采用的主估价方法为比较法和假设开发法。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3" t="s">
        <v>2460</v>
      </c>
      <c r="C1" s="1405" t="s">
        <v>2348</v>
      </c>
      <c r="D1" s="1392"/>
      <c r="E1" s="2542"/>
      <c r="F1" s="2064"/>
      <c r="G1" s="1402" t="s">
        <v>2461</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7"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58"/>
      <c r="M2" s="2959"/>
      <c r="N2" s="2959"/>
      <c r="O2" s="2959"/>
      <c r="P2" s="2137"/>
      <c r="Q2" s="1042"/>
      <c r="R2" s="1042"/>
      <c r="S2" s="1042"/>
      <c r="T2" s="1042"/>
      <c r="U2" s="1042"/>
      <c r="V2" s="1042"/>
      <c r="W2" s="1042"/>
      <c r="X2" s="1042"/>
      <c r="Y2" s="1042"/>
      <c r="Z2" s="1042"/>
      <c r="AA2" s="1042"/>
      <c r="AB2" s="1042"/>
      <c r="AC2" s="2138"/>
    </row>
    <row r="3" spans="1:29" s="357" customFormat="1" ht="28.5" customHeight="1" thickBot="1">
      <c r="A3" s="208" t="s">
        <v>2150</v>
      </c>
      <c r="B3" s="565" t="e">
        <f ca="1">IF(C2="——",C49,ROUND(B2*10000/D3,0))</f>
        <v>#DIV/0!</v>
      </c>
      <c r="C3" s="359" t="s">
        <v>2462</v>
      </c>
      <c r="D3" s="358">
        <f>IF(D1="",'数据-汇总表'!E3,SUMIF('数据-汇总表'!$C19:$C33,D1,'数据-汇总表'!$E19:$E33))</f>
        <v>34910.400000000001</v>
      </c>
      <c r="E3" s="2139"/>
      <c r="F3" s="1039"/>
      <c r="G3" s="1038"/>
      <c r="H3" s="1038"/>
      <c r="I3" s="1038"/>
      <c r="J3" s="1038"/>
      <c r="K3" s="1040"/>
      <c r="L3" s="2958"/>
      <c r="M3" s="2959"/>
      <c r="N3" s="2959"/>
      <c r="O3" s="2959"/>
      <c r="P3" s="2137"/>
      <c r="Q3" s="1042"/>
      <c r="R3" s="1042"/>
      <c r="S3" s="1042"/>
      <c r="T3" s="1042"/>
      <c r="U3" s="1042"/>
      <c r="V3" s="1042"/>
      <c r="W3" s="1042"/>
      <c r="X3" s="1042"/>
      <c r="Y3" s="1042"/>
      <c r="Z3" s="1042"/>
      <c r="AA3" s="1042"/>
      <c r="AB3" s="1042"/>
      <c r="AC3" s="2139"/>
    </row>
    <row r="4" spans="1:29" ht="15">
      <c r="A4" s="360" t="s">
        <v>2463</v>
      </c>
      <c r="B4" s="361"/>
      <c r="C4" s="3262" t="s">
        <v>2464</v>
      </c>
      <c r="D4" s="3289"/>
      <c r="E4" s="3290" t="s">
        <v>2465</v>
      </c>
      <c r="F4" s="3291"/>
      <c r="G4" s="3262" t="s">
        <v>2466</v>
      </c>
      <c r="H4" s="3289"/>
      <c r="I4" s="3262" t="s">
        <v>2467</v>
      </c>
      <c r="J4" s="3289"/>
      <c r="K4" s="566" t="s">
        <v>2468</v>
      </c>
      <c r="L4" s="2939"/>
      <c r="M4" s="2940"/>
      <c r="N4" s="2940"/>
      <c r="O4" s="2940"/>
      <c r="P4" s="3292" t="s">
        <v>2469</v>
      </c>
      <c r="Q4" s="3293"/>
      <c r="R4" s="3269" t="s">
        <v>2465</v>
      </c>
      <c r="S4" s="3270"/>
      <c r="T4" s="3269" t="s">
        <v>2466</v>
      </c>
      <c r="U4" s="3270"/>
      <c r="V4" s="3282" t="s">
        <v>2467</v>
      </c>
      <c r="W4" s="3282"/>
      <c r="X4" s="1538"/>
      <c r="Y4" s="3269" t="s">
        <v>2469</v>
      </c>
      <c r="Z4" s="3270"/>
      <c r="AA4" s="3286" t="s">
        <v>2465</v>
      </c>
      <c r="AB4" s="3282" t="s">
        <v>2466</v>
      </c>
      <c r="AC4" s="3286" t="s">
        <v>2467</v>
      </c>
    </row>
    <row r="5" spans="1:29" ht="15">
      <c r="A5" s="363"/>
      <c r="B5" s="364"/>
      <c r="C5" s="3273" t="s">
        <v>2360</v>
      </c>
      <c r="D5" s="3274"/>
      <c r="E5" s="3298" t="s">
        <v>2361</v>
      </c>
      <c r="F5" s="3299"/>
      <c r="G5" s="3273" t="s">
        <v>2362</v>
      </c>
      <c r="H5" s="3274"/>
      <c r="I5" s="3273" t="s">
        <v>2363</v>
      </c>
      <c r="J5" s="3274"/>
      <c r="K5" s="566"/>
      <c r="L5" s="2939"/>
      <c r="M5" s="2940"/>
      <c r="N5" s="2940"/>
      <c r="O5" s="2940"/>
      <c r="P5" s="3294"/>
      <c r="Q5" s="3295"/>
      <c r="R5" s="3271"/>
      <c r="S5" s="3272"/>
      <c r="T5" s="3271"/>
      <c r="U5" s="3272"/>
      <c r="V5" s="3282"/>
      <c r="W5" s="3282"/>
      <c r="X5" s="1538"/>
      <c r="Y5" s="3271"/>
      <c r="Z5" s="3272"/>
      <c r="AA5" s="3287"/>
      <c r="AB5" s="3282"/>
      <c r="AC5" s="3287"/>
    </row>
    <row r="6" spans="1:29" ht="15.75" thickBot="1">
      <c r="A6" s="365"/>
      <c r="B6" s="366"/>
      <c r="C6" s="3341" t="s">
        <v>2364</v>
      </c>
      <c r="D6" s="3342"/>
      <c r="E6" s="3343" t="s">
        <v>2364</v>
      </c>
      <c r="F6" s="3344"/>
      <c r="G6" s="3341" t="s">
        <v>2364</v>
      </c>
      <c r="H6" s="3342"/>
      <c r="I6" s="3341" t="s">
        <v>2364</v>
      </c>
      <c r="J6" s="3342"/>
      <c r="K6" s="566" t="s">
        <v>2365</v>
      </c>
      <c r="L6" s="2939"/>
      <c r="M6" s="2940"/>
      <c r="N6" s="2940"/>
      <c r="O6" s="2940"/>
      <c r="P6" s="3296"/>
      <c r="Q6" s="3297"/>
      <c r="R6" s="3271"/>
      <c r="S6" s="3272"/>
      <c r="T6" s="3280"/>
      <c r="U6" s="3281"/>
      <c r="V6" s="3282"/>
      <c r="W6" s="3282"/>
      <c r="X6" s="1538"/>
      <c r="Y6" s="3280"/>
      <c r="Z6" s="3281"/>
      <c r="AA6" s="3288"/>
      <c r="AB6" s="3282"/>
      <c r="AC6" s="3288"/>
    </row>
    <row r="7" spans="1:29" s="112" customFormat="1" ht="15.75" thickBot="1">
      <c r="A7" s="367" t="s">
        <v>2366</v>
      </c>
      <c r="B7" s="368"/>
      <c r="C7" s="369">
        <f>'数据-取费表'!B2</f>
        <v>44332</v>
      </c>
      <c r="D7" s="370">
        <v>100</v>
      </c>
      <c r="E7" s="371"/>
      <c r="F7" s="372">
        <f>SUMIF(58:58,YEAR(E7)&amp;"-"&amp;MONTH(E7),59:59)</f>
        <v>0</v>
      </c>
      <c r="G7" s="371"/>
      <c r="H7" s="370">
        <f>SUMIF(58:58,YEAR(G7)&amp;"-"&amp;MONTH(G7),59:59)</f>
        <v>0</v>
      </c>
      <c r="I7" s="371"/>
      <c r="J7" s="370">
        <f>SUMIF(58:58,YEAR(I7)&amp;"-"&amp;MONTH(I7),59:59)</f>
        <v>0</v>
      </c>
      <c r="K7" s="567"/>
      <c r="L7" s="2941"/>
      <c r="M7" s="2942"/>
      <c r="N7" s="2942"/>
      <c r="O7" s="2942"/>
      <c r="P7" s="3267" t="s">
        <v>2367</v>
      </c>
      <c r="Q7" s="3277"/>
      <c r="R7" s="709" t="s">
        <v>17</v>
      </c>
      <c r="S7" s="710">
        <f t="shared" ref="S7:S15" si="0">F7</f>
        <v>0</v>
      </c>
      <c r="T7" s="709" t="s">
        <v>17</v>
      </c>
      <c r="U7" s="710">
        <f t="shared" ref="U7:U15" si="1">H7</f>
        <v>0</v>
      </c>
      <c r="V7" s="709" t="s">
        <v>17</v>
      </c>
      <c r="W7" s="710">
        <f t="shared" ref="W7:W15" si="2">J7</f>
        <v>0</v>
      </c>
      <c r="X7" s="711"/>
      <c r="Y7" s="3267" t="s">
        <v>2367</v>
      </c>
      <c r="Z7" s="3268"/>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267" t="s">
        <v>2370</v>
      </c>
      <c r="Q8" s="3268"/>
      <c r="R8" s="709" t="s">
        <v>17</v>
      </c>
      <c r="S8" s="710">
        <f t="shared" si="0"/>
        <v>0</v>
      </c>
      <c r="T8" s="709" t="s">
        <v>17</v>
      </c>
      <c r="U8" s="710">
        <f t="shared" si="1"/>
        <v>0</v>
      </c>
      <c r="V8" s="709" t="s">
        <v>17</v>
      </c>
      <c r="W8" s="710">
        <f t="shared" si="2"/>
        <v>0</v>
      </c>
      <c r="X8" s="711"/>
      <c r="Y8" s="3267" t="s">
        <v>2370</v>
      </c>
      <c r="Z8" s="3268"/>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264"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264"/>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264"/>
      <c r="Q11" s="1526" t="str">
        <f t="shared" si="6"/>
        <v>容积率</v>
      </c>
      <c r="R11" s="709" t="s">
        <v>17</v>
      </c>
      <c r="S11" s="710" t="e">
        <f t="shared" si="0"/>
        <v>#N/A</v>
      </c>
      <c r="T11" s="709" t="s">
        <v>17</v>
      </c>
      <c r="U11" s="710" t="e">
        <f t="shared" si="1"/>
        <v>#N/A</v>
      </c>
      <c r="V11" s="709" t="s">
        <v>17</v>
      </c>
      <c r="W11" s="710" t="e">
        <f t="shared" si="2"/>
        <v>#N/A</v>
      </c>
      <c r="X11" s="711"/>
      <c r="Y11" s="3163"/>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264"/>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264"/>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264"/>
      <c r="Q14" s="1526">
        <f t="shared" si="6"/>
        <v>111</v>
      </c>
      <c r="R14" s="709" t="s">
        <v>17</v>
      </c>
      <c r="S14" s="710">
        <f t="shared" si="0"/>
        <v>100</v>
      </c>
      <c r="T14" s="709" t="s">
        <v>17</v>
      </c>
      <c r="U14" s="710">
        <f t="shared" si="1"/>
        <v>100</v>
      </c>
      <c r="V14" s="709" t="s">
        <v>17</v>
      </c>
      <c r="W14" s="710">
        <f t="shared" si="2"/>
        <v>100</v>
      </c>
      <c r="X14" s="711"/>
      <c r="Y14" s="3163"/>
      <c r="Z14" s="55">
        <f t="shared" si="7"/>
        <v>111</v>
      </c>
      <c r="AA14" s="712">
        <f t="shared" si="3"/>
        <v>1</v>
      </c>
      <c r="AB14" s="712">
        <f t="shared" si="4"/>
        <v>1</v>
      </c>
      <c r="AC14" s="712">
        <f t="shared" si="5"/>
        <v>1</v>
      </c>
    </row>
    <row r="15" spans="1:29" ht="71.25">
      <c r="A15" s="398" t="s">
        <v>2377</v>
      </c>
      <c r="B15" s="65" t="s">
        <v>2471</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39" t="s">
        <v>2378</v>
      </c>
      <c r="Q15" s="1535" t="str">
        <f t="shared" si="6"/>
        <v>商业繁华度</v>
      </c>
      <c r="R15" s="713" t="s">
        <v>17</v>
      </c>
      <c r="S15" s="714">
        <f t="shared" si="0"/>
        <v>100</v>
      </c>
      <c r="T15" s="713" t="s">
        <v>17</v>
      </c>
      <c r="U15" s="714">
        <f t="shared" si="1"/>
        <v>100</v>
      </c>
      <c r="V15" s="713" t="s">
        <v>17</v>
      </c>
      <c r="W15" s="714">
        <f t="shared" si="2"/>
        <v>100</v>
      </c>
      <c r="X15" s="1538"/>
      <c r="Y15" s="3283"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6"/>
      <c r="M16" s="2940"/>
      <c r="N16" s="2940"/>
      <c r="O16" s="2940"/>
      <c r="P16" s="3340"/>
      <c r="Q16" s="1535"/>
      <c r="R16" s="713"/>
      <c r="S16" s="714"/>
      <c r="T16" s="713"/>
      <c r="U16" s="714"/>
      <c r="V16" s="713"/>
      <c r="W16" s="714"/>
      <c r="X16" s="1538"/>
      <c r="Y16" s="3284"/>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40"/>
      <c r="Q17" s="1535" t="str">
        <f>B17</f>
        <v>交通便捷度</v>
      </c>
      <c r="R17" s="713" t="s">
        <v>17</v>
      </c>
      <c r="S17" s="714">
        <f>F17</f>
        <v>100</v>
      </c>
      <c r="T17" s="713" t="s">
        <v>17</v>
      </c>
      <c r="U17" s="714">
        <f>H17</f>
        <v>100</v>
      </c>
      <c r="V17" s="713" t="s">
        <v>17</v>
      </c>
      <c r="W17" s="714">
        <f>J17</f>
        <v>100</v>
      </c>
      <c r="X17" s="1538"/>
      <c r="Y17" s="3284"/>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46"/>
      <c r="M18" s="2940"/>
      <c r="N18" s="2940"/>
      <c r="O18" s="2940"/>
      <c r="P18" s="3340"/>
      <c r="Q18" s="1535"/>
      <c r="R18" s="713"/>
      <c r="S18" s="714"/>
      <c r="T18" s="713"/>
      <c r="U18" s="714"/>
      <c r="V18" s="713"/>
      <c r="W18" s="714"/>
      <c r="X18" s="1538"/>
      <c r="Y18" s="3284"/>
      <c r="Z18" s="1539"/>
      <c r="AA18" s="1536">
        <v>1</v>
      </c>
      <c r="AB18" s="1536">
        <v>1</v>
      </c>
      <c r="AC18" s="1536">
        <v>1</v>
      </c>
    </row>
    <row r="19" spans="1:29" ht="42.75">
      <c r="A19" s="386"/>
      <c r="B19" s="409" t="s">
        <v>2472</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40"/>
      <c r="Q19" s="1535" t="str">
        <f>B19</f>
        <v>公共配套设施</v>
      </c>
      <c r="R19" s="713" t="s">
        <v>17</v>
      </c>
      <c r="S19" s="714">
        <f>F19</f>
        <v>100</v>
      </c>
      <c r="T19" s="713" t="s">
        <v>17</v>
      </c>
      <c r="U19" s="714">
        <f>H19</f>
        <v>100</v>
      </c>
      <c r="V19" s="713" t="s">
        <v>17</v>
      </c>
      <c r="W19" s="714">
        <f>J19</f>
        <v>100</v>
      </c>
      <c r="X19" s="1538"/>
      <c r="Y19" s="3284"/>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46"/>
      <c r="M20" s="2940"/>
      <c r="N20" s="2940"/>
      <c r="O20" s="2940"/>
      <c r="P20" s="3340"/>
      <c r="Q20" s="1535"/>
      <c r="R20" s="713"/>
      <c r="S20" s="714"/>
      <c r="T20" s="713"/>
      <c r="U20" s="714"/>
      <c r="V20" s="713"/>
      <c r="W20" s="714"/>
      <c r="X20" s="1538"/>
      <c r="Y20" s="3284"/>
      <c r="Z20" s="1539"/>
      <c r="AA20" s="1536">
        <v>1</v>
      </c>
      <c r="AB20" s="1536">
        <v>1</v>
      </c>
      <c r="AC20" s="1536">
        <v>1</v>
      </c>
    </row>
    <row r="21" spans="1:29" ht="28.5">
      <c r="A21" s="386"/>
      <c r="B21" s="1292" t="s">
        <v>2473</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40"/>
      <c r="Q21" s="1535" t="str">
        <f>B21</f>
        <v>基础设施水平</v>
      </c>
      <c r="R21" s="713" t="s">
        <v>17</v>
      </c>
      <c r="S21" s="714">
        <f>F21</f>
        <v>100</v>
      </c>
      <c r="T21" s="713" t="s">
        <v>17</v>
      </c>
      <c r="U21" s="714">
        <f>H21</f>
        <v>100</v>
      </c>
      <c r="V21" s="713" t="s">
        <v>17</v>
      </c>
      <c r="W21" s="714">
        <f>J21</f>
        <v>100</v>
      </c>
      <c r="X21" s="1538"/>
      <c r="Y21" s="3284"/>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46"/>
      <c r="M22" s="2940"/>
      <c r="N22" s="2940"/>
      <c r="O22" s="2940"/>
      <c r="P22" s="3340"/>
      <c r="Q22" s="1535"/>
      <c r="R22" s="713"/>
      <c r="S22" s="714"/>
      <c r="T22" s="713"/>
      <c r="U22" s="714"/>
      <c r="V22" s="713"/>
      <c r="W22" s="714"/>
      <c r="X22" s="1538"/>
      <c r="Y22" s="3284"/>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40"/>
      <c r="Q23" s="1535" t="str">
        <f>B23</f>
        <v>自然及人文环境</v>
      </c>
      <c r="R23" s="713" t="s">
        <v>17</v>
      </c>
      <c r="S23" s="714">
        <f>F23</f>
        <v>100</v>
      </c>
      <c r="T23" s="713" t="s">
        <v>17</v>
      </c>
      <c r="U23" s="714">
        <f>H23</f>
        <v>100</v>
      </c>
      <c r="V23" s="713" t="s">
        <v>17</v>
      </c>
      <c r="W23" s="714">
        <f>J23</f>
        <v>100</v>
      </c>
      <c r="X23" s="1538"/>
      <c r="Y23" s="3284"/>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46"/>
      <c r="M24" s="2940"/>
      <c r="N24" s="2940"/>
      <c r="O24" s="2940"/>
      <c r="P24" s="3340"/>
      <c r="Q24" s="1535"/>
      <c r="R24" s="713"/>
      <c r="S24" s="714"/>
      <c r="T24" s="713"/>
      <c r="U24" s="714"/>
      <c r="V24" s="713"/>
      <c r="W24" s="714"/>
      <c r="X24" s="1538"/>
      <c r="Y24" s="3284"/>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40"/>
      <c r="Q25" s="1535" t="str">
        <f t="shared" ref="Q25:Q46" si="11">B25</f>
        <v>临街状况</v>
      </c>
      <c r="R25" s="713" t="s">
        <v>17</v>
      </c>
      <c r="S25" s="714">
        <f>F25</f>
        <v>100</v>
      </c>
      <c r="T25" s="713" t="s">
        <v>17</v>
      </c>
      <c r="U25" s="714">
        <f>H25</f>
        <v>100</v>
      </c>
      <c r="V25" s="713" t="s">
        <v>17</v>
      </c>
      <c r="W25" s="714">
        <f>J25</f>
        <v>100</v>
      </c>
      <c r="X25" s="1538"/>
      <c r="Y25" s="3284"/>
      <c r="Z25" s="1539" t="str">
        <f>Q25</f>
        <v>临街状况</v>
      </c>
      <c r="AA25" s="1536">
        <f t="shared" si="3"/>
        <v>1</v>
      </c>
      <c r="AB25" s="1536">
        <f t="shared" si="4"/>
        <v>1</v>
      </c>
      <c r="AC25" s="1536">
        <f t="shared" si="5"/>
        <v>1</v>
      </c>
    </row>
    <row r="26" spans="1:29" ht="15">
      <c r="A26" s="386"/>
      <c r="B26" s="1294" t="s">
        <v>2475</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40"/>
      <c r="Q26" s="1535" t="str">
        <f t="shared" si="11"/>
        <v>平面位置/可视性</v>
      </c>
      <c r="R26" s="713" t="s">
        <v>17</v>
      </c>
      <c r="S26" s="714">
        <f>F26</f>
        <v>100</v>
      </c>
      <c r="T26" s="713" t="s">
        <v>17</v>
      </c>
      <c r="U26" s="714">
        <f>H26</f>
        <v>100</v>
      </c>
      <c r="V26" s="713" t="s">
        <v>17</v>
      </c>
      <c r="W26" s="714">
        <f>J26</f>
        <v>100</v>
      </c>
      <c r="X26" s="1538"/>
      <c r="Y26" s="3284"/>
      <c r="Z26" s="1539" t="str">
        <f>Q26</f>
        <v>平面位置/可视性</v>
      </c>
      <c r="AA26" s="1536">
        <f t="shared" si="3"/>
        <v>1</v>
      </c>
      <c r="AB26" s="1536">
        <f t="shared" si="4"/>
        <v>1</v>
      </c>
      <c r="AC26" s="1536">
        <f t="shared" si="5"/>
        <v>1</v>
      </c>
    </row>
    <row r="27" spans="1:29" s="112" customFormat="1" ht="15">
      <c r="A27" s="389"/>
      <c r="B27" s="409" t="s">
        <v>2476</v>
      </c>
      <c r="C27" s="2141"/>
      <c r="D27" s="420">
        <v>100</v>
      </c>
      <c r="E27" s="2141"/>
      <c r="F27" s="422">
        <f>SUMIF(90:90,E27,91:91)-SUMIF(90:90,C27,91:91)+100</f>
        <v>100</v>
      </c>
      <c r="G27" s="2141"/>
      <c r="H27" s="420">
        <f>SUMIF(90:90,G27,91:91)-SUMIF(90:90,C27,91:91)+100</f>
        <v>100</v>
      </c>
      <c r="I27" s="2141"/>
      <c r="J27" s="420">
        <f>SUMIF(90:90,I27,91:91)-SUMIF(90:90,C27,91:91)+100</f>
        <v>100</v>
      </c>
      <c r="K27" s="568"/>
      <c r="L27" s="2941"/>
      <c r="M27" s="2942"/>
      <c r="N27" s="2942"/>
      <c r="O27" s="2942"/>
      <c r="P27" s="3340"/>
      <c r="Q27" s="1526" t="str">
        <f t="shared" si="11"/>
        <v>人流量</v>
      </c>
      <c r="R27" s="709" t="s">
        <v>17</v>
      </c>
      <c r="S27" s="710">
        <f>F27</f>
        <v>100</v>
      </c>
      <c r="T27" s="709" t="s">
        <v>17</v>
      </c>
      <c r="U27" s="710">
        <f>H27</f>
        <v>100</v>
      </c>
      <c r="V27" s="709" t="s">
        <v>17</v>
      </c>
      <c r="W27" s="710">
        <f>J27</f>
        <v>100</v>
      </c>
      <c r="X27" s="711"/>
      <c r="Y27" s="3284"/>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40"/>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284"/>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40"/>
      <c r="Q29" s="1535">
        <f t="shared" si="11"/>
        <v>111</v>
      </c>
      <c r="R29" s="713" t="s">
        <v>17</v>
      </c>
      <c r="S29" s="714">
        <f t="shared" si="12"/>
        <v>100</v>
      </c>
      <c r="T29" s="713" t="s">
        <v>17</v>
      </c>
      <c r="U29" s="714">
        <f t="shared" si="13"/>
        <v>100</v>
      </c>
      <c r="V29" s="713" t="s">
        <v>17</v>
      </c>
      <c r="W29" s="714">
        <f t="shared" si="14"/>
        <v>100</v>
      </c>
      <c r="X29" s="1538"/>
      <c r="Y29" s="3284"/>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40"/>
      <c r="Q30" s="1535">
        <f t="shared" si="11"/>
        <v>111</v>
      </c>
      <c r="R30" s="713" t="s">
        <v>17</v>
      </c>
      <c r="S30" s="714">
        <f t="shared" si="12"/>
        <v>100</v>
      </c>
      <c r="T30" s="713" t="s">
        <v>17</v>
      </c>
      <c r="U30" s="714">
        <f t="shared" si="13"/>
        <v>100</v>
      </c>
      <c r="V30" s="713" t="s">
        <v>17</v>
      </c>
      <c r="W30" s="714">
        <f t="shared" si="14"/>
        <v>100</v>
      </c>
      <c r="X30" s="1538"/>
      <c r="Y30" s="3284"/>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40"/>
      <c r="Q31" s="1535">
        <f t="shared" si="11"/>
        <v>111</v>
      </c>
      <c r="R31" s="713" t="s">
        <v>17</v>
      </c>
      <c r="S31" s="714">
        <f t="shared" si="12"/>
        <v>100</v>
      </c>
      <c r="T31" s="713" t="s">
        <v>17</v>
      </c>
      <c r="U31" s="714">
        <f t="shared" si="13"/>
        <v>100</v>
      </c>
      <c r="V31" s="713" t="s">
        <v>17</v>
      </c>
      <c r="W31" s="714">
        <f t="shared" si="14"/>
        <v>100</v>
      </c>
      <c r="X31" s="1538"/>
      <c r="Y31" s="3284"/>
      <c r="Z31" s="1539">
        <f t="shared" si="15"/>
        <v>111</v>
      </c>
      <c r="AA31" s="1536">
        <f t="shared" si="3"/>
        <v>1</v>
      </c>
      <c r="AB31" s="1536">
        <f t="shared" si="4"/>
        <v>1</v>
      </c>
      <c r="AC31" s="1536">
        <f t="shared" si="5"/>
        <v>1</v>
      </c>
    </row>
    <row r="32" spans="1:29" ht="15">
      <c r="A32" s="398" t="s">
        <v>2381</v>
      </c>
      <c r="B32" s="67" t="s">
        <v>2478</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6"/>
      <c r="M32" s="2940"/>
      <c r="N32" s="2940"/>
      <c r="O32" s="2940"/>
      <c r="P32" s="3335" t="s">
        <v>2383</v>
      </c>
      <c r="Q32" s="1535" t="str">
        <f t="shared" si="11"/>
        <v>商业类型</v>
      </c>
      <c r="R32" s="713" t="s">
        <v>17</v>
      </c>
      <c r="S32" s="714">
        <f t="shared" si="12"/>
        <v>100</v>
      </c>
      <c r="T32" s="713" t="s">
        <v>17</v>
      </c>
      <c r="U32" s="714">
        <f t="shared" si="13"/>
        <v>100</v>
      </c>
      <c r="V32" s="713" t="s">
        <v>17</v>
      </c>
      <c r="W32" s="714">
        <f t="shared" si="14"/>
        <v>100</v>
      </c>
      <c r="X32" s="1538"/>
      <c r="Y32" s="3285"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36"/>
      <c r="Q33" s="715" t="str">
        <f t="shared" si="11"/>
        <v>项目建筑规模</v>
      </c>
      <c r="R33" s="716" t="s">
        <v>17</v>
      </c>
      <c r="S33" s="717" t="e">
        <f t="shared" si="12"/>
        <v>#N/A</v>
      </c>
      <c r="T33" s="716" t="s">
        <v>17</v>
      </c>
      <c r="U33" s="717" t="e">
        <f t="shared" si="13"/>
        <v>#N/A</v>
      </c>
      <c r="V33" s="716" t="s">
        <v>17</v>
      </c>
      <c r="W33" s="717" t="e">
        <f t="shared" si="14"/>
        <v>#N/A</v>
      </c>
      <c r="X33" s="718"/>
      <c r="Y33" s="3285"/>
      <c r="Z33" s="719" t="str">
        <f t="shared" si="15"/>
        <v>项目建筑规模</v>
      </c>
      <c r="AA33" s="1536" t="e">
        <f t="shared" si="3"/>
        <v>#N/A</v>
      </c>
      <c r="AB33" s="1536" t="e">
        <f t="shared" si="4"/>
        <v>#N/A</v>
      </c>
      <c r="AC33" s="1536" t="e">
        <f t="shared" si="5"/>
        <v>#N/A</v>
      </c>
    </row>
    <row r="34" spans="1:29" ht="15">
      <c r="A34" s="430"/>
      <c r="B34" s="380" t="s">
        <v>2385</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46"/>
      <c r="M34" s="2940"/>
      <c r="N34" s="2940"/>
      <c r="O34" s="2940"/>
      <c r="P34" s="3336"/>
      <c r="Q34" s="1535" t="str">
        <f t="shared" si="11"/>
        <v>建筑结构</v>
      </c>
      <c r="R34" s="713" t="s">
        <v>17</v>
      </c>
      <c r="S34" s="714">
        <f t="shared" si="12"/>
        <v>100</v>
      </c>
      <c r="T34" s="713" t="s">
        <v>17</v>
      </c>
      <c r="U34" s="714">
        <f t="shared" si="13"/>
        <v>100</v>
      </c>
      <c r="V34" s="713" t="s">
        <v>17</v>
      </c>
      <c r="W34" s="714">
        <f t="shared" si="14"/>
        <v>100</v>
      </c>
      <c r="X34" s="1538"/>
      <c r="Y34" s="3285"/>
      <c r="Z34" s="1539" t="str">
        <f t="shared" si="15"/>
        <v>建筑结构</v>
      </c>
      <c r="AA34" s="1536">
        <f t="shared" si="3"/>
        <v>1</v>
      </c>
      <c r="AB34" s="1536">
        <f t="shared" si="4"/>
        <v>1</v>
      </c>
      <c r="AC34" s="1536">
        <f t="shared" si="5"/>
        <v>1</v>
      </c>
    </row>
    <row r="35" spans="1:29" ht="15">
      <c r="A35" s="430"/>
      <c r="B35" s="380" t="s">
        <v>2479</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6"/>
      <c r="M35" s="2940"/>
      <c r="N35" s="2940"/>
      <c r="O35" s="2940"/>
      <c r="P35" s="3336"/>
      <c r="Q35" s="1535" t="str">
        <f t="shared" si="11"/>
        <v>公共部分装修</v>
      </c>
      <c r="R35" s="713" t="s">
        <v>17</v>
      </c>
      <c r="S35" s="714">
        <f t="shared" si="12"/>
        <v>100</v>
      </c>
      <c r="T35" s="713" t="s">
        <v>17</v>
      </c>
      <c r="U35" s="714">
        <f t="shared" si="13"/>
        <v>100</v>
      </c>
      <c r="V35" s="713" t="s">
        <v>17</v>
      </c>
      <c r="W35" s="714">
        <f t="shared" si="14"/>
        <v>100</v>
      </c>
      <c r="X35" s="1538"/>
      <c r="Y35" s="3285"/>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36"/>
      <c r="Q36" s="1535" t="str">
        <f t="shared" si="11"/>
        <v>成新度</v>
      </c>
      <c r="R36" s="713" t="s">
        <v>17</v>
      </c>
      <c r="S36" s="714" t="e">
        <f t="shared" si="12"/>
        <v>#N/A</v>
      </c>
      <c r="T36" s="713" t="s">
        <v>17</v>
      </c>
      <c r="U36" s="714" t="e">
        <f t="shared" si="13"/>
        <v>#N/A</v>
      </c>
      <c r="V36" s="713" t="s">
        <v>17</v>
      </c>
      <c r="W36" s="714" t="e">
        <f t="shared" si="14"/>
        <v>#N/A</v>
      </c>
      <c r="X36" s="1538"/>
      <c r="Y36" s="3285"/>
      <c r="Z36" s="1539" t="str">
        <f t="shared" si="15"/>
        <v>成新度</v>
      </c>
      <c r="AA36" s="1536" t="e">
        <f t="shared" si="3"/>
        <v>#N/A</v>
      </c>
      <c r="AB36" s="1536" t="e">
        <f t="shared" si="4"/>
        <v>#N/A</v>
      </c>
      <c r="AC36" s="1536" t="e">
        <f t="shared" si="5"/>
        <v>#N/A</v>
      </c>
    </row>
    <row r="37" spans="1:29" s="112" customFormat="1" ht="15">
      <c r="A37" s="431"/>
      <c r="B37" s="380" t="s">
        <v>2481</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1"/>
      <c r="M37" s="2942"/>
      <c r="N37" s="2942"/>
      <c r="O37" s="2942"/>
      <c r="P37" s="3336"/>
      <c r="Q37" s="1526" t="str">
        <f t="shared" si="11"/>
        <v>市政基础设施</v>
      </c>
      <c r="R37" s="709" t="s">
        <v>17</v>
      </c>
      <c r="S37" s="710">
        <f t="shared" si="12"/>
        <v>100</v>
      </c>
      <c r="T37" s="709" t="s">
        <v>17</v>
      </c>
      <c r="U37" s="710">
        <f t="shared" si="13"/>
        <v>100</v>
      </c>
      <c r="V37" s="709" t="s">
        <v>17</v>
      </c>
      <c r="W37" s="710">
        <f t="shared" si="14"/>
        <v>100</v>
      </c>
      <c r="X37" s="711"/>
      <c r="Y37" s="3285"/>
      <c r="Z37" s="55" t="str">
        <f t="shared" si="15"/>
        <v>市政基础设施</v>
      </c>
      <c r="AA37" s="712">
        <f t="shared" si="3"/>
        <v>1</v>
      </c>
      <c r="AB37" s="712">
        <f t="shared" si="4"/>
        <v>1</v>
      </c>
      <c r="AC37" s="712">
        <f t="shared" si="5"/>
        <v>1</v>
      </c>
    </row>
    <row r="38" spans="1:29" ht="15">
      <c r="A38" s="430"/>
      <c r="B38" s="380" t="s">
        <v>2482</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6"/>
      <c r="M38" s="2940"/>
      <c r="N38" s="2940"/>
      <c r="O38" s="2940"/>
      <c r="P38" s="3336" t="s">
        <v>2383</v>
      </c>
      <c r="Q38" s="1535" t="str">
        <f t="shared" si="11"/>
        <v>业态</v>
      </c>
      <c r="R38" s="713" t="s">
        <v>17</v>
      </c>
      <c r="S38" s="714">
        <f t="shared" si="12"/>
        <v>100</v>
      </c>
      <c r="T38" s="713" t="s">
        <v>17</v>
      </c>
      <c r="U38" s="714">
        <f t="shared" si="13"/>
        <v>100</v>
      </c>
      <c r="V38" s="713" t="s">
        <v>17</v>
      </c>
      <c r="W38" s="714">
        <f t="shared" si="14"/>
        <v>100</v>
      </c>
      <c r="X38" s="1538"/>
      <c r="Y38" s="3285" t="s">
        <v>2383</v>
      </c>
      <c r="Z38" s="1539" t="str">
        <f t="shared" si="15"/>
        <v>业态</v>
      </c>
      <c r="AA38" s="1536">
        <f t="shared" si="3"/>
        <v>1</v>
      </c>
      <c r="AB38" s="1536">
        <f t="shared" si="4"/>
        <v>1</v>
      </c>
      <c r="AC38" s="1536">
        <f t="shared" si="5"/>
        <v>1</v>
      </c>
    </row>
    <row r="39" spans="1:29" ht="15">
      <c r="A39" s="430"/>
      <c r="B39" s="380" t="s">
        <v>2483</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6"/>
      <c r="M39" s="2940"/>
      <c r="N39" s="2940"/>
      <c r="O39" s="2940"/>
      <c r="P39" s="3336"/>
      <c r="Q39" s="1535" t="str">
        <f t="shared" si="11"/>
        <v>层高</v>
      </c>
      <c r="R39" s="713" t="s">
        <v>17</v>
      </c>
      <c r="S39" s="714">
        <f t="shared" si="12"/>
        <v>100</v>
      </c>
      <c r="T39" s="713" t="s">
        <v>17</v>
      </c>
      <c r="U39" s="714">
        <f t="shared" si="13"/>
        <v>100</v>
      </c>
      <c r="V39" s="713" t="s">
        <v>17</v>
      </c>
      <c r="W39" s="714">
        <f t="shared" si="14"/>
        <v>100</v>
      </c>
      <c r="X39" s="1538"/>
      <c r="Y39" s="3285"/>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36"/>
      <c r="Q40" s="1535" t="str">
        <f t="shared" si="11"/>
        <v>单套建筑面积</v>
      </c>
      <c r="R40" s="713" t="s">
        <v>17</v>
      </c>
      <c r="S40" s="714">
        <f t="shared" si="12"/>
        <v>100</v>
      </c>
      <c r="T40" s="713" t="s">
        <v>17</v>
      </c>
      <c r="U40" s="714">
        <f t="shared" si="13"/>
        <v>100</v>
      </c>
      <c r="V40" s="713" t="s">
        <v>17</v>
      </c>
      <c r="W40" s="714">
        <f t="shared" si="14"/>
        <v>100</v>
      </c>
      <c r="X40" s="1538"/>
      <c r="Y40" s="3285"/>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36"/>
      <c r="Q41" s="715" t="str">
        <f t="shared" si="11"/>
        <v>进深比</v>
      </c>
      <c r="R41" s="716" t="s">
        <v>17</v>
      </c>
      <c r="S41" s="717">
        <f t="shared" si="12"/>
        <v>100</v>
      </c>
      <c r="T41" s="716" t="s">
        <v>17</v>
      </c>
      <c r="U41" s="717">
        <f t="shared" si="13"/>
        <v>100</v>
      </c>
      <c r="V41" s="716" t="s">
        <v>17</v>
      </c>
      <c r="W41" s="717">
        <f t="shared" si="14"/>
        <v>100</v>
      </c>
      <c r="X41" s="718"/>
      <c r="Y41" s="3285"/>
      <c r="Z41" s="719" t="str">
        <f t="shared" si="15"/>
        <v>进深比</v>
      </c>
      <c r="AA41" s="1536">
        <f t="shared" si="3"/>
        <v>1</v>
      </c>
      <c r="AB41" s="1536">
        <f t="shared" si="4"/>
        <v>1</v>
      </c>
      <c r="AC41" s="1536">
        <f t="shared" si="5"/>
        <v>1</v>
      </c>
    </row>
    <row r="42" spans="1:29" ht="15">
      <c r="A42" s="430"/>
      <c r="B42" s="380" t="s">
        <v>2486</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6"/>
      <c r="M42" s="2940"/>
      <c r="N42" s="2940"/>
      <c r="O42" s="2940"/>
      <c r="P42" s="3336"/>
      <c r="Q42" s="1535" t="str">
        <f t="shared" si="11"/>
        <v>内部装修</v>
      </c>
      <c r="R42" s="713" t="s">
        <v>17</v>
      </c>
      <c r="S42" s="714">
        <f t="shared" si="12"/>
        <v>100</v>
      </c>
      <c r="T42" s="713" t="s">
        <v>17</v>
      </c>
      <c r="U42" s="714">
        <f t="shared" si="13"/>
        <v>100</v>
      </c>
      <c r="V42" s="713" t="s">
        <v>17</v>
      </c>
      <c r="W42" s="714">
        <f t="shared" si="14"/>
        <v>100</v>
      </c>
      <c r="X42" s="1538"/>
      <c r="Y42" s="3285"/>
      <c r="Z42" s="1539" t="str">
        <f t="shared" si="15"/>
        <v>内部装修</v>
      </c>
      <c r="AA42" s="1536">
        <f t="shared" si="3"/>
        <v>1</v>
      </c>
      <c r="AB42" s="1536">
        <f t="shared" si="4"/>
        <v>1</v>
      </c>
      <c r="AC42" s="1536">
        <f t="shared" si="5"/>
        <v>1</v>
      </c>
    </row>
    <row r="43" spans="1:29" ht="15">
      <c r="A43" s="430"/>
      <c r="B43" s="380" t="s">
        <v>2394</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6"/>
      <c r="M43" s="2940"/>
      <c r="N43" s="2940"/>
      <c r="O43" s="2940"/>
      <c r="P43" s="3336"/>
      <c r="Q43" s="1535" t="str">
        <f t="shared" si="11"/>
        <v>内部装修维护情况</v>
      </c>
      <c r="R43" s="713" t="s">
        <v>17</v>
      </c>
      <c r="S43" s="714">
        <f t="shared" si="12"/>
        <v>100</v>
      </c>
      <c r="T43" s="713" t="s">
        <v>17</v>
      </c>
      <c r="U43" s="714">
        <f t="shared" si="13"/>
        <v>100</v>
      </c>
      <c r="V43" s="713" t="s">
        <v>17</v>
      </c>
      <c r="W43" s="714">
        <f t="shared" si="14"/>
        <v>100</v>
      </c>
      <c r="X43" s="1538"/>
      <c r="Y43" s="3285"/>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36"/>
      <c r="Q44" s="1526">
        <f t="shared" si="11"/>
        <v>111</v>
      </c>
      <c r="R44" s="709" t="s">
        <v>17</v>
      </c>
      <c r="S44" s="710">
        <f t="shared" si="12"/>
        <v>100</v>
      </c>
      <c r="T44" s="709" t="s">
        <v>17</v>
      </c>
      <c r="U44" s="710">
        <f t="shared" si="13"/>
        <v>100</v>
      </c>
      <c r="V44" s="709" t="s">
        <v>17</v>
      </c>
      <c r="W44" s="710">
        <f t="shared" si="14"/>
        <v>100</v>
      </c>
      <c r="X44" s="711"/>
      <c r="Y44" s="3285"/>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36"/>
      <c r="Q45" s="1535">
        <f t="shared" si="11"/>
        <v>111</v>
      </c>
      <c r="R45" s="713" t="s">
        <v>17</v>
      </c>
      <c r="S45" s="714">
        <f t="shared" si="12"/>
        <v>100</v>
      </c>
      <c r="T45" s="713" t="s">
        <v>17</v>
      </c>
      <c r="U45" s="714">
        <f t="shared" si="13"/>
        <v>100</v>
      </c>
      <c r="V45" s="713" t="s">
        <v>17</v>
      </c>
      <c r="W45" s="714">
        <f t="shared" si="14"/>
        <v>100</v>
      </c>
      <c r="X45" s="1538"/>
      <c r="Y45" s="3285"/>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37"/>
      <c r="Q46" s="1535">
        <f t="shared" si="11"/>
        <v>111</v>
      </c>
      <c r="R46" s="713" t="s">
        <v>17</v>
      </c>
      <c r="S46" s="714">
        <f t="shared" si="12"/>
        <v>100</v>
      </c>
      <c r="T46" s="713" t="s">
        <v>17</v>
      </c>
      <c r="U46" s="714">
        <f t="shared" si="13"/>
        <v>100</v>
      </c>
      <c r="V46" s="713" t="s">
        <v>17</v>
      </c>
      <c r="W46" s="714">
        <f t="shared" si="14"/>
        <v>100</v>
      </c>
      <c r="X46" s="1538"/>
      <c r="Y46" s="3338"/>
      <c r="Z46" s="1539">
        <f t="shared" si="15"/>
        <v>111</v>
      </c>
      <c r="AA46" s="1536">
        <f t="shared" si="3"/>
        <v>1</v>
      </c>
      <c r="AB46" s="1536">
        <f t="shared" si="4"/>
        <v>1</v>
      </c>
      <c r="AC46" s="1536">
        <f t="shared" si="5"/>
        <v>1</v>
      </c>
    </row>
    <row r="47" spans="1:29" ht="15">
      <c r="A47" s="437" t="s">
        <v>2395</v>
      </c>
      <c r="B47" s="438"/>
      <c r="C47" s="1315" t="s">
        <v>1</v>
      </c>
      <c r="D47" s="1316"/>
      <c r="E47" s="1317"/>
      <c r="F47" s="1318"/>
      <c r="G47" s="1319"/>
      <c r="H47" s="1320"/>
      <c r="I47" s="1317"/>
      <c r="J47" s="1320"/>
      <c r="K47" s="722"/>
      <c r="L47" s="2948"/>
      <c r="M47" s="2949"/>
      <c r="N47" s="2940"/>
      <c r="O47" s="2949"/>
      <c r="P47" s="3265" t="str">
        <f>A47</f>
        <v>成交单价（元/平方米）</v>
      </c>
      <c r="Q47" s="3265"/>
      <c r="R47" s="3282">
        <f>E47</f>
        <v>0</v>
      </c>
      <c r="S47" s="3282"/>
      <c r="T47" s="3282">
        <f>G47</f>
        <v>0</v>
      </c>
      <c r="U47" s="3282"/>
      <c r="V47" s="3282">
        <f>I47</f>
        <v>0</v>
      </c>
      <c r="W47" s="3282"/>
      <c r="X47" s="698"/>
      <c r="Y47" s="720"/>
      <c r="Z47" s="698"/>
      <c r="AA47" s="698"/>
      <c r="AB47" s="698"/>
      <c r="AC47" s="698"/>
    </row>
    <row r="48" spans="1:29" ht="15.75" thickBot="1">
      <c r="A48" s="444" t="s">
        <v>2487</v>
      </c>
      <c r="B48" s="445"/>
      <c r="C48" s="1321" t="e">
        <f>R49</f>
        <v>#DIV/0!</v>
      </c>
      <c r="D48" s="2537" t="s">
        <v>2877</v>
      </c>
      <c r="E48" s="1322" t="e">
        <f>R48</f>
        <v>#DIV/0!</v>
      </c>
      <c r="F48" s="2538"/>
      <c r="G48" s="1321" t="e">
        <f>T48</f>
        <v>#DIV/0!</v>
      </c>
      <c r="H48" s="2538"/>
      <c r="I48" s="1322" t="e">
        <f>V48</f>
        <v>#DIV/0!</v>
      </c>
      <c r="J48" s="2538"/>
      <c r="K48" s="2540">
        <f>F48+H48+J48</f>
        <v>0</v>
      </c>
      <c r="L48" s="2948"/>
      <c r="M48" s="2949"/>
      <c r="N48" s="2940"/>
      <c r="O48" s="2949"/>
      <c r="P48" s="3265" t="str">
        <f>A48</f>
        <v>比较价值（元/平方米）</v>
      </c>
      <c r="Q48" s="3265"/>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8"/>
      <c r="Y48" s="698"/>
      <c r="Z48" s="698"/>
      <c r="AA48" s="698"/>
      <c r="AB48" s="698"/>
      <c r="AC48" s="698"/>
    </row>
    <row r="49" spans="1:29" ht="15.75" thickBot="1">
      <c r="A49" s="448" t="s">
        <v>2488</v>
      </c>
      <c r="B49" s="449"/>
      <c r="C49" s="1324" t="e">
        <f>R49</f>
        <v>#DIV/0!</v>
      </c>
      <c r="D49" s="1324"/>
      <c r="E49" s="1324"/>
      <c r="F49" s="1324"/>
      <c r="G49" s="1324"/>
      <c r="H49" s="1324"/>
      <c r="I49" s="1324"/>
      <c r="J49" s="1324"/>
      <c r="K49" s="723"/>
      <c r="L49" s="2948"/>
      <c r="M49" s="2949"/>
      <c r="N49" s="2940"/>
      <c r="O49" s="2949"/>
      <c r="P49" s="3301" t="str">
        <f>A49</f>
        <v>估价对象XX用房的比较价值（楼面单价，元/平方米）</v>
      </c>
      <c r="Q49" s="3302"/>
      <c r="R49" s="3333" t="e">
        <f>IF(F1="售价",ROUND(IF(D48="简单平均",AVERAGE(R48:V48),R48*F48+T48*H48+V48*J48),0),ROUND(IF(D48="简单平均",AVERAGE(R48:V48),R48*F48+T48*H48+V48*J48),1))</f>
        <v>#DIV/0!</v>
      </c>
      <c r="S49" s="3333"/>
      <c r="T49" s="3333"/>
      <c r="U49" s="3333"/>
      <c r="V49" s="3333"/>
      <c r="W49" s="3333"/>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2492</v>
      </c>
      <c r="B57" s="698"/>
      <c r="C57" s="703"/>
      <c r="D57" s="703"/>
      <c r="E57" s="703"/>
      <c r="F57" s="704"/>
      <c r="G57" s="704"/>
      <c r="H57" s="703"/>
      <c r="I57" s="703"/>
      <c r="J57" s="703"/>
      <c r="K57" s="705"/>
      <c r="L57" s="1072"/>
      <c r="M57" s="1070"/>
      <c r="N57" s="1070"/>
      <c r="O57" s="1070"/>
      <c r="P57" s="2962"/>
      <c r="Q57" s="2963"/>
      <c r="R57" s="2949"/>
      <c r="S57" s="2949"/>
      <c r="T57" s="2949"/>
      <c r="U57" s="2949"/>
      <c r="V57" s="2949"/>
      <c r="W57" s="2949"/>
      <c r="X57" s="2949"/>
      <c r="Y57" s="2949"/>
      <c r="Z57" s="2949"/>
      <c r="AA57" s="2949"/>
      <c r="AB57" s="2949"/>
      <c r="AC57" s="2949"/>
    </row>
    <row r="58" spans="1:29" s="464" customFormat="1" ht="15">
      <c r="A58" s="461" t="s">
        <v>2366</v>
      </c>
      <c r="B58" s="462"/>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4"/>
      <c r="Q58" s="2965"/>
      <c r="R58" s="2965"/>
      <c r="S58" s="2965"/>
      <c r="T58" s="2965"/>
      <c r="U58" s="2965"/>
      <c r="V58" s="2965"/>
      <c r="W58" s="2965"/>
      <c r="X58" s="2965"/>
      <c r="Y58" s="2965"/>
      <c r="Z58" s="2965"/>
      <c r="AA58" s="2965"/>
      <c r="AB58" s="2965"/>
      <c r="AC58" s="2965"/>
    </row>
    <row r="59" spans="1:29" s="112" customFormat="1" ht="15">
      <c r="A59" s="465"/>
      <c r="B59" s="466"/>
      <c r="C59" s="1344">
        <v>100</v>
      </c>
      <c r="D59" s="468"/>
      <c r="E59" s="468"/>
      <c r="F59" s="468"/>
      <c r="G59" s="468"/>
      <c r="H59" s="468"/>
      <c r="I59" s="468"/>
      <c r="J59" s="468"/>
      <c r="K59" s="468"/>
      <c r="L59" s="468"/>
      <c r="M59" s="469"/>
      <c r="N59" s="468"/>
      <c r="O59" s="469"/>
      <c r="P59" s="2966"/>
      <c r="Q59" s="2884"/>
      <c r="R59" s="2884"/>
      <c r="S59" s="2884"/>
      <c r="T59" s="2884"/>
      <c r="U59" s="2884"/>
      <c r="V59" s="2884"/>
      <c r="W59" s="2884"/>
      <c r="X59" s="2884"/>
      <c r="Y59" s="2884"/>
      <c r="Z59" s="2884"/>
      <c r="AA59" s="2884"/>
      <c r="AB59" s="2884"/>
      <c r="AC59" s="2884"/>
    </row>
    <row r="60" spans="1:29" s="112" customFormat="1" ht="15.75" thickBot="1">
      <c r="A60" s="471" t="s">
        <v>2403</v>
      </c>
      <c r="B60" s="472"/>
      <c r="C60" s="473"/>
      <c r="D60" s="474"/>
      <c r="E60" s="474"/>
      <c r="F60" s="474"/>
      <c r="G60" s="474"/>
      <c r="H60" s="474"/>
      <c r="I60" s="474"/>
      <c r="J60" s="474"/>
      <c r="K60" s="474"/>
      <c r="L60" s="474"/>
      <c r="M60" s="475"/>
      <c r="N60" s="474"/>
      <c r="O60" s="475"/>
      <c r="P60" s="2966"/>
      <c r="Q60" s="2963"/>
      <c r="R60" s="2884"/>
      <c r="S60" s="2884"/>
      <c r="T60" s="2884"/>
      <c r="U60" s="2884"/>
      <c r="V60" s="2884"/>
      <c r="W60" s="2884"/>
      <c r="X60" s="2884"/>
      <c r="Y60" s="2884"/>
      <c r="Z60" s="2884"/>
      <c r="AA60" s="2884"/>
      <c r="AB60" s="2884"/>
      <c r="AC60" s="2884"/>
    </row>
    <row r="61" spans="1:29" s="112" customFormat="1" ht="15">
      <c r="A61" s="477" t="s">
        <v>2368</v>
      </c>
      <c r="B61" s="466"/>
      <c r="C61" s="478" t="s">
        <v>2470</v>
      </c>
      <c r="D61" s="479"/>
      <c r="E61" s="479"/>
      <c r="F61" s="479"/>
      <c r="G61" s="479"/>
      <c r="H61" s="479"/>
      <c r="I61" s="479"/>
      <c r="J61" s="479"/>
      <c r="K61" s="479"/>
      <c r="L61" s="480"/>
      <c r="M61" s="481"/>
      <c r="N61" s="2976"/>
      <c r="O61" s="2976"/>
      <c r="P61" s="2967"/>
      <c r="Q61" s="2963"/>
      <c r="R61" s="2884"/>
      <c r="S61" s="2884"/>
      <c r="T61" s="2884"/>
      <c r="U61" s="2884"/>
      <c r="V61" s="2884"/>
      <c r="W61" s="2884"/>
      <c r="X61" s="2884"/>
      <c r="Y61" s="2884"/>
      <c r="Z61" s="2884"/>
      <c r="AA61" s="2884"/>
      <c r="AB61" s="2884"/>
      <c r="AC61" s="2884"/>
    </row>
    <row r="62" spans="1:29" s="112" customFormat="1" ht="15.75" thickBot="1">
      <c r="A62" s="477"/>
      <c r="B62" s="466"/>
      <c r="C62" s="467">
        <v>100</v>
      </c>
      <c r="D62" s="468"/>
      <c r="E62" s="468"/>
      <c r="F62" s="468"/>
      <c r="G62" s="468"/>
      <c r="H62" s="468"/>
      <c r="I62" s="468"/>
      <c r="J62" s="468"/>
      <c r="K62" s="468"/>
      <c r="L62" s="468"/>
      <c r="M62" s="470"/>
      <c r="N62" s="2976"/>
      <c r="O62" s="2976"/>
      <c r="P62" s="2966"/>
      <c r="Q62" s="2963"/>
      <c r="R62" s="2884"/>
      <c r="S62" s="2884"/>
      <c r="T62" s="2884"/>
      <c r="U62" s="2884"/>
      <c r="V62" s="2884"/>
      <c r="W62" s="2884"/>
      <c r="X62" s="2884"/>
      <c r="Y62" s="2884"/>
      <c r="Z62" s="2884"/>
      <c r="AA62" s="2884"/>
      <c r="AB62" s="2884"/>
      <c r="AC62" s="2884"/>
    </row>
    <row r="63" spans="1:29">
      <c r="A63" s="483" t="s">
        <v>2406</v>
      </c>
      <c r="B63" s="484" t="s">
        <v>2372</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2377</v>
      </c>
      <c r="B76" s="484" t="s">
        <v>2414</v>
      </c>
      <c r="C76" s="529" t="s">
        <v>2415</v>
      </c>
      <c r="D76" s="529" t="s">
        <v>2416</v>
      </c>
      <c r="E76" s="529" t="s">
        <v>2417</v>
      </c>
      <c r="F76" s="529" t="s">
        <v>2418</v>
      </c>
      <c r="G76" s="529" t="s">
        <v>2419</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2420</v>
      </c>
      <c r="C78" s="534" t="s">
        <v>2415</v>
      </c>
      <c r="D78" s="534" t="s">
        <v>2416</v>
      </c>
      <c r="E78" s="534" t="s">
        <v>2417</v>
      </c>
      <c r="F78" s="534" t="s">
        <v>2418</v>
      </c>
      <c r="G78" s="534" t="s">
        <v>2419</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2421</v>
      </c>
      <c r="C80" s="534" t="s">
        <v>2415</v>
      </c>
      <c r="D80" s="534" t="s">
        <v>2416</v>
      </c>
      <c r="E80" s="534" t="s">
        <v>2417</v>
      </c>
      <c r="F80" s="534" t="s">
        <v>2418</v>
      </c>
      <c r="G80" s="534" t="s">
        <v>2419</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2473</v>
      </c>
      <c r="C82" s="615" t="s">
        <v>2493</v>
      </c>
      <c r="D82" s="615" t="s">
        <v>2494</v>
      </c>
      <c r="E82" s="615" t="s">
        <v>2495</v>
      </c>
      <c r="F82" s="615" t="s">
        <v>2496</v>
      </c>
      <c r="G82" s="615" t="s">
        <v>2497</v>
      </c>
      <c r="H82" s="495"/>
      <c r="I82" s="495"/>
      <c r="J82" s="495"/>
      <c r="K82" s="495"/>
      <c r="L82" s="495"/>
      <c r="M82" s="1290"/>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2427</v>
      </c>
      <c r="C84" s="534" t="s">
        <v>2415</v>
      </c>
      <c r="D84" s="534" t="s">
        <v>2416</v>
      </c>
      <c r="E84" s="534" t="s">
        <v>2417</v>
      </c>
      <c r="F84" s="534" t="s">
        <v>2418</v>
      </c>
      <c r="G84" s="534" t="s">
        <v>2419</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2" customFormat="1" ht="15.75" thickTop="1">
      <c r="A86" s="535"/>
      <c r="B86" s="494" t="s">
        <v>2498</v>
      </c>
      <c r="C86" s="510"/>
      <c r="D86" s="510"/>
      <c r="E86" s="510"/>
      <c r="F86" s="510"/>
      <c r="G86" s="510"/>
      <c r="H86" s="510"/>
      <c r="I86" s="510"/>
      <c r="J86" s="510"/>
      <c r="K86" s="510"/>
      <c r="L86" s="536"/>
      <c r="M86" s="537"/>
      <c r="N86" s="2976"/>
      <c r="O86" s="2976"/>
      <c r="P86" s="2968"/>
      <c r="Q86" s="2963"/>
      <c r="R86" s="2884"/>
      <c r="S86" s="2884"/>
      <c r="T86" s="2884"/>
      <c r="U86" s="2884"/>
      <c r="V86" s="2884"/>
      <c r="W86" s="2884"/>
      <c r="X86" s="2884"/>
      <c r="Y86" s="2884"/>
      <c r="Z86" s="2884"/>
      <c r="AA86" s="2884"/>
      <c r="AB86" s="2884"/>
      <c r="AC86" s="288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4"/>
      <c r="S87" s="2884"/>
      <c r="T87" s="2884"/>
      <c r="U87" s="2884"/>
      <c r="V87" s="2884"/>
      <c r="W87" s="2884"/>
      <c r="X87" s="2884"/>
      <c r="Y87" s="2884"/>
      <c r="Z87" s="2884"/>
      <c r="AA87" s="2884"/>
      <c r="AB87" s="2884"/>
      <c r="AC87" s="2884"/>
    </row>
    <row r="88" spans="1:29" s="112" customFormat="1" ht="15.75" thickTop="1">
      <c r="A88" s="535"/>
      <c r="B88" s="494" t="str">
        <f>B26</f>
        <v>平面位置/可视性</v>
      </c>
      <c r="C88" s="510"/>
      <c r="D88" s="510"/>
      <c r="E88" s="510"/>
      <c r="F88" s="2112"/>
      <c r="G88" s="510"/>
      <c r="H88" s="510"/>
      <c r="I88" s="510"/>
      <c r="J88" s="510"/>
      <c r="K88" s="510"/>
      <c r="L88" s="510"/>
      <c r="M88" s="537"/>
      <c r="N88" s="2976"/>
      <c r="O88" s="2976"/>
      <c r="P88" s="2968"/>
      <c r="Q88" s="2963"/>
      <c r="R88" s="2884"/>
      <c r="S88" s="2884"/>
      <c r="T88" s="2884"/>
      <c r="U88" s="2884"/>
      <c r="V88" s="2884"/>
      <c r="W88" s="2884"/>
      <c r="X88" s="2884"/>
      <c r="Y88" s="2884"/>
      <c r="Z88" s="2884"/>
      <c r="AA88" s="2884"/>
      <c r="AB88" s="2884"/>
      <c r="AC88" s="2884"/>
    </row>
    <row r="89" spans="1:29" s="112" customFormat="1" ht="15.75" thickBot="1">
      <c r="A89" s="535"/>
      <c r="B89" s="499"/>
      <c r="C89" s="516"/>
      <c r="D89" s="492"/>
      <c r="E89" s="492"/>
      <c r="F89" s="492"/>
      <c r="G89" s="492"/>
      <c r="H89" s="492"/>
      <c r="I89" s="492"/>
      <c r="J89" s="492"/>
      <c r="K89" s="492"/>
      <c r="L89" s="492"/>
      <c r="M89" s="492"/>
      <c r="N89" s="2978"/>
      <c r="O89" s="2978"/>
      <c r="P89" s="2968"/>
      <c r="Q89" s="2963"/>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3"/>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2381</v>
      </c>
      <c r="B100" s="484" t="s">
        <v>2499</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2432</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2434</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2436</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2500</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2501</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2502</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2503</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2438</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3"/>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2" t="s">
        <v>2504</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34910.400000000001</v>
      </c>
      <c r="E3" s="2139"/>
      <c r="F3" s="1039"/>
      <c r="G3" s="1038"/>
      <c r="H3" s="1038"/>
      <c r="I3" s="1038"/>
      <c r="J3" s="1038"/>
      <c r="K3" s="1040"/>
      <c r="L3" s="2958"/>
      <c r="M3" s="2959"/>
      <c r="N3" s="2959"/>
      <c r="O3" s="2959"/>
      <c r="P3" s="707"/>
      <c r="Q3" s="707"/>
      <c r="R3" s="707"/>
      <c r="S3" s="707"/>
      <c r="T3" s="707"/>
      <c r="U3" s="707"/>
      <c r="V3" s="707"/>
      <c r="W3" s="707"/>
      <c r="X3" s="707"/>
      <c r="Y3" s="707"/>
      <c r="Z3" s="707"/>
      <c r="AA3" s="707"/>
      <c r="AB3" s="707"/>
      <c r="AC3" s="708"/>
    </row>
    <row r="4" spans="1:29" ht="15">
      <c r="A4" s="360" t="s">
        <v>2463</v>
      </c>
      <c r="B4" s="361"/>
      <c r="C4" s="3262" t="s">
        <v>2464</v>
      </c>
      <c r="D4" s="3289"/>
      <c r="E4" s="3290" t="s">
        <v>2465</v>
      </c>
      <c r="F4" s="3291"/>
      <c r="G4" s="3262" t="s">
        <v>2466</v>
      </c>
      <c r="H4" s="3289"/>
      <c r="I4" s="3262" t="s">
        <v>2467</v>
      </c>
      <c r="J4" s="3289"/>
      <c r="K4" s="566" t="s">
        <v>2468</v>
      </c>
      <c r="L4" s="2939"/>
      <c r="M4" s="2940"/>
      <c r="N4" s="2940"/>
      <c r="O4" s="2940"/>
      <c r="P4" s="3351" t="s">
        <v>2469</v>
      </c>
      <c r="Q4" s="3352"/>
      <c r="R4" s="3355" t="s">
        <v>2465</v>
      </c>
      <c r="S4" s="3356"/>
      <c r="T4" s="3355" t="s">
        <v>2466</v>
      </c>
      <c r="U4" s="3356"/>
      <c r="V4" s="3357" t="s">
        <v>2467</v>
      </c>
      <c r="W4" s="3357"/>
      <c r="X4" s="2143"/>
      <c r="Y4" s="3355" t="s">
        <v>2469</v>
      </c>
      <c r="Z4" s="3356"/>
      <c r="AA4" s="3359" t="s">
        <v>2465</v>
      </c>
      <c r="AB4" s="3359" t="s">
        <v>2466</v>
      </c>
      <c r="AC4" s="3348" t="s">
        <v>2467</v>
      </c>
    </row>
    <row r="5" spans="1:29" ht="15">
      <c r="A5" s="363"/>
      <c r="B5" s="364"/>
      <c r="C5" s="3273" t="s">
        <v>2360</v>
      </c>
      <c r="D5" s="3274"/>
      <c r="E5" s="3298" t="s">
        <v>2361</v>
      </c>
      <c r="F5" s="3299"/>
      <c r="G5" s="3273" t="s">
        <v>2362</v>
      </c>
      <c r="H5" s="3274"/>
      <c r="I5" s="3273" t="s">
        <v>2363</v>
      </c>
      <c r="J5" s="3274"/>
      <c r="K5" s="566"/>
      <c r="L5" s="2939"/>
      <c r="M5" s="2940"/>
      <c r="N5" s="2940"/>
      <c r="O5" s="2940"/>
      <c r="P5" s="3353"/>
      <c r="Q5" s="3295"/>
      <c r="R5" s="3271"/>
      <c r="S5" s="3272"/>
      <c r="T5" s="3271"/>
      <c r="U5" s="3272"/>
      <c r="V5" s="3282"/>
      <c r="W5" s="3282"/>
      <c r="X5" s="1538"/>
      <c r="Y5" s="3271"/>
      <c r="Z5" s="3272"/>
      <c r="AA5" s="3287"/>
      <c r="AB5" s="3287"/>
      <c r="AC5" s="3349"/>
    </row>
    <row r="6" spans="1:29" ht="15.75" thickBot="1">
      <c r="A6" s="365"/>
      <c r="B6" s="366"/>
      <c r="C6" s="3341" t="s">
        <v>2364</v>
      </c>
      <c r="D6" s="3342"/>
      <c r="E6" s="3343" t="s">
        <v>2364</v>
      </c>
      <c r="F6" s="3344"/>
      <c r="G6" s="3341" t="s">
        <v>2364</v>
      </c>
      <c r="H6" s="3342"/>
      <c r="I6" s="3341" t="s">
        <v>2364</v>
      </c>
      <c r="J6" s="3342"/>
      <c r="K6" s="566" t="s">
        <v>2365</v>
      </c>
      <c r="L6" s="2939"/>
      <c r="M6" s="2940"/>
      <c r="N6" s="2940"/>
      <c r="O6" s="2940"/>
      <c r="P6" s="3354"/>
      <c r="Q6" s="3297"/>
      <c r="R6" s="3271"/>
      <c r="S6" s="3272"/>
      <c r="T6" s="3280"/>
      <c r="U6" s="3281"/>
      <c r="V6" s="3282"/>
      <c r="W6" s="3282"/>
      <c r="X6" s="1538"/>
      <c r="Y6" s="3280"/>
      <c r="Z6" s="3281"/>
      <c r="AA6" s="3288"/>
      <c r="AB6" s="3288"/>
      <c r="AC6" s="3350"/>
    </row>
    <row r="7" spans="1:29" s="112" customFormat="1" ht="15.75" thickBot="1">
      <c r="A7" s="367" t="s">
        <v>2366</v>
      </c>
      <c r="B7" s="368"/>
      <c r="C7" s="369">
        <f>'数据-取费表'!B2</f>
        <v>44332</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58" t="s">
        <v>2367</v>
      </c>
      <c r="Q7" s="3277"/>
      <c r="R7" s="709" t="s">
        <v>17</v>
      </c>
      <c r="S7" s="710">
        <f t="shared" ref="S7:S15" si="0">F7</f>
        <v>0</v>
      </c>
      <c r="T7" s="709" t="s">
        <v>17</v>
      </c>
      <c r="U7" s="710">
        <f t="shared" ref="U7:U15" si="1">H7</f>
        <v>0</v>
      </c>
      <c r="V7" s="709" t="s">
        <v>17</v>
      </c>
      <c r="W7" s="710">
        <f t="shared" ref="W7:W15" si="2">J7</f>
        <v>0</v>
      </c>
      <c r="X7" s="711"/>
      <c r="Y7" s="3267" t="s">
        <v>2367</v>
      </c>
      <c r="Z7" s="3268"/>
      <c r="AA7" s="712" t="e">
        <f>D7/F7</f>
        <v>#DIV/0!</v>
      </c>
      <c r="AB7" s="712" t="e">
        <f>D7/H7</f>
        <v>#DIV/0!</v>
      </c>
      <c r="AC7" s="2144"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58" t="s">
        <v>2370</v>
      </c>
      <c r="Q8" s="3268"/>
      <c r="R8" s="709" t="s">
        <v>17</v>
      </c>
      <c r="S8" s="710">
        <f t="shared" si="0"/>
        <v>0</v>
      </c>
      <c r="T8" s="709" t="s">
        <v>17</v>
      </c>
      <c r="U8" s="710">
        <f t="shared" si="1"/>
        <v>0</v>
      </c>
      <c r="V8" s="709" t="s">
        <v>17</v>
      </c>
      <c r="W8" s="710">
        <f t="shared" si="2"/>
        <v>0</v>
      </c>
      <c r="X8" s="711"/>
      <c r="Y8" s="3267" t="s">
        <v>2370</v>
      </c>
      <c r="Z8" s="3268"/>
      <c r="AA8" s="712" t="e">
        <f t="shared" ref="AA8:AA47" si="3">D8/F8</f>
        <v>#DIV/0!</v>
      </c>
      <c r="AB8" s="712" t="e">
        <f t="shared" ref="AB8:AB47" si="4">D8/H8</f>
        <v>#DIV/0!</v>
      </c>
      <c r="AC8" s="2144"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264"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2144">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264"/>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2144">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264"/>
      <c r="Q11" s="1526" t="str">
        <f t="shared" si="6"/>
        <v>容积率</v>
      </c>
      <c r="R11" s="709" t="s">
        <v>17</v>
      </c>
      <c r="S11" s="710" t="e">
        <f t="shared" si="0"/>
        <v>#N/A</v>
      </c>
      <c r="T11" s="709" t="s">
        <v>17</v>
      </c>
      <c r="U11" s="710" t="e">
        <f t="shared" si="1"/>
        <v>#N/A</v>
      </c>
      <c r="V11" s="709" t="s">
        <v>17</v>
      </c>
      <c r="W11" s="710" t="e">
        <f t="shared" si="2"/>
        <v>#N/A</v>
      </c>
      <c r="X11" s="711"/>
      <c r="Y11" s="3163"/>
      <c r="Z11" s="55"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1"/>
      <c r="M12" s="2942"/>
      <c r="N12" s="2942"/>
      <c r="O12" s="2942"/>
      <c r="P12" s="3264"/>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46"/>
      <c r="M13" s="2940"/>
      <c r="N13" s="2940"/>
      <c r="O13" s="2940"/>
      <c r="P13" s="3264"/>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46"/>
      <c r="M14" s="2940"/>
      <c r="N14" s="2940"/>
      <c r="O14" s="2940"/>
      <c r="P14" s="3264"/>
      <c r="Q14" s="1526">
        <f t="shared" si="6"/>
        <v>111</v>
      </c>
      <c r="R14" s="709" t="s">
        <v>17</v>
      </c>
      <c r="S14" s="710">
        <f t="shared" si="0"/>
        <v>100</v>
      </c>
      <c r="T14" s="709" t="s">
        <v>17</v>
      </c>
      <c r="U14" s="710">
        <f t="shared" si="1"/>
        <v>100</v>
      </c>
      <c r="V14" s="709" t="s">
        <v>17</v>
      </c>
      <c r="W14" s="710">
        <f t="shared" si="2"/>
        <v>100</v>
      </c>
      <c r="X14" s="711"/>
      <c r="Y14" s="3163"/>
      <c r="Z14" s="55">
        <f t="shared" si="7"/>
        <v>111</v>
      </c>
      <c r="AA14" s="712">
        <f t="shared" si="3"/>
        <v>1</v>
      </c>
      <c r="AB14" s="712">
        <f t="shared" si="4"/>
        <v>1</v>
      </c>
      <c r="AC14" s="2144">
        <f t="shared" si="5"/>
        <v>1</v>
      </c>
    </row>
    <row r="15" spans="1:29" ht="71.25">
      <c r="A15" s="398" t="s">
        <v>2377</v>
      </c>
      <c r="B15" s="584" t="s">
        <v>2505</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39" t="s">
        <v>2378</v>
      </c>
      <c r="Q15" s="1535" t="str">
        <f t="shared" si="6"/>
        <v>办公集聚程度</v>
      </c>
      <c r="R15" s="713" t="s">
        <v>17</v>
      </c>
      <c r="S15" s="714">
        <f t="shared" si="0"/>
        <v>100</v>
      </c>
      <c r="T15" s="713" t="s">
        <v>17</v>
      </c>
      <c r="U15" s="714">
        <f t="shared" si="1"/>
        <v>100</v>
      </c>
      <c r="V15" s="713" t="s">
        <v>17</v>
      </c>
      <c r="W15" s="714">
        <f t="shared" si="2"/>
        <v>100</v>
      </c>
      <c r="X15" s="1538"/>
      <c r="Y15" s="3283" t="s">
        <v>2378</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46"/>
      <c r="M16" s="2940"/>
      <c r="N16" s="2940"/>
      <c r="O16" s="2940"/>
      <c r="P16" s="3340"/>
      <c r="Q16" s="1535"/>
      <c r="R16" s="713"/>
      <c r="S16" s="714"/>
      <c r="T16" s="713"/>
      <c r="U16" s="714"/>
      <c r="V16" s="713"/>
      <c r="W16" s="714"/>
      <c r="X16" s="1538"/>
      <c r="Y16" s="3284"/>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40"/>
      <c r="Q17" s="1535" t="str">
        <f>B17</f>
        <v>交通便捷度</v>
      </c>
      <c r="R17" s="713" t="s">
        <v>17</v>
      </c>
      <c r="S17" s="714">
        <f>F17</f>
        <v>100</v>
      </c>
      <c r="T17" s="713" t="s">
        <v>17</v>
      </c>
      <c r="U17" s="714">
        <f>H17</f>
        <v>100</v>
      </c>
      <c r="V17" s="713" t="s">
        <v>17</v>
      </c>
      <c r="W17" s="714">
        <f>J17</f>
        <v>100</v>
      </c>
      <c r="X17" s="1538"/>
      <c r="Y17" s="3284"/>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46"/>
      <c r="M18" s="2940"/>
      <c r="N18" s="2940"/>
      <c r="O18" s="2940"/>
      <c r="P18" s="3340"/>
      <c r="Q18" s="1535"/>
      <c r="R18" s="713"/>
      <c r="S18" s="714"/>
      <c r="T18" s="713"/>
      <c r="U18" s="714"/>
      <c r="V18" s="713"/>
      <c r="W18" s="714"/>
      <c r="X18" s="1538"/>
      <c r="Y18" s="3284"/>
      <c r="Z18" s="1539"/>
      <c r="AA18" s="1536">
        <v>1</v>
      </c>
      <c r="AB18" s="1536">
        <v>1</v>
      </c>
      <c r="AC18" s="2147">
        <v>1</v>
      </c>
    </row>
    <row r="19" spans="1:29" ht="42.75">
      <c r="A19" s="386"/>
      <c r="B19" s="586" t="s">
        <v>2506</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40"/>
      <c r="Q19" s="1535" t="str">
        <f>B19</f>
        <v>公共配套设施</v>
      </c>
      <c r="R19" s="713" t="s">
        <v>17</v>
      </c>
      <c r="S19" s="714">
        <f>F19</f>
        <v>100</v>
      </c>
      <c r="T19" s="713" t="s">
        <v>17</v>
      </c>
      <c r="U19" s="714">
        <f>H19</f>
        <v>100</v>
      </c>
      <c r="V19" s="713" t="s">
        <v>17</v>
      </c>
      <c r="W19" s="714">
        <f>J19</f>
        <v>100</v>
      </c>
      <c r="X19" s="1538"/>
      <c r="Y19" s="3284"/>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46"/>
      <c r="M20" s="2940"/>
      <c r="N20" s="2940"/>
      <c r="O20" s="2940"/>
      <c r="P20" s="3340"/>
      <c r="Q20" s="1535"/>
      <c r="R20" s="713"/>
      <c r="S20" s="714"/>
      <c r="T20" s="713"/>
      <c r="U20" s="714"/>
      <c r="V20" s="713"/>
      <c r="W20" s="714"/>
      <c r="X20" s="1538"/>
      <c r="Y20" s="3284"/>
      <c r="Z20" s="1539"/>
      <c r="AA20" s="1536">
        <v>1</v>
      </c>
      <c r="AB20" s="1536">
        <v>1</v>
      </c>
      <c r="AC20" s="2147">
        <v>1</v>
      </c>
    </row>
    <row r="21" spans="1:29" ht="28.5">
      <c r="A21" s="386"/>
      <c r="B21" s="588" t="s">
        <v>2507</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40"/>
      <c r="Q21" s="1535" t="str">
        <f>B21</f>
        <v>基础设施水平</v>
      </c>
      <c r="R21" s="713" t="s">
        <v>17</v>
      </c>
      <c r="S21" s="714">
        <f>F21</f>
        <v>100</v>
      </c>
      <c r="T21" s="713" t="s">
        <v>17</v>
      </c>
      <c r="U21" s="714">
        <f>H21</f>
        <v>100</v>
      </c>
      <c r="V21" s="713" t="s">
        <v>17</v>
      </c>
      <c r="W21" s="714">
        <f>J21</f>
        <v>100</v>
      </c>
      <c r="X21" s="1538"/>
      <c r="Y21" s="3284"/>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1"/>
      <c r="L22" s="2946"/>
      <c r="M22" s="2940"/>
      <c r="N22" s="2940"/>
      <c r="O22" s="2940"/>
      <c r="P22" s="3340"/>
      <c r="Q22" s="1535"/>
      <c r="R22" s="713"/>
      <c r="S22" s="714"/>
      <c r="T22" s="713"/>
      <c r="U22" s="714"/>
      <c r="V22" s="713"/>
      <c r="W22" s="714"/>
      <c r="X22" s="1538"/>
      <c r="Y22" s="3284"/>
      <c r="Z22" s="1539"/>
      <c r="AA22" s="1536">
        <v>1</v>
      </c>
      <c r="AB22" s="1536">
        <v>1</v>
      </c>
      <c r="AC22" s="2147">
        <v>1</v>
      </c>
    </row>
    <row r="23" spans="1:29" ht="42.75">
      <c r="A23" s="386"/>
      <c r="B23" s="586" t="s">
        <v>2508</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40"/>
      <c r="Q23" s="1535" t="str">
        <f>B23</f>
        <v>环境质量</v>
      </c>
      <c r="R23" s="713" t="s">
        <v>17</v>
      </c>
      <c r="S23" s="714">
        <f>F23</f>
        <v>100</v>
      </c>
      <c r="T23" s="713" t="s">
        <v>17</v>
      </c>
      <c r="U23" s="714">
        <f>H23</f>
        <v>100</v>
      </c>
      <c r="V23" s="713" t="s">
        <v>17</v>
      </c>
      <c r="W23" s="714">
        <f>J23</f>
        <v>100</v>
      </c>
      <c r="X23" s="1538"/>
      <c r="Y23" s="3284"/>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46"/>
      <c r="M24" s="2940"/>
      <c r="N24" s="2940"/>
      <c r="O24" s="2940"/>
      <c r="P24" s="3340"/>
      <c r="Q24" s="1535"/>
      <c r="R24" s="713"/>
      <c r="S24" s="714"/>
      <c r="T24" s="713"/>
      <c r="U24" s="714"/>
      <c r="V24" s="713"/>
      <c r="W24" s="714"/>
      <c r="X24" s="1538"/>
      <c r="Y24" s="3284"/>
      <c r="Z24" s="1539"/>
      <c r="AA24" s="1536">
        <v>1</v>
      </c>
      <c r="AB24" s="1536">
        <v>1</v>
      </c>
      <c r="AC24" s="2147">
        <v>1</v>
      </c>
    </row>
    <row r="25" spans="1:29" ht="27">
      <c r="A25" s="363"/>
      <c r="B25" s="586" t="s">
        <v>2509</v>
      </c>
      <c r="C25" s="2093"/>
      <c r="D25" s="393">
        <v>100</v>
      </c>
      <c r="E25" s="392"/>
      <c r="F25" s="393">
        <f>SUMIF(87:87,E26,88:88)-SUMIF(87:87,C26,88:88)+100</f>
        <v>100</v>
      </c>
      <c r="G25" s="2093"/>
      <c r="H25" s="393">
        <f>SUMIF(87:87,G26,88:88)-SUMIF(87:87,C26,88:88)+100</f>
        <v>100</v>
      </c>
      <c r="I25" s="392"/>
      <c r="J25" s="393">
        <f>SUMIF(87:87,I26,88:88)-SUMIF(87:87,C26,88:88)+100</f>
        <v>100</v>
      </c>
      <c r="K25" s="570"/>
      <c r="L25" s="2946"/>
      <c r="M25" s="2940"/>
      <c r="N25" s="2940"/>
      <c r="O25" s="2940"/>
      <c r="P25" s="3340"/>
      <c r="Q25" s="1535" t="str">
        <f>B25</f>
        <v>毗邻道路的类型与等级</v>
      </c>
      <c r="R25" s="713" t="s">
        <v>17</v>
      </c>
      <c r="S25" s="714">
        <f>F25</f>
        <v>100</v>
      </c>
      <c r="T25" s="713" t="s">
        <v>17</v>
      </c>
      <c r="U25" s="714">
        <f>H25</f>
        <v>100</v>
      </c>
      <c r="V25" s="713" t="s">
        <v>17</v>
      </c>
      <c r="W25" s="714">
        <f>J25</f>
        <v>100</v>
      </c>
      <c r="X25" s="1538"/>
      <c r="Y25" s="3284"/>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46"/>
      <c r="M26" s="2940"/>
      <c r="N26" s="2940"/>
      <c r="O26" s="2940"/>
      <c r="P26" s="3340"/>
      <c r="Q26" s="1535"/>
      <c r="R26" s="713"/>
      <c r="S26" s="714"/>
      <c r="T26" s="713"/>
      <c r="U26" s="714"/>
      <c r="V26" s="713"/>
      <c r="W26" s="714"/>
      <c r="X26" s="1538"/>
      <c r="Y26" s="3284"/>
      <c r="Z26" s="1539"/>
      <c r="AA26" s="1536">
        <v>1</v>
      </c>
      <c r="AB26" s="1536">
        <v>1</v>
      </c>
      <c r="AC26" s="2147">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40"/>
      <c r="Q27" s="1535" t="str">
        <f t="shared" ref="Q27:Q47" si="11">B27</f>
        <v>楼层</v>
      </c>
      <c r="R27" s="713" t="s">
        <v>17</v>
      </c>
      <c r="S27" s="714">
        <f>F27</f>
        <v>100</v>
      </c>
      <c r="T27" s="713" t="s">
        <v>17</v>
      </c>
      <c r="U27" s="714">
        <f>H27</f>
        <v>100</v>
      </c>
      <c r="V27" s="713" t="s">
        <v>17</v>
      </c>
      <c r="W27" s="714">
        <f>J27</f>
        <v>100</v>
      </c>
      <c r="X27" s="1538"/>
      <c r="Y27" s="3284"/>
      <c r="Z27" s="1539" t="str">
        <f>Q27</f>
        <v>楼层</v>
      </c>
      <c r="AA27" s="1536">
        <f t="shared" si="3"/>
        <v>1</v>
      </c>
      <c r="AB27" s="1536">
        <f t="shared" si="4"/>
        <v>1</v>
      </c>
      <c r="AC27" s="2147">
        <f t="shared" si="5"/>
        <v>1</v>
      </c>
    </row>
    <row r="28" spans="1:29" s="112" customFormat="1" ht="15">
      <c r="A28" s="389"/>
      <c r="B28" s="586" t="s">
        <v>2510</v>
      </c>
      <c r="C28" s="2150"/>
      <c r="D28" s="420">
        <v>100</v>
      </c>
      <c r="E28" s="2141"/>
      <c r="F28" s="420">
        <f>SUMIF(91:91,E28,92:92)-SUMIF(91:91,C28,92:92)+100</f>
        <v>100</v>
      </c>
      <c r="G28" s="2150"/>
      <c r="H28" s="420">
        <f>SUMIF(91:91,G28,92:92)-SUMIF(91:91,C28,92:92)+100</f>
        <v>100</v>
      </c>
      <c r="I28" s="2141"/>
      <c r="J28" s="420">
        <f>SUMIF(91:91,I28,92:92)-SUMIF(91:91,C28,92:92)+100</f>
        <v>100</v>
      </c>
      <c r="K28" s="568"/>
      <c r="L28" s="2941"/>
      <c r="M28" s="2942"/>
      <c r="N28" s="2942"/>
      <c r="O28" s="2942"/>
      <c r="P28" s="3340"/>
      <c r="Q28" s="1526" t="str">
        <f t="shared" si="11"/>
        <v>朝向</v>
      </c>
      <c r="R28" s="709" t="s">
        <v>17</v>
      </c>
      <c r="S28" s="710">
        <f>F28</f>
        <v>100</v>
      </c>
      <c r="T28" s="709" t="s">
        <v>17</v>
      </c>
      <c r="U28" s="710">
        <f>H28</f>
        <v>100</v>
      </c>
      <c r="V28" s="709" t="s">
        <v>17</v>
      </c>
      <c r="W28" s="710">
        <f>J28</f>
        <v>100</v>
      </c>
      <c r="X28" s="711"/>
      <c r="Y28" s="3284"/>
      <c r="Z28" s="55"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46"/>
      <c r="M29" s="2940"/>
      <c r="N29" s="2940"/>
      <c r="O29" s="2940"/>
      <c r="P29" s="3340"/>
      <c r="Q29" s="1535">
        <f t="shared" si="11"/>
        <v>111</v>
      </c>
      <c r="R29" s="713" t="s">
        <v>17</v>
      </c>
      <c r="S29" s="714">
        <f t="shared" ref="S29:S47" si="12">F29</f>
        <v>100</v>
      </c>
      <c r="T29" s="713" t="s">
        <v>17</v>
      </c>
      <c r="U29" s="714">
        <f t="shared" ref="U29:U47" si="13">H29</f>
        <v>100</v>
      </c>
      <c r="V29" s="713" t="s">
        <v>17</v>
      </c>
      <c r="W29" s="714">
        <f t="shared" ref="W29:W47" si="14">J29</f>
        <v>100</v>
      </c>
      <c r="X29" s="1538"/>
      <c r="Y29" s="3284"/>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46"/>
      <c r="M30" s="2940"/>
      <c r="N30" s="2940"/>
      <c r="O30" s="2940"/>
      <c r="P30" s="3340"/>
      <c r="Q30" s="1535">
        <f t="shared" si="11"/>
        <v>111</v>
      </c>
      <c r="R30" s="713" t="s">
        <v>17</v>
      </c>
      <c r="S30" s="714">
        <f t="shared" si="12"/>
        <v>100</v>
      </c>
      <c r="T30" s="713" t="s">
        <v>17</v>
      </c>
      <c r="U30" s="714">
        <f t="shared" si="13"/>
        <v>100</v>
      </c>
      <c r="V30" s="713" t="s">
        <v>17</v>
      </c>
      <c r="W30" s="714">
        <f t="shared" si="14"/>
        <v>100</v>
      </c>
      <c r="X30" s="1538"/>
      <c r="Y30" s="3284"/>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46"/>
      <c r="M31" s="2940"/>
      <c r="N31" s="2940"/>
      <c r="O31" s="2940"/>
      <c r="P31" s="3340"/>
      <c r="Q31" s="1535">
        <f t="shared" si="11"/>
        <v>111</v>
      </c>
      <c r="R31" s="713" t="s">
        <v>17</v>
      </c>
      <c r="S31" s="714">
        <f t="shared" si="12"/>
        <v>100</v>
      </c>
      <c r="T31" s="713" t="s">
        <v>17</v>
      </c>
      <c r="U31" s="714">
        <f t="shared" si="13"/>
        <v>100</v>
      </c>
      <c r="V31" s="713" t="s">
        <v>17</v>
      </c>
      <c r="W31" s="714">
        <f t="shared" si="14"/>
        <v>100</v>
      </c>
      <c r="X31" s="1538"/>
      <c r="Y31" s="3284"/>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46"/>
      <c r="M32" s="2940"/>
      <c r="N32" s="2940"/>
      <c r="O32" s="2940"/>
      <c r="P32" s="3340"/>
      <c r="Q32" s="1535">
        <f t="shared" si="11"/>
        <v>111</v>
      </c>
      <c r="R32" s="713" t="s">
        <v>17</v>
      </c>
      <c r="S32" s="714">
        <f t="shared" si="12"/>
        <v>100</v>
      </c>
      <c r="T32" s="713" t="s">
        <v>17</v>
      </c>
      <c r="U32" s="714">
        <f t="shared" si="13"/>
        <v>100</v>
      </c>
      <c r="V32" s="713" t="s">
        <v>17</v>
      </c>
      <c r="W32" s="714">
        <f t="shared" si="14"/>
        <v>100</v>
      </c>
      <c r="X32" s="1538"/>
      <c r="Y32" s="3284"/>
      <c r="Z32" s="1539">
        <f t="shared" si="15"/>
        <v>111</v>
      </c>
      <c r="AA32" s="1536">
        <f t="shared" si="3"/>
        <v>1</v>
      </c>
      <c r="AB32" s="1536">
        <f t="shared" si="4"/>
        <v>1</v>
      </c>
      <c r="AC32" s="2147">
        <f t="shared" si="5"/>
        <v>1</v>
      </c>
    </row>
    <row r="33" spans="1:29" ht="15">
      <c r="A33" s="398" t="s">
        <v>2381</v>
      </c>
      <c r="B33" s="67" t="s">
        <v>2511</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46"/>
      <c r="M33" s="2940"/>
      <c r="N33" s="2940"/>
      <c r="O33" s="2940"/>
      <c r="P33" s="3335" t="s">
        <v>2383</v>
      </c>
      <c r="Q33" s="1535" t="str">
        <f t="shared" si="11"/>
        <v>建筑类型</v>
      </c>
      <c r="R33" s="713" t="s">
        <v>17</v>
      </c>
      <c r="S33" s="714">
        <f t="shared" si="12"/>
        <v>100</v>
      </c>
      <c r="T33" s="713" t="s">
        <v>17</v>
      </c>
      <c r="U33" s="714">
        <f t="shared" si="13"/>
        <v>100</v>
      </c>
      <c r="V33" s="713" t="s">
        <v>17</v>
      </c>
      <c r="W33" s="714">
        <f t="shared" si="14"/>
        <v>100</v>
      </c>
      <c r="X33" s="1538"/>
      <c r="Y33" s="3285" t="s">
        <v>2383</v>
      </c>
      <c r="Z33" s="1539" t="str">
        <f t="shared" si="15"/>
        <v>建筑类型</v>
      </c>
      <c r="AA33" s="1536">
        <f t="shared" si="3"/>
        <v>1</v>
      </c>
      <c r="AB33" s="1536">
        <f t="shared" si="4"/>
        <v>1</v>
      </c>
      <c r="AC33" s="2147">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36"/>
      <c r="Q34" s="715" t="str">
        <f t="shared" si="11"/>
        <v>项目建筑规模</v>
      </c>
      <c r="R34" s="716" t="s">
        <v>17</v>
      </c>
      <c r="S34" s="717" t="e">
        <f t="shared" si="12"/>
        <v>#N/A</v>
      </c>
      <c r="T34" s="716" t="s">
        <v>17</v>
      </c>
      <c r="U34" s="717" t="e">
        <f t="shared" si="13"/>
        <v>#N/A</v>
      </c>
      <c r="V34" s="716" t="s">
        <v>17</v>
      </c>
      <c r="W34" s="717" t="e">
        <f t="shared" si="14"/>
        <v>#N/A</v>
      </c>
      <c r="X34" s="718"/>
      <c r="Y34" s="3285"/>
      <c r="Z34" s="719" t="str">
        <f t="shared" si="15"/>
        <v>项目建筑规模</v>
      </c>
      <c r="AA34" s="1536" t="e">
        <f t="shared" si="3"/>
        <v>#N/A</v>
      </c>
      <c r="AB34" s="1536" t="e">
        <f t="shared" si="4"/>
        <v>#N/A</v>
      </c>
      <c r="AC34" s="2147"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36"/>
      <c r="Q35" s="1535" t="str">
        <f t="shared" si="11"/>
        <v>建筑结构</v>
      </c>
      <c r="R35" s="713" t="s">
        <v>17</v>
      </c>
      <c r="S35" s="714">
        <f t="shared" si="12"/>
        <v>100</v>
      </c>
      <c r="T35" s="713" t="s">
        <v>17</v>
      </c>
      <c r="U35" s="714">
        <f t="shared" si="13"/>
        <v>100</v>
      </c>
      <c r="V35" s="713" t="s">
        <v>17</v>
      </c>
      <c r="W35" s="714">
        <f t="shared" si="14"/>
        <v>100</v>
      </c>
      <c r="X35" s="1538"/>
      <c r="Y35" s="3285"/>
      <c r="Z35" s="1539" t="str">
        <f t="shared" si="15"/>
        <v>建筑结构</v>
      </c>
      <c r="AA35" s="1536">
        <f t="shared" si="3"/>
        <v>1</v>
      </c>
      <c r="AB35" s="1536">
        <f t="shared" si="4"/>
        <v>1</v>
      </c>
      <c r="AC35" s="2147">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36"/>
      <c r="Q36" s="1535" t="str">
        <f t="shared" si="11"/>
        <v>公共部分装修</v>
      </c>
      <c r="R36" s="713" t="s">
        <v>17</v>
      </c>
      <c r="S36" s="714">
        <f t="shared" si="12"/>
        <v>100</v>
      </c>
      <c r="T36" s="713" t="s">
        <v>17</v>
      </c>
      <c r="U36" s="714">
        <f t="shared" si="13"/>
        <v>100</v>
      </c>
      <c r="V36" s="713" t="s">
        <v>17</v>
      </c>
      <c r="W36" s="714">
        <f t="shared" si="14"/>
        <v>100</v>
      </c>
      <c r="X36" s="1538"/>
      <c r="Y36" s="3285"/>
      <c r="Z36" s="1539" t="str">
        <f t="shared" si="15"/>
        <v>公共部分装修</v>
      </c>
      <c r="AA36" s="1536">
        <f t="shared" si="3"/>
        <v>1</v>
      </c>
      <c r="AB36" s="1536">
        <f t="shared" si="4"/>
        <v>1</v>
      </c>
      <c r="AC36" s="2147">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36"/>
      <c r="Q37" s="1535" t="str">
        <f t="shared" si="11"/>
        <v>成新度</v>
      </c>
      <c r="R37" s="713" t="s">
        <v>17</v>
      </c>
      <c r="S37" s="714" t="e">
        <f t="shared" si="12"/>
        <v>#N/A</v>
      </c>
      <c r="T37" s="713" t="s">
        <v>17</v>
      </c>
      <c r="U37" s="714" t="e">
        <f t="shared" si="13"/>
        <v>#N/A</v>
      </c>
      <c r="V37" s="713" t="s">
        <v>17</v>
      </c>
      <c r="W37" s="714" t="e">
        <f t="shared" si="14"/>
        <v>#N/A</v>
      </c>
      <c r="X37" s="1538"/>
      <c r="Y37" s="3285"/>
      <c r="Z37" s="1539" t="str">
        <f t="shared" si="15"/>
        <v>成新度</v>
      </c>
      <c r="AA37" s="1536" t="e">
        <f t="shared" si="3"/>
        <v>#N/A</v>
      </c>
      <c r="AB37" s="1536" t="e">
        <f t="shared" si="4"/>
        <v>#N/A</v>
      </c>
      <c r="AC37" s="2147"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36"/>
      <c r="Q38" s="1526" t="str">
        <f t="shared" si="11"/>
        <v>写字楼等级</v>
      </c>
      <c r="R38" s="709" t="s">
        <v>17</v>
      </c>
      <c r="S38" s="710">
        <f t="shared" si="12"/>
        <v>100</v>
      </c>
      <c r="T38" s="709" t="s">
        <v>17</v>
      </c>
      <c r="U38" s="710">
        <f t="shared" si="13"/>
        <v>100</v>
      </c>
      <c r="V38" s="709" t="s">
        <v>17</v>
      </c>
      <c r="W38" s="710">
        <f t="shared" si="14"/>
        <v>100</v>
      </c>
      <c r="X38" s="711"/>
      <c r="Y38" s="3285"/>
      <c r="Z38" s="55" t="str">
        <f t="shared" si="15"/>
        <v>写字楼等级</v>
      </c>
      <c r="AA38" s="712">
        <f t="shared" si="3"/>
        <v>1</v>
      </c>
      <c r="AB38" s="712">
        <f t="shared" si="4"/>
        <v>1</v>
      </c>
      <c r="AC38" s="2144">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36" t="s">
        <v>2383</v>
      </c>
      <c r="Q39" s="1535" t="str">
        <f t="shared" si="11"/>
        <v>物业管理</v>
      </c>
      <c r="R39" s="713" t="s">
        <v>17</v>
      </c>
      <c r="S39" s="714">
        <f t="shared" si="12"/>
        <v>100</v>
      </c>
      <c r="T39" s="713" t="s">
        <v>17</v>
      </c>
      <c r="U39" s="714">
        <f t="shared" si="13"/>
        <v>100</v>
      </c>
      <c r="V39" s="713" t="s">
        <v>17</v>
      </c>
      <c r="W39" s="714">
        <f t="shared" si="14"/>
        <v>100</v>
      </c>
      <c r="X39" s="1538"/>
      <c r="Y39" s="3285" t="s">
        <v>2383</v>
      </c>
      <c r="Z39" s="1539" t="str">
        <f t="shared" si="15"/>
        <v>物业管理</v>
      </c>
      <c r="AA39" s="1536">
        <f t="shared" si="3"/>
        <v>1</v>
      </c>
      <c r="AB39" s="1536">
        <f t="shared" si="4"/>
        <v>1</v>
      </c>
      <c r="AC39" s="2147">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36"/>
      <c r="Q40" s="1535" t="str">
        <f t="shared" si="11"/>
        <v>市政基础设施</v>
      </c>
      <c r="R40" s="713" t="s">
        <v>17</v>
      </c>
      <c r="S40" s="714">
        <f t="shared" si="12"/>
        <v>100</v>
      </c>
      <c r="T40" s="713" t="s">
        <v>17</v>
      </c>
      <c r="U40" s="714">
        <f t="shared" si="13"/>
        <v>100</v>
      </c>
      <c r="V40" s="713" t="s">
        <v>17</v>
      </c>
      <c r="W40" s="714">
        <f t="shared" si="14"/>
        <v>100</v>
      </c>
      <c r="X40" s="1538"/>
      <c r="Y40" s="3285"/>
      <c r="Z40" s="1539" t="str">
        <f t="shared" si="15"/>
        <v>市政基础设施</v>
      </c>
      <c r="AA40" s="1536">
        <f t="shared" si="3"/>
        <v>1</v>
      </c>
      <c r="AB40" s="1536">
        <f t="shared" si="4"/>
        <v>1</v>
      </c>
      <c r="AC40" s="2147">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36"/>
      <c r="Q41" s="1535" t="str">
        <f t="shared" si="11"/>
        <v>层高</v>
      </c>
      <c r="R41" s="713" t="s">
        <v>17</v>
      </c>
      <c r="S41" s="714">
        <f t="shared" si="12"/>
        <v>100</v>
      </c>
      <c r="T41" s="713" t="s">
        <v>17</v>
      </c>
      <c r="U41" s="714">
        <f t="shared" si="13"/>
        <v>100</v>
      </c>
      <c r="V41" s="713" t="s">
        <v>17</v>
      </c>
      <c r="W41" s="714">
        <f t="shared" si="14"/>
        <v>100</v>
      </c>
      <c r="X41" s="1538"/>
      <c r="Y41" s="3285"/>
      <c r="Z41" s="1539" t="str">
        <f t="shared" si="15"/>
        <v>层高</v>
      </c>
      <c r="AA41" s="1536">
        <f t="shared" si="3"/>
        <v>1</v>
      </c>
      <c r="AB41" s="1536">
        <f t="shared" si="4"/>
        <v>1</v>
      </c>
      <c r="AC41" s="2147">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36"/>
      <c r="Q42" s="715" t="str">
        <f t="shared" si="11"/>
        <v>单套建筑面积</v>
      </c>
      <c r="R42" s="716" t="s">
        <v>17</v>
      </c>
      <c r="S42" s="717">
        <f t="shared" si="12"/>
        <v>100</v>
      </c>
      <c r="T42" s="716" t="s">
        <v>17</v>
      </c>
      <c r="U42" s="717">
        <f t="shared" si="13"/>
        <v>100</v>
      </c>
      <c r="V42" s="716" t="s">
        <v>17</v>
      </c>
      <c r="W42" s="717">
        <f t="shared" si="14"/>
        <v>100</v>
      </c>
      <c r="X42" s="718"/>
      <c r="Y42" s="3285"/>
      <c r="Z42" s="719" t="str">
        <f t="shared" si="15"/>
        <v>单套建筑面积</v>
      </c>
      <c r="AA42" s="1536">
        <f t="shared" si="3"/>
        <v>1</v>
      </c>
      <c r="AB42" s="1536">
        <f t="shared" si="4"/>
        <v>1</v>
      </c>
      <c r="AC42" s="2147">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36"/>
      <c r="Q43" s="1535" t="str">
        <f t="shared" si="11"/>
        <v>内部装修</v>
      </c>
      <c r="R43" s="713" t="s">
        <v>17</v>
      </c>
      <c r="S43" s="714">
        <f t="shared" si="12"/>
        <v>100</v>
      </c>
      <c r="T43" s="713" t="s">
        <v>17</v>
      </c>
      <c r="U43" s="714">
        <f t="shared" si="13"/>
        <v>100</v>
      </c>
      <c r="V43" s="713" t="s">
        <v>17</v>
      </c>
      <c r="W43" s="714">
        <f t="shared" si="14"/>
        <v>100</v>
      </c>
      <c r="X43" s="1538"/>
      <c r="Y43" s="3285"/>
      <c r="Z43" s="1539" t="str">
        <f t="shared" si="15"/>
        <v>内部装修</v>
      </c>
      <c r="AA43" s="1536">
        <f t="shared" si="3"/>
        <v>1</v>
      </c>
      <c r="AB43" s="1536">
        <f t="shared" si="4"/>
        <v>1</v>
      </c>
      <c r="AC43" s="2147">
        <f t="shared" si="5"/>
        <v>1</v>
      </c>
    </row>
    <row r="44" spans="1:29" ht="15">
      <c r="A44" s="430"/>
      <c r="B44" s="380" t="s">
        <v>2394</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6"/>
      <c r="M44" s="2940"/>
      <c r="N44" s="2940"/>
      <c r="O44" s="2940"/>
      <c r="P44" s="3336"/>
      <c r="Q44" s="1535" t="str">
        <f t="shared" si="11"/>
        <v>内部装修维护情况</v>
      </c>
      <c r="R44" s="713" t="s">
        <v>17</v>
      </c>
      <c r="S44" s="714">
        <f t="shared" si="12"/>
        <v>100</v>
      </c>
      <c r="T44" s="713" t="s">
        <v>17</v>
      </c>
      <c r="U44" s="714">
        <f t="shared" si="13"/>
        <v>100</v>
      </c>
      <c r="V44" s="713" t="s">
        <v>17</v>
      </c>
      <c r="W44" s="714">
        <f t="shared" si="14"/>
        <v>100</v>
      </c>
      <c r="X44" s="1538"/>
      <c r="Y44" s="3285"/>
      <c r="Z44" s="1539" t="str">
        <f t="shared" si="15"/>
        <v>内部装修维护情况</v>
      </c>
      <c r="AA44" s="1536">
        <f t="shared" si="3"/>
        <v>1</v>
      </c>
      <c r="AB44" s="1536">
        <f t="shared" si="4"/>
        <v>1</v>
      </c>
      <c r="AC44" s="2147">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36"/>
      <c r="Q45" s="1526">
        <f t="shared" si="11"/>
        <v>111</v>
      </c>
      <c r="R45" s="709" t="s">
        <v>17</v>
      </c>
      <c r="S45" s="710">
        <f t="shared" si="12"/>
        <v>100</v>
      </c>
      <c r="T45" s="709" t="s">
        <v>17</v>
      </c>
      <c r="U45" s="710">
        <f t="shared" si="13"/>
        <v>100</v>
      </c>
      <c r="V45" s="709" t="s">
        <v>17</v>
      </c>
      <c r="W45" s="710">
        <f t="shared" si="14"/>
        <v>100</v>
      </c>
      <c r="X45" s="711"/>
      <c r="Y45" s="3285"/>
      <c r="Z45" s="55">
        <f t="shared" si="15"/>
        <v>111</v>
      </c>
      <c r="AA45" s="712">
        <f t="shared" si="3"/>
        <v>1</v>
      </c>
      <c r="AB45" s="712">
        <f t="shared" si="4"/>
        <v>1</v>
      </c>
      <c r="AC45" s="2144">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36"/>
      <c r="Q46" s="1535">
        <f t="shared" si="11"/>
        <v>111</v>
      </c>
      <c r="R46" s="713" t="s">
        <v>17</v>
      </c>
      <c r="S46" s="714">
        <f t="shared" si="12"/>
        <v>100</v>
      </c>
      <c r="T46" s="713" t="s">
        <v>17</v>
      </c>
      <c r="U46" s="714">
        <f t="shared" si="13"/>
        <v>100</v>
      </c>
      <c r="V46" s="713" t="s">
        <v>17</v>
      </c>
      <c r="W46" s="714">
        <f t="shared" si="14"/>
        <v>100</v>
      </c>
      <c r="X46" s="1538"/>
      <c r="Y46" s="3285"/>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37"/>
      <c r="Q47" s="1535">
        <f t="shared" si="11"/>
        <v>111</v>
      </c>
      <c r="R47" s="713" t="s">
        <v>17</v>
      </c>
      <c r="S47" s="714">
        <f t="shared" si="12"/>
        <v>100</v>
      </c>
      <c r="T47" s="713" t="s">
        <v>17</v>
      </c>
      <c r="U47" s="714">
        <f t="shared" si="13"/>
        <v>100</v>
      </c>
      <c r="V47" s="713" t="s">
        <v>17</v>
      </c>
      <c r="W47" s="714">
        <f t="shared" si="14"/>
        <v>100</v>
      </c>
      <c r="X47" s="1538"/>
      <c r="Y47" s="3338"/>
      <c r="Z47" s="1539">
        <f t="shared" si="15"/>
        <v>111</v>
      </c>
      <c r="AA47" s="1536">
        <f t="shared" si="3"/>
        <v>1</v>
      </c>
      <c r="AB47" s="1536">
        <f t="shared" si="4"/>
        <v>1</v>
      </c>
      <c r="AC47" s="2147">
        <f t="shared" si="5"/>
        <v>1</v>
      </c>
    </row>
    <row r="48" spans="1:29" ht="15">
      <c r="A48" s="437" t="s">
        <v>2395</v>
      </c>
      <c r="B48" s="438"/>
      <c r="C48" s="1315" t="s">
        <v>1</v>
      </c>
      <c r="D48" s="1316"/>
      <c r="E48" s="1317"/>
      <c r="F48" s="1318"/>
      <c r="G48" s="1319"/>
      <c r="H48" s="1320"/>
      <c r="I48" s="1317"/>
      <c r="J48" s="443"/>
      <c r="K48" s="722"/>
      <c r="L48" s="2948"/>
      <c r="M48" s="2940"/>
      <c r="N48" s="2940"/>
      <c r="O48" s="2940"/>
      <c r="P48" s="3264" t="str">
        <f>A48</f>
        <v>成交单价（元/平方米）</v>
      </c>
      <c r="Q48" s="3265"/>
      <c r="R48" s="3334">
        <f>E48</f>
        <v>0</v>
      </c>
      <c r="S48" s="3334"/>
      <c r="T48" s="3334">
        <f>G48</f>
        <v>0</v>
      </c>
      <c r="U48" s="3334"/>
      <c r="V48" s="3334">
        <f>I48</f>
        <v>0</v>
      </c>
      <c r="W48" s="3334"/>
      <c r="X48" s="404"/>
      <c r="Y48" s="720"/>
      <c r="Z48" s="404"/>
      <c r="AA48" s="404"/>
      <c r="AB48" s="404"/>
      <c r="AC48" s="585"/>
    </row>
    <row r="49" spans="1:29" ht="15.75" thickBot="1">
      <c r="A49" s="444" t="s">
        <v>2487</v>
      </c>
      <c r="B49" s="445"/>
      <c r="C49" s="1321" t="e">
        <f>R50</f>
        <v>#DIV/0!</v>
      </c>
      <c r="D49" s="2537" t="s">
        <v>2877</v>
      </c>
      <c r="E49" s="1322" t="e">
        <f>R49</f>
        <v>#DIV/0!</v>
      </c>
      <c r="F49" s="2538"/>
      <c r="G49" s="1321" t="e">
        <f>T49</f>
        <v>#DIV/0!</v>
      </c>
      <c r="H49" s="2538"/>
      <c r="I49" s="1322" t="e">
        <f>V49</f>
        <v>#DIV/0!</v>
      </c>
      <c r="J49" s="2538"/>
      <c r="K49" s="2540">
        <f>F49+H49+J49</f>
        <v>0</v>
      </c>
      <c r="L49" s="2948"/>
      <c r="M49" s="2940"/>
      <c r="N49" s="2940"/>
      <c r="O49" s="2940"/>
      <c r="P49" s="3264" t="str">
        <f>A49</f>
        <v>比较价值（元/平方米）</v>
      </c>
      <c r="Q49" s="3265"/>
      <c r="R49" s="3334" t="e">
        <f>IF(F1="售价",ROUND(PRODUCT(R48,AA7:AA47),0),ROUND(PRODUCT(R48,AA7:AA47),1))</f>
        <v>#DIV/0!</v>
      </c>
      <c r="S49" s="3334"/>
      <c r="T49" s="3334" t="e">
        <f>IF(F1="售价",ROUND(PRODUCT(T48,AB7:AB47),0),ROUND(PRODUCT(T48,AB7:AB47),1))</f>
        <v>#DIV/0!</v>
      </c>
      <c r="U49" s="3334"/>
      <c r="V49" s="3334" t="e">
        <f>IF(F1="售价",ROUND(PRODUCT(V48,AC7:AC47),0),ROUND(PRODUCT(V48,AC7:AC47),1))</f>
        <v>#DIV/0!</v>
      </c>
      <c r="W49" s="3334"/>
      <c r="X49" s="404"/>
      <c r="Y49" s="404"/>
      <c r="Z49" s="404"/>
      <c r="AA49" s="404"/>
      <c r="AB49" s="404"/>
      <c r="AC49" s="585"/>
    </row>
    <row r="50" spans="1:29" ht="15.75" thickBot="1">
      <c r="A50" s="448" t="s">
        <v>2488</v>
      </c>
      <c r="B50" s="449"/>
      <c r="C50" s="1324" t="e">
        <f>R50</f>
        <v>#DIV/0!</v>
      </c>
      <c r="D50" s="1324"/>
      <c r="E50" s="1324"/>
      <c r="F50" s="1324"/>
      <c r="G50" s="1324"/>
      <c r="H50" s="1324"/>
      <c r="I50" s="1324"/>
      <c r="J50" s="450"/>
      <c r="K50" s="723"/>
      <c r="L50" s="2948"/>
      <c r="M50" s="2940"/>
      <c r="N50" s="2940"/>
      <c r="O50" s="2940"/>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31"/>
      <c r="Y50" s="2131"/>
      <c r="Z50" s="2131"/>
      <c r="AA50" s="2131"/>
      <c r="AB50" s="2131"/>
      <c r="AC50" s="2132"/>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2492</v>
      </c>
      <c r="B58" s="698"/>
      <c r="C58" s="703"/>
      <c r="D58" s="703"/>
      <c r="E58" s="703"/>
      <c r="F58" s="704"/>
      <c r="G58" s="704"/>
      <c r="H58" s="703"/>
      <c r="I58" s="703"/>
      <c r="J58" s="703"/>
      <c r="K58" s="705"/>
      <c r="L58" s="1072"/>
      <c r="M58" s="1070"/>
      <c r="N58" s="2993"/>
      <c r="O58" s="2993"/>
      <c r="P58" s="2982"/>
      <c r="Q58" s="2963"/>
      <c r="R58" s="2949"/>
      <c r="S58" s="2949"/>
      <c r="T58" s="2949"/>
      <c r="U58" s="2949"/>
      <c r="V58" s="2949"/>
      <c r="W58" s="2949"/>
      <c r="X58" s="2949"/>
      <c r="Y58" s="2949"/>
      <c r="Z58" s="2949"/>
      <c r="AA58" s="2949"/>
      <c r="AB58" s="2949"/>
      <c r="AC58" s="2949"/>
    </row>
    <row r="59" spans="1:29" s="464" customFormat="1" ht="15">
      <c r="A59" s="461" t="s">
        <v>2366</v>
      </c>
      <c r="B59" s="462"/>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3"/>
      <c r="Q59" s="2965"/>
      <c r="R59" s="2965"/>
      <c r="S59" s="2965"/>
      <c r="T59" s="2965"/>
      <c r="U59" s="2965"/>
      <c r="V59" s="2965"/>
      <c r="W59" s="2965"/>
      <c r="X59" s="2965"/>
      <c r="Y59" s="2965"/>
      <c r="Z59" s="2965"/>
      <c r="AA59" s="2965"/>
      <c r="AB59" s="2965"/>
      <c r="AC59" s="2965"/>
    </row>
    <row r="60" spans="1:29" s="112" customFormat="1" ht="15">
      <c r="A60" s="465"/>
      <c r="B60" s="466"/>
      <c r="C60" s="1344">
        <v>100</v>
      </c>
      <c r="D60" s="468"/>
      <c r="E60" s="468"/>
      <c r="F60" s="468"/>
      <c r="G60" s="468"/>
      <c r="H60" s="468"/>
      <c r="I60" s="468"/>
      <c r="J60" s="468"/>
      <c r="K60" s="468"/>
      <c r="L60" s="468"/>
      <c r="M60" s="469"/>
      <c r="N60" s="468"/>
      <c r="O60" s="469"/>
      <c r="P60" s="2984"/>
      <c r="Q60" s="2884"/>
      <c r="R60" s="2884"/>
      <c r="S60" s="2884"/>
      <c r="T60" s="2884"/>
      <c r="U60" s="2884"/>
      <c r="V60" s="2884"/>
      <c r="W60" s="2884"/>
      <c r="X60" s="2884"/>
      <c r="Y60" s="2884"/>
      <c r="Z60" s="2884"/>
      <c r="AA60" s="2884"/>
      <c r="AB60" s="2884"/>
      <c r="AC60" s="2884"/>
    </row>
    <row r="61" spans="1:29" s="112" customFormat="1" ht="15.75" thickBot="1">
      <c r="A61" s="471" t="s">
        <v>2403</v>
      </c>
      <c r="B61" s="472"/>
      <c r="C61" s="473"/>
      <c r="D61" s="474"/>
      <c r="E61" s="474"/>
      <c r="F61" s="474"/>
      <c r="G61" s="474"/>
      <c r="H61" s="474"/>
      <c r="I61" s="474"/>
      <c r="J61" s="474"/>
      <c r="K61" s="474"/>
      <c r="L61" s="474"/>
      <c r="M61" s="475"/>
      <c r="N61" s="474"/>
      <c r="O61" s="475"/>
      <c r="P61" s="2984"/>
      <c r="Q61" s="2963"/>
      <c r="R61" s="2884"/>
      <c r="S61" s="2884"/>
      <c r="T61" s="2884"/>
      <c r="U61" s="2884"/>
      <c r="V61" s="2884"/>
      <c r="W61" s="2884"/>
      <c r="X61" s="2884"/>
      <c r="Y61" s="2884"/>
      <c r="Z61" s="2884"/>
      <c r="AA61" s="2884"/>
      <c r="AB61" s="2884"/>
      <c r="AC61" s="2884"/>
    </row>
    <row r="62" spans="1:29" s="112" customFormat="1" ht="15">
      <c r="A62" s="477" t="s">
        <v>2368</v>
      </c>
      <c r="B62" s="466"/>
      <c r="C62" s="478" t="s">
        <v>2470</v>
      </c>
      <c r="D62" s="479"/>
      <c r="E62" s="479"/>
      <c r="F62" s="479"/>
      <c r="G62" s="479"/>
      <c r="H62" s="479"/>
      <c r="I62" s="479"/>
      <c r="J62" s="479"/>
      <c r="K62" s="479"/>
      <c r="L62" s="480"/>
      <c r="M62" s="481"/>
      <c r="N62" s="2976"/>
      <c r="O62" s="2976"/>
      <c r="P62" s="2985"/>
      <c r="Q62" s="2963"/>
      <c r="R62" s="2884"/>
      <c r="S62" s="2884"/>
      <c r="T62" s="2884"/>
      <c r="U62" s="2884"/>
      <c r="V62" s="2884"/>
      <c r="W62" s="2884"/>
      <c r="X62" s="2884"/>
      <c r="Y62" s="2884"/>
      <c r="Z62" s="2884"/>
      <c r="AA62" s="2884"/>
      <c r="AB62" s="2884"/>
      <c r="AC62" s="2884"/>
    </row>
    <row r="63" spans="1:29" s="112" customFormat="1" ht="15.75" thickBot="1">
      <c r="A63" s="477"/>
      <c r="B63" s="466"/>
      <c r="C63" s="467">
        <v>100</v>
      </c>
      <c r="D63" s="468"/>
      <c r="E63" s="468"/>
      <c r="F63" s="468"/>
      <c r="G63" s="468"/>
      <c r="H63" s="468"/>
      <c r="I63" s="468"/>
      <c r="J63" s="468"/>
      <c r="K63" s="468"/>
      <c r="L63" s="468"/>
      <c r="M63" s="470"/>
      <c r="N63" s="2976"/>
      <c r="O63" s="2976"/>
      <c r="P63" s="2984"/>
      <c r="Q63" s="2963"/>
      <c r="R63" s="2884"/>
      <c r="S63" s="2884"/>
      <c r="T63" s="2884"/>
      <c r="U63" s="2884"/>
      <c r="V63" s="2884"/>
      <c r="W63" s="2884"/>
      <c r="X63" s="2884"/>
      <c r="Y63" s="2884"/>
      <c r="Z63" s="2884"/>
      <c r="AA63" s="2884"/>
      <c r="AB63" s="2884"/>
      <c r="AC63" s="2884"/>
    </row>
    <row r="64" spans="1:29">
      <c r="A64" s="483" t="s">
        <v>2406</v>
      </c>
      <c r="B64" s="484" t="s">
        <v>2372</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2377</v>
      </c>
      <c r="B77" s="484" t="s">
        <v>2515</v>
      </c>
      <c r="C77" s="529" t="s">
        <v>2415</v>
      </c>
      <c r="D77" s="529" t="s">
        <v>2416</v>
      </c>
      <c r="E77" s="529" t="s">
        <v>2417</v>
      </c>
      <c r="F77" s="529" t="s">
        <v>2418</v>
      </c>
      <c r="G77" s="529" t="s">
        <v>2419</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2420</v>
      </c>
      <c r="C79" s="534" t="s">
        <v>2415</v>
      </c>
      <c r="D79" s="534" t="s">
        <v>2416</v>
      </c>
      <c r="E79" s="534" t="s">
        <v>2417</v>
      </c>
      <c r="F79" s="534" t="s">
        <v>2418</v>
      </c>
      <c r="G79" s="534" t="s">
        <v>2419</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2421</v>
      </c>
      <c r="C81" s="534" t="s">
        <v>2415</v>
      </c>
      <c r="D81" s="534" t="s">
        <v>2416</v>
      </c>
      <c r="E81" s="534" t="s">
        <v>2417</v>
      </c>
      <c r="F81" s="534" t="s">
        <v>2418</v>
      </c>
      <c r="G81" s="534" t="s">
        <v>2419</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2507</v>
      </c>
      <c r="C83" s="615" t="s">
        <v>2493</v>
      </c>
      <c r="D83" s="615" t="s">
        <v>2494</v>
      </c>
      <c r="E83" s="615" t="s">
        <v>2495</v>
      </c>
      <c r="F83" s="615" t="s">
        <v>2496</v>
      </c>
      <c r="G83" s="615" t="s">
        <v>2497</v>
      </c>
      <c r="H83" s="495"/>
      <c r="I83" s="495"/>
      <c r="J83" s="495"/>
      <c r="K83" s="495"/>
      <c r="L83" s="495"/>
      <c r="M83" s="1290"/>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2516</v>
      </c>
      <c r="C85" s="534" t="s">
        <v>2415</v>
      </c>
      <c r="D85" s="534" t="s">
        <v>2416</v>
      </c>
      <c r="E85" s="534" t="s">
        <v>2417</v>
      </c>
      <c r="F85" s="534" t="s">
        <v>2418</v>
      </c>
      <c r="G85" s="534" t="s">
        <v>2419</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2" customFormat="1" ht="27.75" thickTop="1">
      <c r="A87" s="535"/>
      <c r="B87" s="494" t="s">
        <v>2517</v>
      </c>
      <c r="C87" s="510"/>
      <c r="D87" s="510"/>
      <c r="E87" s="510"/>
      <c r="F87" s="510"/>
      <c r="G87" s="510"/>
      <c r="H87" s="510"/>
      <c r="I87" s="510"/>
      <c r="J87" s="510"/>
      <c r="K87" s="510"/>
      <c r="L87" s="536"/>
      <c r="M87" s="537"/>
      <c r="N87" s="2976"/>
      <c r="O87" s="2976"/>
      <c r="P87" s="2986"/>
      <c r="Q87" s="2963"/>
      <c r="R87" s="2884"/>
      <c r="S87" s="2884"/>
      <c r="T87" s="2884"/>
      <c r="U87" s="2884"/>
      <c r="V87" s="2884"/>
      <c r="W87" s="2884"/>
      <c r="X87" s="2884"/>
      <c r="Y87" s="2884"/>
      <c r="Z87" s="2884"/>
      <c r="AA87" s="2884"/>
      <c r="AB87" s="2884"/>
      <c r="AC87" s="288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4"/>
      <c r="S88" s="2884"/>
      <c r="T88" s="2884"/>
      <c r="U88" s="2884"/>
      <c r="V88" s="2884"/>
      <c r="W88" s="2884"/>
      <c r="X88" s="2884"/>
      <c r="Y88" s="2884"/>
      <c r="Z88" s="2884"/>
      <c r="AA88" s="2884"/>
      <c r="AB88" s="2884"/>
      <c r="AC88" s="2884"/>
    </row>
    <row r="89" spans="1:29" s="112" customFormat="1" ht="15.75" thickTop="1">
      <c r="A89" s="535"/>
      <c r="B89" s="494" t="str">
        <f>B27</f>
        <v>楼层</v>
      </c>
      <c r="C89" s="510"/>
      <c r="D89" s="510"/>
      <c r="E89" s="510"/>
      <c r="F89" s="2112"/>
      <c r="G89" s="510"/>
      <c r="H89" s="510"/>
      <c r="I89" s="510"/>
      <c r="J89" s="510"/>
      <c r="K89" s="510"/>
      <c r="L89" s="510"/>
      <c r="M89" s="537"/>
      <c r="N89" s="2976"/>
      <c r="O89" s="2976"/>
      <c r="P89" s="2986"/>
      <c r="Q89" s="2963"/>
      <c r="R89" s="2884"/>
      <c r="S89" s="2884"/>
      <c r="T89" s="2884"/>
      <c r="U89" s="2884"/>
      <c r="V89" s="2884"/>
      <c r="W89" s="2884"/>
      <c r="X89" s="2884"/>
      <c r="Y89" s="2884"/>
      <c r="Z89" s="2884"/>
      <c r="AA89" s="2884"/>
      <c r="AB89" s="2884"/>
      <c r="AC89" s="288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3"/>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2381</v>
      </c>
      <c r="B101" s="484" t="s">
        <v>2430</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2432</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2434</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2518</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2435</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2436</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2519</v>
      </c>
      <c r="C119" s="539"/>
      <c r="D119" s="539"/>
      <c r="E119" s="539"/>
      <c r="F119" s="539"/>
      <c r="G119" s="539"/>
      <c r="H119" s="539"/>
      <c r="I119" s="539"/>
      <c r="J119" s="539"/>
      <c r="K119" s="539"/>
      <c r="L119" s="2153"/>
      <c r="M119" s="2154"/>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2502</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2438</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3"/>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2" t="s">
        <v>2520</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34910.400000000001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262" t="s">
        <v>2464</v>
      </c>
      <c r="D4" s="3289"/>
      <c r="E4" s="3290" t="s">
        <v>2465</v>
      </c>
      <c r="F4" s="3291"/>
      <c r="G4" s="3262" t="s">
        <v>2466</v>
      </c>
      <c r="H4" s="3289"/>
      <c r="I4" s="3262" t="s">
        <v>2467</v>
      </c>
      <c r="J4" s="3289"/>
      <c r="K4" s="566" t="s">
        <v>2468</v>
      </c>
      <c r="L4" s="1043"/>
      <c r="M4" s="1044"/>
      <c r="N4" s="1044"/>
      <c r="O4" s="1044"/>
      <c r="P4" s="3292" t="s">
        <v>2469</v>
      </c>
      <c r="Q4" s="3293"/>
      <c r="R4" s="3269" t="s">
        <v>2465</v>
      </c>
      <c r="S4" s="3270"/>
      <c r="T4" s="3269" t="s">
        <v>2466</v>
      </c>
      <c r="U4" s="3270"/>
      <c r="V4" s="3282" t="s">
        <v>2467</v>
      </c>
      <c r="W4" s="3282"/>
      <c r="X4" s="1538"/>
      <c r="Y4" s="3269" t="s">
        <v>2469</v>
      </c>
      <c r="Z4" s="3270"/>
      <c r="AA4" s="3286" t="s">
        <v>2465</v>
      </c>
      <c r="AB4" s="3287" t="s">
        <v>2466</v>
      </c>
      <c r="AC4" s="3286" t="s">
        <v>2467</v>
      </c>
    </row>
    <row r="5" spans="1:29" ht="15">
      <c r="A5" s="363"/>
      <c r="B5" s="364"/>
      <c r="C5" s="3273" t="s">
        <v>2360</v>
      </c>
      <c r="D5" s="3274"/>
      <c r="E5" s="3298" t="s">
        <v>2361</v>
      </c>
      <c r="F5" s="3299"/>
      <c r="G5" s="3273" t="s">
        <v>2362</v>
      </c>
      <c r="H5" s="3274"/>
      <c r="I5" s="3273" t="s">
        <v>2363</v>
      </c>
      <c r="J5" s="3274"/>
      <c r="K5" s="566"/>
      <c r="L5" s="1043"/>
      <c r="M5" s="1044"/>
      <c r="N5" s="1044"/>
      <c r="O5" s="1044"/>
      <c r="P5" s="3294"/>
      <c r="Q5" s="3295"/>
      <c r="R5" s="3271"/>
      <c r="S5" s="3272"/>
      <c r="T5" s="3271"/>
      <c r="U5" s="3272"/>
      <c r="V5" s="3282"/>
      <c r="W5" s="3282"/>
      <c r="X5" s="1538"/>
      <c r="Y5" s="3271"/>
      <c r="Z5" s="3272"/>
      <c r="AA5" s="3287"/>
      <c r="AB5" s="3287"/>
      <c r="AC5" s="3287"/>
    </row>
    <row r="6" spans="1:29" ht="15.75" thickBot="1">
      <c r="A6" s="365"/>
      <c r="B6" s="366"/>
      <c r="C6" s="3341" t="s">
        <v>2364</v>
      </c>
      <c r="D6" s="3342"/>
      <c r="E6" s="3343" t="s">
        <v>2364</v>
      </c>
      <c r="F6" s="3344"/>
      <c r="G6" s="3341" t="s">
        <v>2364</v>
      </c>
      <c r="H6" s="3342"/>
      <c r="I6" s="3341" t="s">
        <v>2364</v>
      </c>
      <c r="J6" s="3342"/>
      <c r="K6" s="566" t="s">
        <v>2365</v>
      </c>
      <c r="L6" s="1043"/>
      <c r="M6" s="1044"/>
      <c r="N6" s="1044"/>
      <c r="O6" s="1044"/>
      <c r="P6" s="3296"/>
      <c r="Q6" s="3297"/>
      <c r="R6" s="3271"/>
      <c r="S6" s="3272"/>
      <c r="T6" s="3280"/>
      <c r="U6" s="3281"/>
      <c r="V6" s="3282"/>
      <c r="W6" s="3282"/>
      <c r="X6" s="1538"/>
      <c r="Y6" s="3280"/>
      <c r="Z6" s="3281"/>
      <c r="AA6" s="3288"/>
      <c r="AB6" s="3288"/>
      <c r="AC6" s="3288"/>
    </row>
    <row r="7" spans="1:29" s="112" customFormat="1" ht="15.75" thickBot="1">
      <c r="A7" s="367" t="s">
        <v>2366</v>
      </c>
      <c r="B7" s="368"/>
      <c r="C7" s="369">
        <f>'数据-取费表'!B2</f>
        <v>44332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67" t="s">
        <v>2367</v>
      </c>
      <c r="Q7" s="3277"/>
      <c r="R7" s="709" t="s">
        <v>17</v>
      </c>
      <c r="S7" s="710">
        <f t="shared" ref="S7:S15" si="0">F7</f>
        <v>0</v>
      </c>
      <c r="T7" s="709" t="s">
        <v>17</v>
      </c>
      <c r="U7" s="710">
        <f t="shared" ref="U7:U15" si="1">H7</f>
        <v>0</v>
      </c>
      <c r="V7" s="709" t="s">
        <v>17</v>
      </c>
      <c r="W7" s="710">
        <f t="shared" ref="W7:W15" si="2">J7</f>
        <v>0</v>
      </c>
      <c r="X7" s="711"/>
      <c r="Y7" s="3267" t="s">
        <v>2367</v>
      </c>
      <c r="Z7" s="3268"/>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67" t="s">
        <v>2370</v>
      </c>
      <c r="Q8" s="3268"/>
      <c r="R8" s="709" t="s">
        <v>17</v>
      </c>
      <c r="S8" s="710">
        <f t="shared" si="0"/>
        <v>0</v>
      </c>
      <c r="T8" s="709" t="s">
        <v>17</v>
      </c>
      <c r="U8" s="710">
        <f t="shared" si="1"/>
        <v>0</v>
      </c>
      <c r="V8" s="709" t="s">
        <v>17</v>
      </c>
      <c r="W8" s="710">
        <f t="shared" si="2"/>
        <v>0</v>
      </c>
      <c r="X8" s="711"/>
      <c r="Y8" s="3267" t="s">
        <v>2370</v>
      </c>
      <c r="Z8" s="3268"/>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65"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65"/>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65"/>
      <c r="Q11" s="1526" t="str">
        <f t="shared" si="6"/>
        <v>容积率</v>
      </c>
      <c r="R11" s="709" t="s">
        <v>17</v>
      </c>
      <c r="S11" s="710" t="e">
        <f t="shared" si="0"/>
        <v>#N/A</v>
      </c>
      <c r="T11" s="709" t="s">
        <v>17</v>
      </c>
      <c r="U11" s="710" t="e">
        <f t="shared" si="1"/>
        <v>#N/A</v>
      </c>
      <c r="V11" s="709" t="s">
        <v>17</v>
      </c>
      <c r="W11" s="710" t="e">
        <f t="shared" si="2"/>
        <v>#N/A</v>
      </c>
      <c r="X11" s="711"/>
      <c r="Y11" s="3163"/>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5"/>
      <c r="M12" s="1046"/>
      <c r="N12" s="1046"/>
      <c r="O12" s="1047"/>
      <c r="P12" s="3265"/>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3"/>
      <c r="M13" s="1044"/>
      <c r="N13" s="1044"/>
      <c r="O13" s="1052"/>
      <c r="P13" s="3265"/>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3"/>
      <c r="M14" s="1044"/>
      <c r="N14" s="1044"/>
      <c r="O14" s="1052"/>
      <c r="P14" s="3265"/>
      <c r="Q14" s="1526">
        <f t="shared" si="6"/>
        <v>111</v>
      </c>
      <c r="R14" s="709" t="s">
        <v>17</v>
      </c>
      <c r="S14" s="710">
        <f t="shared" si="0"/>
        <v>100</v>
      </c>
      <c r="T14" s="709" t="s">
        <v>17</v>
      </c>
      <c r="U14" s="710">
        <f t="shared" si="1"/>
        <v>100</v>
      </c>
      <c r="V14" s="709" t="s">
        <v>17</v>
      </c>
      <c r="W14" s="710">
        <f t="shared" si="2"/>
        <v>100</v>
      </c>
      <c r="X14" s="711"/>
      <c r="Y14" s="3163"/>
      <c r="Z14" s="55">
        <f t="shared" si="7"/>
        <v>111</v>
      </c>
      <c r="AA14" s="712">
        <f t="shared" si="3"/>
        <v>1</v>
      </c>
      <c r="AB14" s="712">
        <f t="shared" si="4"/>
        <v>1</v>
      </c>
      <c r="AC14" s="712">
        <f t="shared" si="5"/>
        <v>1</v>
      </c>
    </row>
    <row r="15" spans="1:29" ht="57">
      <c r="A15" s="398" t="s">
        <v>2377</v>
      </c>
      <c r="B15" s="65" t="s">
        <v>2521</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83" t="s">
        <v>2378</v>
      </c>
      <c r="Q15" s="1535" t="str">
        <f t="shared" si="6"/>
        <v>产业集聚程度</v>
      </c>
      <c r="R15" s="713" t="s">
        <v>17</v>
      </c>
      <c r="S15" s="714">
        <f t="shared" si="0"/>
        <v>100</v>
      </c>
      <c r="T15" s="713" t="s">
        <v>17</v>
      </c>
      <c r="U15" s="714">
        <f t="shared" si="1"/>
        <v>100</v>
      </c>
      <c r="V15" s="713" t="s">
        <v>17</v>
      </c>
      <c r="W15" s="714">
        <f t="shared" si="2"/>
        <v>100</v>
      </c>
      <c r="X15" s="1538"/>
      <c r="Y15" s="3283"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284"/>
      <c r="Q16" s="1535"/>
      <c r="R16" s="713"/>
      <c r="S16" s="714"/>
      <c r="T16" s="713"/>
      <c r="U16" s="714"/>
      <c r="V16" s="713"/>
      <c r="W16" s="714"/>
      <c r="X16" s="1538"/>
      <c r="Y16" s="3284"/>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84"/>
      <c r="Q17" s="1535" t="str">
        <f>B17</f>
        <v>交通便捷度</v>
      </c>
      <c r="R17" s="713" t="s">
        <v>17</v>
      </c>
      <c r="S17" s="714">
        <f>F17</f>
        <v>100</v>
      </c>
      <c r="T17" s="713" t="s">
        <v>17</v>
      </c>
      <c r="U17" s="714">
        <f>H17</f>
        <v>100</v>
      </c>
      <c r="V17" s="713" t="s">
        <v>17</v>
      </c>
      <c r="W17" s="714">
        <f>J17</f>
        <v>100</v>
      </c>
      <c r="X17" s="1538"/>
      <c r="Y17" s="3284"/>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284"/>
      <c r="Q18" s="1535"/>
      <c r="R18" s="713"/>
      <c r="S18" s="714"/>
      <c r="T18" s="713"/>
      <c r="U18" s="714"/>
      <c r="V18" s="713"/>
      <c r="W18" s="714"/>
      <c r="X18" s="1538"/>
      <c r="Y18" s="3284"/>
      <c r="Z18" s="1539"/>
      <c r="AA18" s="1536">
        <v>1</v>
      </c>
      <c r="AB18" s="1536">
        <v>1</v>
      </c>
      <c r="AC18" s="1536">
        <v>1</v>
      </c>
    </row>
    <row r="19" spans="1:29" ht="42.75">
      <c r="A19" s="386"/>
      <c r="B19" s="409" t="s">
        <v>2506</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84"/>
      <c r="Q19" s="1535" t="str">
        <f>B19</f>
        <v>公共配套设施</v>
      </c>
      <c r="R19" s="713" t="s">
        <v>17</v>
      </c>
      <c r="S19" s="714">
        <f>F19</f>
        <v>100</v>
      </c>
      <c r="T19" s="713" t="s">
        <v>17</v>
      </c>
      <c r="U19" s="714">
        <f>H19</f>
        <v>100</v>
      </c>
      <c r="V19" s="713" t="s">
        <v>17</v>
      </c>
      <c r="W19" s="714">
        <f>J19</f>
        <v>100</v>
      </c>
      <c r="X19" s="1538"/>
      <c r="Y19" s="3284"/>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284"/>
      <c r="Q20" s="1535"/>
      <c r="R20" s="713"/>
      <c r="S20" s="714"/>
      <c r="T20" s="713"/>
      <c r="U20" s="714"/>
      <c r="V20" s="713"/>
      <c r="W20" s="714"/>
      <c r="X20" s="1538"/>
      <c r="Y20" s="3284"/>
      <c r="Z20" s="1539"/>
      <c r="AA20" s="1536">
        <v>1</v>
      </c>
      <c r="AB20" s="1536">
        <v>1</v>
      </c>
      <c r="AC20" s="1536">
        <v>1</v>
      </c>
    </row>
    <row r="21" spans="1:29" ht="28.5">
      <c r="A21" s="386"/>
      <c r="B21" s="1292" t="s">
        <v>2507</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84"/>
      <c r="Q21" s="1535" t="str">
        <f>B21</f>
        <v>基础设施水平</v>
      </c>
      <c r="R21" s="713" t="s">
        <v>17</v>
      </c>
      <c r="S21" s="714">
        <f>F21</f>
        <v>100</v>
      </c>
      <c r="T21" s="713" t="s">
        <v>17</v>
      </c>
      <c r="U21" s="714">
        <f>H21</f>
        <v>100</v>
      </c>
      <c r="V21" s="713" t="s">
        <v>17</v>
      </c>
      <c r="W21" s="714">
        <f>J21</f>
        <v>100</v>
      </c>
      <c r="X21" s="1538"/>
      <c r="Y21" s="3284"/>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284"/>
      <c r="Q22" s="1535"/>
      <c r="R22" s="713"/>
      <c r="S22" s="714"/>
      <c r="T22" s="713"/>
      <c r="U22" s="714"/>
      <c r="V22" s="713"/>
      <c r="W22" s="714"/>
      <c r="X22" s="1538"/>
      <c r="Y22" s="3284"/>
      <c r="Z22" s="1539"/>
      <c r="AA22" s="1536">
        <v>1</v>
      </c>
      <c r="AB22" s="1536">
        <v>1</v>
      </c>
      <c r="AC22" s="1536">
        <v>1</v>
      </c>
    </row>
    <row r="23" spans="1:29" ht="71.25">
      <c r="A23" s="386"/>
      <c r="B23" s="409" t="s">
        <v>2508</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84"/>
      <c r="Q23" s="1535" t="str">
        <f>B23</f>
        <v>环境质量</v>
      </c>
      <c r="R23" s="713" t="s">
        <v>17</v>
      </c>
      <c r="S23" s="714">
        <f>F23</f>
        <v>100</v>
      </c>
      <c r="T23" s="713" t="s">
        <v>17</v>
      </c>
      <c r="U23" s="714">
        <f>H23</f>
        <v>100</v>
      </c>
      <c r="V23" s="713" t="s">
        <v>17</v>
      </c>
      <c r="W23" s="714">
        <f>J23</f>
        <v>100</v>
      </c>
      <c r="X23" s="1538"/>
      <c r="Y23" s="3284"/>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284"/>
      <c r="Q24" s="1535"/>
      <c r="R24" s="713"/>
      <c r="S24" s="714"/>
      <c r="T24" s="713"/>
      <c r="U24" s="714"/>
      <c r="V24" s="713"/>
      <c r="W24" s="714"/>
      <c r="X24" s="1538"/>
      <c r="Y24" s="3284"/>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84"/>
      <c r="Q25" s="1535">
        <f>B25</f>
        <v>111</v>
      </c>
      <c r="R25" s="713" t="s">
        <v>17</v>
      </c>
      <c r="S25" s="714">
        <f>F25</f>
        <v>100</v>
      </c>
      <c r="T25" s="713" t="s">
        <v>17</v>
      </c>
      <c r="U25" s="714">
        <f>H25</f>
        <v>100</v>
      </c>
      <c r="V25" s="713" t="s">
        <v>17</v>
      </c>
      <c r="W25" s="714">
        <f>J25</f>
        <v>100</v>
      </c>
      <c r="X25" s="1538"/>
      <c r="Y25" s="3284"/>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84"/>
      <c r="Q26" s="1535">
        <f t="shared" ref="Q26:Q40" si="11">B26</f>
        <v>111</v>
      </c>
      <c r="R26" s="713" t="s">
        <v>17</v>
      </c>
      <c r="S26" s="714">
        <f>F26</f>
        <v>100</v>
      </c>
      <c r="T26" s="713" t="s">
        <v>17</v>
      </c>
      <c r="U26" s="714">
        <f>H26</f>
        <v>100</v>
      </c>
      <c r="V26" s="713" t="s">
        <v>17</v>
      </c>
      <c r="W26" s="714">
        <f>J26</f>
        <v>100</v>
      </c>
      <c r="X26" s="1538"/>
      <c r="Y26" s="3284"/>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84"/>
      <c r="Q27" s="1526">
        <f t="shared" si="11"/>
        <v>111</v>
      </c>
      <c r="R27" s="709" t="s">
        <v>17</v>
      </c>
      <c r="S27" s="710">
        <f>F27</f>
        <v>100</v>
      </c>
      <c r="T27" s="709" t="s">
        <v>17</v>
      </c>
      <c r="U27" s="710">
        <f>H27</f>
        <v>100</v>
      </c>
      <c r="V27" s="709" t="s">
        <v>17</v>
      </c>
      <c r="W27" s="710">
        <f>J27</f>
        <v>100</v>
      </c>
      <c r="X27" s="711"/>
      <c r="Y27" s="3284"/>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84"/>
      <c r="Q28" s="1535">
        <f t="shared" si="11"/>
        <v>111</v>
      </c>
      <c r="R28" s="713" t="s">
        <v>17</v>
      </c>
      <c r="S28" s="714">
        <f t="shared" ref="S28:S40" si="12">F28</f>
        <v>100</v>
      </c>
      <c r="T28" s="713" t="s">
        <v>17</v>
      </c>
      <c r="U28" s="714">
        <f t="shared" ref="U28:U40" si="13">H28</f>
        <v>100</v>
      </c>
      <c r="V28" s="713" t="s">
        <v>17</v>
      </c>
      <c r="W28" s="714">
        <f t="shared" ref="W28:W40" si="14">J28</f>
        <v>100</v>
      </c>
      <c r="X28" s="1538"/>
      <c r="Y28" s="3284"/>
      <c r="Z28" s="1539">
        <f t="shared" ref="Z28:Z40" si="15">Q28</f>
        <v>111</v>
      </c>
      <c r="AA28" s="1536">
        <f t="shared" si="3"/>
        <v>1</v>
      </c>
      <c r="AB28" s="1536">
        <f t="shared" si="4"/>
        <v>1</v>
      </c>
      <c r="AC28" s="1536">
        <f t="shared" si="5"/>
        <v>1</v>
      </c>
    </row>
    <row r="29" spans="1:29" ht="28.5">
      <c r="A29" s="424" t="s">
        <v>2381</v>
      </c>
      <c r="B29" s="67" t="s">
        <v>2511</v>
      </c>
      <c r="C29" s="2152"/>
      <c r="D29" s="425">
        <v>100</v>
      </c>
      <c r="E29" s="2152"/>
      <c r="F29" s="419">
        <f>SUMIF(88:88,E29,89:89)-SUMIF(88:88,C29,89:89)+100</f>
        <v>100</v>
      </c>
      <c r="G29" s="2152"/>
      <c r="H29" s="393">
        <f>SUMIF(88:88,G29,89:89)-SUMIF(88:88,C29,89:89)+100</f>
        <v>100</v>
      </c>
      <c r="I29" s="2152"/>
      <c r="J29" s="425">
        <f>SUMIF(88:88,I29,89:89)-SUMIF(88:88,C29,89:89)+100</f>
        <v>100</v>
      </c>
      <c r="K29" s="568"/>
      <c r="L29" s="1053"/>
      <c r="M29" s="1044"/>
      <c r="N29" s="1044"/>
      <c r="O29" s="1052"/>
      <c r="P29" s="3300" t="s">
        <v>2383</v>
      </c>
      <c r="Q29" s="1535" t="str">
        <f t="shared" si="11"/>
        <v>建筑类型</v>
      </c>
      <c r="R29" s="713" t="s">
        <v>17</v>
      </c>
      <c r="S29" s="714">
        <f t="shared" si="12"/>
        <v>100</v>
      </c>
      <c r="T29" s="713" t="s">
        <v>17</v>
      </c>
      <c r="U29" s="714">
        <f t="shared" si="13"/>
        <v>100</v>
      </c>
      <c r="V29" s="713" t="s">
        <v>17</v>
      </c>
      <c r="W29" s="714">
        <f t="shared" si="14"/>
        <v>100</v>
      </c>
      <c r="X29" s="1538"/>
      <c r="Y29" s="3285"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85"/>
      <c r="Q30" s="715" t="str">
        <f t="shared" si="11"/>
        <v>项目建筑规模</v>
      </c>
      <c r="R30" s="716" t="s">
        <v>17</v>
      </c>
      <c r="S30" s="717" t="e">
        <f t="shared" si="12"/>
        <v>#N/A</v>
      </c>
      <c r="T30" s="716" t="s">
        <v>17</v>
      </c>
      <c r="U30" s="717" t="e">
        <f t="shared" si="13"/>
        <v>#N/A</v>
      </c>
      <c r="V30" s="716" t="s">
        <v>17</v>
      </c>
      <c r="W30" s="717" t="e">
        <f t="shared" si="14"/>
        <v>#N/A</v>
      </c>
      <c r="X30" s="718"/>
      <c r="Y30" s="3285"/>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85"/>
      <c r="Q31" s="1535" t="str">
        <f t="shared" si="11"/>
        <v>建筑结构</v>
      </c>
      <c r="R31" s="713" t="s">
        <v>17</v>
      </c>
      <c r="S31" s="714">
        <f t="shared" si="12"/>
        <v>100</v>
      </c>
      <c r="T31" s="713" t="s">
        <v>17</v>
      </c>
      <c r="U31" s="714">
        <f t="shared" si="13"/>
        <v>100</v>
      </c>
      <c r="V31" s="713" t="s">
        <v>17</v>
      </c>
      <c r="W31" s="714">
        <f t="shared" si="14"/>
        <v>100</v>
      </c>
      <c r="X31" s="1538"/>
      <c r="Y31" s="3285"/>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85"/>
      <c r="Q32" s="1535" t="str">
        <f t="shared" si="11"/>
        <v>公共部分装修</v>
      </c>
      <c r="R32" s="713" t="s">
        <v>17</v>
      </c>
      <c r="S32" s="714">
        <f t="shared" si="12"/>
        <v>100</v>
      </c>
      <c r="T32" s="713" t="s">
        <v>17</v>
      </c>
      <c r="U32" s="714">
        <f t="shared" si="13"/>
        <v>100</v>
      </c>
      <c r="V32" s="713" t="s">
        <v>17</v>
      </c>
      <c r="W32" s="714">
        <f t="shared" si="14"/>
        <v>100</v>
      </c>
      <c r="X32" s="1538"/>
      <c r="Y32" s="3285"/>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85"/>
      <c r="Q33" s="1535" t="str">
        <f t="shared" si="11"/>
        <v>成新度</v>
      </c>
      <c r="R33" s="713" t="s">
        <v>17</v>
      </c>
      <c r="S33" s="714" t="e">
        <f t="shared" si="12"/>
        <v>#N/A</v>
      </c>
      <c r="T33" s="713" t="s">
        <v>17</v>
      </c>
      <c r="U33" s="714" t="e">
        <f t="shared" si="13"/>
        <v>#N/A</v>
      </c>
      <c r="V33" s="713" t="s">
        <v>17</v>
      </c>
      <c r="W33" s="714" t="e">
        <f t="shared" si="14"/>
        <v>#N/A</v>
      </c>
      <c r="X33" s="1538"/>
      <c r="Y33" s="3285"/>
      <c r="Z33" s="1539" t="str">
        <f t="shared" si="15"/>
        <v>成新度</v>
      </c>
      <c r="AA33" s="1536" t="e">
        <f t="shared" si="3"/>
        <v>#N/A</v>
      </c>
      <c r="AB33" s="1536" t="e">
        <f t="shared" si="4"/>
        <v>#N/A</v>
      </c>
      <c r="AC33" s="1536"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85"/>
      <c r="Q34" s="1526" t="str">
        <f t="shared" si="11"/>
        <v>物业管理</v>
      </c>
      <c r="R34" s="709" t="s">
        <v>17</v>
      </c>
      <c r="S34" s="710">
        <f t="shared" si="12"/>
        <v>100</v>
      </c>
      <c r="T34" s="709" t="s">
        <v>17</v>
      </c>
      <c r="U34" s="710">
        <f t="shared" si="13"/>
        <v>100</v>
      </c>
      <c r="V34" s="709" t="s">
        <v>17</v>
      </c>
      <c r="W34" s="710">
        <f t="shared" si="14"/>
        <v>100</v>
      </c>
      <c r="X34" s="711"/>
      <c r="Y34" s="3285"/>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85" t="s">
        <v>2383</v>
      </c>
      <c r="Q35" s="1535" t="str">
        <f t="shared" si="11"/>
        <v>市政基础设施</v>
      </c>
      <c r="R35" s="713" t="s">
        <v>17</v>
      </c>
      <c r="S35" s="714">
        <f t="shared" si="12"/>
        <v>100</v>
      </c>
      <c r="T35" s="713" t="s">
        <v>17</v>
      </c>
      <c r="U35" s="714">
        <f t="shared" si="13"/>
        <v>100</v>
      </c>
      <c r="V35" s="713" t="s">
        <v>17</v>
      </c>
      <c r="W35" s="714">
        <f t="shared" si="14"/>
        <v>100</v>
      </c>
      <c r="X35" s="1538"/>
      <c r="Y35" s="3285"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85"/>
      <c r="Q36" s="1535" t="str">
        <f t="shared" si="11"/>
        <v>内部装修</v>
      </c>
      <c r="R36" s="713" t="s">
        <v>17</v>
      </c>
      <c r="S36" s="714">
        <f t="shared" si="12"/>
        <v>100</v>
      </c>
      <c r="T36" s="713" t="s">
        <v>17</v>
      </c>
      <c r="U36" s="714">
        <f t="shared" si="13"/>
        <v>100</v>
      </c>
      <c r="V36" s="713" t="s">
        <v>17</v>
      </c>
      <c r="W36" s="714">
        <f t="shared" si="14"/>
        <v>100</v>
      </c>
      <c r="X36" s="1538"/>
      <c r="Y36" s="3285"/>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85"/>
      <c r="Q37" s="1535" t="str">
        <f t="shared" si="11"/>
        <v>内部装修状况</v>
      </c>
      <c r="R37" s="713" t="s">
        <v>17</v>
      </c>
      <c r="S37" s="714">
        <f t="shared" si="12"/>
        <v>100</v>
      </c>
      <c r="T37" s="713" t="s">
        <v>17</v>
      </c>
      <c r="U37" s="714">
        <f t="shared" si="13"/>
        <v>100</v>
      </c>
      <c r="V37" s="713" t="s">
        <v>17</v>
      </c>
      <c r="W37" s="714">
        <f t="shared" si="14"/>
        <v>100</v>
      </c>
      <c r="X37" s="1538"/>
      <c r="Y37" s="3285"/>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85"/>
      <c r="Q38" s="715">
        <f t="shared" si="11"/>
        <v>111</v>
      </c>
      <c r="R38" s="716" t="s">
        <v>17</v>
      </c>
      <c r="S38" s="717">
        <f t="shared" si="12"/>
        <v>100</v>
      </c>
      <c r="T38" s="716" t="s">
        <v>17</v>
      </c>
      <c r="U38" s="717">
        <f t="shared" si="13"/>
        <v>100</v>
      </c>
      <c r="V38" s="716" t="s">
        <v>17</v>
      </c>
      <c r="W38" s="717">
        <f t="shared" si="14"/>
        <v>100</v>
      </c>
      <c r="X38" s="718"/>
      <c r="Y38" s="3285"/>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85"/>
      <c r="Q39" s="1535">
        <f t="shared" si="11"/>
        <v>111</v>
      </c>
      <c r="R39" s="713" t="s">
        <v>17</v>
      </c>
      <c r="S39" s="714">
        <f t="shared" si="12"/>
        <v>100</v>
      </c>
      <c r="T39" s="713" t="s">
        <v>17</v>
      </c>
      <c r="U39" s="714">
        <f t="shared" si="13"/>
        <v>100</v>
      </c>
      <c r="V39" s="713" t="s">
        <v>17</v>
      </c>
      <c r="W39" s="714">
        <f t="shared" si="14"/>
        <v>100</v>
      </c>
      <c r="X39" s="1538"/>
      <c r="Y39" s="3285"/>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8"/>
      <c r="Q40" s="1535">
        <f t="shared" si="11"/>
        <v>111</v>
      </c>
      <c r="R40" s="713" t="s">
        <v>17</v>
      </c>
      <c r="S40" s="714">
        <f t="shared" si="12"/>
        <v>100</v>
      </c>
      <c r="T40" s="713" t="s">
        <v>17</v>
      </c>
      <c r="U40" s="714">
        <f t="shared" si="13"/>
        <v>100</v>
      </c>
      <c r="V40" s="713" t="s">
        <v>17</v>
      </c>
      <c r="W40" s="714">
        <f t="shared" si="14"/>
        <v>100</v>
      </c>
      <c r="X40" s="1538"/>
      <c r="Y40" s="3338"/>
      <c r="Z40" s="1539">
        <f t="shared" si="15"/>
        <v>111</v>
      </c>
      <c r="AA40" s="1536">
        <f t="shared" si="3"/>
        <v>1</v>
      </c>
      <c r="AB40" s="1536">
        <f t="shared" si="4"/>
        <v>1</v>
      </c>
      <c r="AC40" s="1536">
        <f t="shared" si="5"/>
        <v>1</v>
      </c>
    </row>
    <row r="41" spans="1:29" ht="15">
      <c r="A41" s="437" t="s">
        <v>2395</v>
      </c>
      <c r="B41" s="438"/>
      <c r="C41" s="1315" t="s">
        <v>1</v>
      </c>
      <c r="D41" s="1316"/>
      <c r="E41" s="1317"/>
      <c r="F41" s="1318"/>
      <c r="G41" s="1319"/>
      <c r="H41" s="1320"/>
      <c r="I41" s="1317"/>
      <c r="J41" s="1320"/>
      <c r="K41" s="722"/>
      <c r="L41" s="1056"/>
      <c r="M41" s="1057"/>
      <c r="N41" s="1044"/>
      <c r="O41" s="1057"/>
      <c r="P41" s="3265" t="str">
        <f>A41</f>
        <v>成交单价（元/平方米）</v>
      </c>
      <c r="Q41" s="3265"/>
      <c r="R41" s="3334">
        <f>E41</f>
        <v>0</v>
      </c>
      <c r="S41" s="3334"/>
      <c r="T41" s="3334">
        <f>G41</f>
        <v>0</v>
      </c>
      <c r="U41" s="3334"/>
      <c r="V41" s="3334">
        <f>I41</f>
        <v>0</v>
      </c>
      <c r="W41" s="3334"/>
      <c r="X41" s="698"/>
      <c r="Y41" s="720"/>
      <c r="Z41" s="698"/>
      <c r="AA41" s="698"/>
      <c r="AB41" s="698"/>
      <c r="AC41" s="698"/>
    </row>
    <row r="42" spans="1:29" ht="15.75" thickBot="1">
      <c r="A42" s="444" t="s">
        <v>2487</v>
      </c>
      <c r="B42" s="445"/>
      <c r="C42" s="1321" t="e">
        <f>R43</f>
        <v>#DIV/0!</v>
      </c>
      <c r="D42" s="2537" t="s">
        <v>2877</v>
      </c>
      <c r="E42" s="1322" t="e">
        <f>R42</f>
        <v>#DIV/0!</v>
      </c>
      <c r="F42" s="2538"/>
      <c r="G42" s="1321" t="e">
        <f>T42</f>
        <v>#DIV/0!</v>
      </c>
      <c r="H42" s="2538"/>
      <c r="I42" s="1322" t="e">
        <f>V42</f>
        <v>#DIV/0!</v>
      </c>
      <c r="J42" s="2538"/>
      <c r="K42" s="2540">
        <f>F42+H42+J42</f>
        <v>0</v>
      </c>
      <c r="L42" s="1056"/>
      <c r="M42" s="1057"/>
      <c r="N42" s="1044"/>
      <c r="O42" s="1057"/>
      <c r="P42" s="3265" t="str">
        <f>A42</f>
        <v>比较价值（元/平方米）</v>
      </c>
      <c r="Q42" s="3265"/>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8"/>
      <c r="Y42" s="698"/>
      <c r="Z42" s="698"/>
      <c r="AA42" s="698"/>
      <c r="AB42" s="698"/>
      <c r="AC42" s="698"/>
    </row>
    <row r="43" spans="1:29" ht="15.75" thickBot="1">
      <c r="A43" s="448" t="s">
        <v>2488</v>
      </c>
      <c r="B43" s="449"/>
      <c r="C43" s="1324" t="e">
        <f>R43</f>
        <v>#DIV/0!</v>
      </c>
      <c r="D43" s="1324"/>
      <c r="E43" s="1324"/>
      <c r="F43" s="1324"/>
      <c r="G43" s="1324"/>
      <c r="H43" s="1324"/>
      <c r="I43" s="1324"/>
      <c r="J43" s="1324"/>
      <c r="K43" s="723"/>
      <c r="L43" s="1056"/>
      <c r="M43" s="1057"/>
      <c r="N43" s="1057"/>
      <c r="O43" s="1057"/>
      <c r="P43" s="3301" t="str">
        <f>A43</f>
        <v>估价对象XX用房的比较价值（楼面单价，元/平方米）</v>
      </c>
      <c r="Q43" s="3302"/>
      <c r="R43" s="3333" t="e">
        <f>IF(F1="售价",ROUND(IF(D42="简单平均",AVERAGE(R42:V42),R42*F42+T42*H42+V42*J42),0),ROUND(IF(D42="简单平均",AVERAGE(R42:V42),R42*F42+T42*H42+V42*J42),1))</f>
        <v>#DIV/0!</v>
      </c>
      <c r="S43" s="3333"/>
      <c r="T43" s="3333"/>
      <c r="U43" s="3333"/>
      <c r="V43" s="3333"/>
      <c r="W43" s="3333"/>
      <c r="X43" s="698"/>
      <c r="Y43" s="698"/>
      <c r="Z43" s="698"/>
      <c r="AA43" s="698"/>
      <c r="AB43" s="698"/>
      <c r="AC43" s="698"/>
    </row>
    <row r="44" spans="1:29">
      <c r="A44" s="2949"/>
      <c r="B44" s="2949"/>
      <c r="C44" s="2949"/>
      <c r="D44" s="2949"/>
      <c r="E44" s="2949"/>
      <c r="F44" s="2949"/>
      <c r="G44" s="2953"/>
      <c r="H44" s="2949"/>
      <c r="I44" s="2949"/>
      <c r="J44" s="2949"/>
      <c r="K44" s="2954"/>
      <c r="L44" s="1019"/>
      <c r="M44" s="1057"/>
      <c r="N44" s="1057"/>
      <c r="O44" s="1057"/>
    </row>
    <row r="45" spans="1:29">
      <c r="A45" s="2949"/>
      <c r="B45" s="2949"/>
      <c r="C45" s="2949"/>
      <c r="D45" s="2949"/>
      <c r="E45" s="2949"/>
      <c r="F45" s="2949"/>
      <c r="G45" s="2949"/>
      <c r="H45" s="2949"/>
      <c r="I45" s="2949"/>
      <c r="J45" s="2949"/>
      <c r="K45" s="2954"/>
      <c r="L45" s="1019"/>
      <c r="M45" s="1057"/>
      <c r="N45" s="1057"/>
      <c r="O45" s="1057"/>
    </row>
    <row r="46" spans="1:29"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9"/>
      <c r="M46" s="1057"/>
      <c r="N46" s="1057"/>
      <c r="O46" s="1057"/>
    </row>
    <row r="47" spans="1:29"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9"/>
      <c r="M47" s="1057"/>
      <c r="N47" s="1057"/>
      <c r="O47" s="1057"/>
    </row>
    <row r="48" spans="1:29"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60"/>
      <c r="M48" s="1058"/>
      <c r="N48" s="1058"/>
      <c r="O48" s="1058"/>
    </row>
    <row r="49" spans="1:17" s="458" customFormat="1">
      <c r="A49" s="2952"/>
      <c r="B49" s="2955"/>
      <c r="C49" s="2956"/>
      <c r="D49" s="2952"/>
      <c r="E49" s="2952"/>
      <c r="F49" s="2952"/>
      <c r="G49" s="2952"/>
      <c r="H49" s="2952"/>
      <c r="I49" s="2952"/>
      <c r="J49" s="2952"/>
      <c r="K49" s="2957"/>
      <c r="L49" s="1060"/>
      <c r="M49" s="1058"/>
      <c r="N49" s="1058"/>
      <c r="O49" s="1058"/>
    </row>
    <row r="50" spans="1:17">
      <c r="A50" s="2949"/>
      <c r="B50" s="2955"/>
      <c r="C50" s="2956"/>
      <c r="D50" s="2949"/>
      <c r="E50" s="2949"/>
      <c r="F50" s="2949"/>
      <c r="G50" s="2949"/>
      <c r="H50" s="2949"/>
      <c r="I50" s="2949"/>
      <c r="J50" s="2949"/>
      <c r="K50" s="2954"/>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94"/>
      <c r="O54" s="2995"/>
      <c r="P54" s="460"/>
      <c r="Q54" s="460"/>
    </row>
    <row r="55" spans="1:17" s="112" customFormat="1" ht="15">
      <c r="A55" s="477" t="s">
        <v>2368</v>
      </c>
      <c r="B55" s="466"/>
      <c r="C55" s="478" t="s">
        <v>2470</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393"/>
      <c r="F1" s="2064"/>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58"/>
      <c r="M2" s="2959"/>
      <c r="N2" s="2959"/>
      <c r="O2" s="2959"/>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58"/>
      <c r="M3" s="2959"/>
      <c r="N3" s="2959"/>
      <c r="O3" s="2959"/>
      <c r="P3" s="1326"/>
      <c r="Q3" s="707"/>
      <c r="R3" s="707"/>
      <c r="S3" s="707"/>
      <c r="T3" s="707"/>
      <c r="U3" s="707"/>
      <c r="V3" s="707"/>
      <c r="W3" s="707"/>
      <c r="X3" s="707"/>
      <c r="Y3" s="707"/>
      <c r="Z3" s="707"/>
      <c r="AA3" s="707"/>
      <c r="AB3" s="724"/>
      <c r="AC3" s="721"/>
    </row>
    <row r="4" spans="1:29" ht="15">
      <c r="A4" s="360" t="s">
        <v>2463</v>
      </c>
      <c r="B4" s="361"/>
      <c r="C4" s="3262" t="s">
        <v>2464</v>
      </c>
      <c r="D4" s="3289"/>
      <c r="E4" s="3290" t="s">
        <v>2465</v>
      </c>
      <c r="F4" s="3291"/>
      <c r="G4" s="3262" t="s">
        <v>2466</v>
      </c>
      <c r="H4" s="3289"/>
      <c r="I4" s="3262" t="s">
        <v>2467</v>
      </c>
      <c r="J4" s="3289"/>
      <c r="K4" s="566" t="s">
        <v>2468</v>
      </c>
      <c r="L4" s="2939"/>
      <c r="M4" s="2940"/>
      <c r="N4" s="2940"/>
      <c r="O4" s="2940"/>
      <c r="P4" s="3292" t="s">
        <v>2469</v>
      </c>
      <c r="Q4" s="3293"/>
      <c r="R4" s="3269" t="s">
        <v>2465</v>
      </c>
      <c r="S4" s="3270"/>
      <c r="T4" s="3269" t="s">
        <v>2466</v>
      </c>
      <c r="U4" s="3270"/>
      <c r="V4" s="3282" t="s">
        <v>2467</v>
      </c>
      <c r="W4" s="3282"/>
      <c r="X4" s="1538"/>
      <c r="Y4" s="3269" t="s">
        <v>2469</v>
      </c>
      <c r="Z4" s="3270"/>
      <c r="AA4" s="3286" t="s">
        <v>2465</v>
      </c>
      <c r="AB4" s="3287" t="s">
        <v>2466</v>
      </c>
      <c r="AC4" s="3286" t="s">
        <v>2467</v>
      </c>
    </row>
    <row r="5" spans="1:29" ht="15">
      <c r="A5" s="363"/>
      <c r="B5" s="364"/>
      <c r="C5" s="3273" t="s">
        <v>2360</v>
      </c>
      <c r="D5" s="3274"/>
      <c r="E5" s="3298" t="s">
        <v>2361</v>
      </c>
      <c r="F5" s="3299"/>
      <c r="G5" s="3273" t="s">
        <v>2362</v>
      </c>
      <c r="H5" s="3274"/>
      <c r="I5" s="3273" t="s">
        <v>2363</v>
      </c>
      <c r="J5" s="3274"/>
      <c r="K5" s="566"/>
      <c r="L5" s="2939"/>
      <c r="M5" s="2940"/>
      <c r="N5" s="2940"/>
      <c r="O5" s="2940"/>
      <c r="P5" s="3294"/>
      <c r="Q5" s="3295"/>
      <c r="R5" s="3271"/>
      <c r="S5" s="3272"/>
      <c r="T5" s="3271"/>
      <c r="U5" s="3272"/>
      <c r="V5" s="3282"/>
      <c r="W5" s="3282"/>
      <c r="X5" s="1538"/>
      <c r="Y5" s="3271"/>
      <c r="Z5" s="3272"/>
      <c r="AA5" s="3287"/>
      <c r="AB5" s="3287"/>
      <c r="AC5" s="3287"/>
    </row>
    <row r="6" spans="1:29" ht="15.75" thickBot="1">
      <c r="A6" s="365"/>
      <c r="B6" s="366"/>
      <c r="C6" s="3341" t="s">
        <v>2364</v>
      </c>
      <c r="D6" s="3342"/>
      <c r="E6" s="3343" t="s">
        <v>2364</v>
      </c>
      <c r="F6" s="3344"/>
      <c r="G6" s="3341" t="s">
        <v>2364</v>
      </c>
      <c r="H6" s="3342"/>
      <c r="I6" s="3341" t="s">
        <v>2364</v>
      </c>
      <c r="J6" s="3342"/>
      <c r="K6" s="566" t="s">
        <v>2365</v>
      </c>
      <c r="L6" s="2939"/>
      <c r="M6" s="2940"/>
      <c r="N6" s="2940"/>
      <c r="O6" s="2940"/>
      <c r="P6" s="3296"/>
      <c r="Q6" s="3297"/>
      <c r="R6" s="3271"/>
      <c r="S6" s="3272"/>
      <c r="T6" s="3280"/>
      <c r="U6" s="3281"/>
      <c r="V6" s="3282"/>
      <c r="W6" s="3282"/>
      <c r="X6" s="1538"/>
      <c r="Y6" s="3280"/>
      <c r="Z6" s="3281"/>
      <c r="AA6" s="3288"/>
      <c r="AB6" s="3288"/>
      <c r="AC6" s="3288"/>
    </row>
    <row r="7" spans="1:29" s="112" customFormat="1" ht="15.75" thickBot="1">
      <c r="A7" s="367" t="s">
        <v>2366</v>
      </c>
      <c r="B7" s="368"/>
      <c r="C7" s="369">
        <f>'数据-取费表'!B2</f>
        <v>44332</v>
      </c>
      <c r="D7" s="370">
        <v>100</v>
      </c>
      <c r="E7" s="371"/>
      <c r="F7" s="372">
        <f>SUMIF(48:48,YEAR(E7)&amp;"-"&amp;MONTH(E7),49:49)</f>
        <v>0</v>
      </c>
      <c r="G7" s="371"/>
      <c r="H7" s="370">
        <f>SUMIF(48:48,YEAR(G7)&amp;"-"&amp;MONTH(G7),49:49)</f>
        <v>0</v>
      </c>
      <c r="I7" s="371"/>
      <c r="J7" s="370">
        <f>SUMIF(48:48,YEAR(I7)&amp;"-"&amp;MONTH(I7),49:49)</f>
        <v>0</v>
      </c>
      <c r="K7" s="567"/>
      <c r="L7" s="2941"/>
      <c r="M7" s="2942"/>
      <c r="N7" s="2942"/>
      <c r="O7" s="2942"/>
      <c r="P7" s="3267" t="s">
        <v>2367</v>
      </c>
      <c r="Q7" s="3277"/>
      <c r="R7" s="709" t="s">
        <v>17</v>
      </c>
      <c r="S7" s="710">
        <f t="shared" ref="S7:S14" si="0">F7</f>
        <v>0</v>
      </c>
      <c r="T7" s="709" t="s">
        <v>17</v>
      </c>
      <c r="U7" s="710">
        <f t="shared" ref="U7:U14" si="1">H7</f>
        <v>0</v>
      </c>
      <c r="V7" s="709" t="s">
        <v>17</v>
      </c>
      <c r="W7" s="710">
        <f t="shared" ref="W7:W14" si="2">J7</f>
        <v>0</v>
      </c>
      <c r="X7" s="711"/>
      <c r="Y7" s="3267" t="s">
        <v>2367</v>
      </c>
      <c r="Z7" s="3268"/>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267" t="s">
        <v>2370</v>
      </c>
      <c r="Q8" s="3268"/>
      <c r="R8" s="709" t="s">
        <v>17</v>
      </c>
      <c r="S8" s="710">
        <f t="shared" si="0"/>
        <v>0</v>
      </c>
      <c r="T8" s="709" t="s">
        <v>17</v>
      </c>
      <c r="U8" s="710">
        <f t="shared" si="1"/>
        <v>0</v>
      </c>
      <c r="V8" s="709" t="s">
        <v>17</v>
      </c>
      <c r="W8" s="710">
        <f t="shared" si="2"/>
        <v>0</v>
      </c>
      <c r="X8" s="711"/>
      <c r="Y8" s="3267" t="s">
        <v>2370</v>
      </c>
      <c r="Z8" s="3268"/>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265" t="s">
        <v>2373</v>
      </c>
      <c r="Q9" s="1526" t="str">
        <f t="shared" ref="Q9:Q14" si="6">B9</f>
        <v>用途</v>
      </c>
      <c r="R9" s="709" t="s">
        <v>17</v>
      </c>
      <c r="S9" s="710">
        <f t="shared" si="0"/>
        <v>100</v>
      </c>
      <c r="T9" s="709" t="s">
        <v>17</v>
      </c>
      <c r="U9" s="710">
        <f t="shared" si="1"/>
        <v>100</v>
      </c>
      <c r="V9" s="709" t="s">
        <v>17</v>
      </c>
      <c r="W9" s="710">
        <f t="shared" si="2"/>
        <v>100</v>
      </c>
      <c r="X9" s="711"/>
      <c r="Y9" s="3163"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265"/>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265"/>
      <c r="Q11" s="1526">
        <f t="shared" si="6"/>
        <v>111</v>
      </c>
      <c r="R11" s="709" t="s">
        <v>17</v>
      </c>
      <c r="S11" s="710">
        <f t="shared" si="0"/>
        <v>100</v>
      </c>
      <c r="T11" s="709" t="s">
        <v>17</v>
      </c>
      <c r="U11" s="710">
        <f t="shared" si="1"/>
        <v>100</v>
      </c>
      <c r="V11" s="709" t="s">
        <v>17</v>
      </c>
      <c r="W11" s="710">
        <f t="shared" si="2"/>
        <v>100</v>
      </c>
      <c r="X11" s="711"/>
      <c r="Y11" s="3163"/>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265"/>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265"/>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712">
        <f t="shared" si="5"/>
        <v>1</v>
      </c>
    </row>
    <row r="14" spans="1:29" ht="85.5">
      <c r="A14" s="360" t="s">
        <v>2377</v>
      </c>
      <c r="B14" s="584" t="s">
        <v>2527</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283" t="s">
        <v>2378</v>
      </c>
      <c r="Q14" s="1535" t="str">
        <f t="shared" si="6"/>
        <v>交通便捷度</v>
      </c>
      <c r="R14" s="713" t="s">
        <v>17</v>
      </c>
      <c r="S14" s="714">
        <f t="shared" si="0"/>
        <v>100</v>
      </c>
      <c r="T14" s="713" t="s">
        <v>17</v>
      </c>
      <c r="U14" s="714">
        <f t="shared" si="1"/>
        <v>100</v>
      </c>
      <c r="V14" s="713" t="s">
        <v>17</v>
      </c>
      <c r="W14" s="714">
        <f t="shared" si="2"/>
        <v>100</v>
      </c>
      <c r="X14" s="1538"/>
      <c r="Y14" s="3283"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6"/>
      <c r="M15" s="2940"/>
      <c r="N15" s="2940"/>
      <c r="O15" s="2940"/>
      <c r="P15" s="3284"/>
      <c r="Q15" s="1535"/>
      <c r="R15" s="713"/>
      <c r="S15" s="714"/>
      <c r="T15" s="713"/>
      <c r="U15" s="714"/>
      <c r="V15" s="713"/>
      <c r="W15" s="714"/>
      <c r="X15" s="1538"/>
      <c r="Y15" s="3284"/>
      <c r="Z15" s="1539"/>
      <c r="AA15" s="1536">
        <v>1</v>
      </c>
      <c r="AB15" s="1536">
        <v>1</v>
      </c>
      <c r="AC15" s="1536">
        <v>1</v>
      </c>
    </row>
    <row r="16" spans="1:29" ht="42.75">
      <c r="A16" s="363"/>
      <c r="B16" s="586" t="s">
        <v>2506</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284"/>
      <c r="Q16" s="1535" t="str">
        <f>B16</f>
        <v>公共配套设施</v>
      </c>
      <c r="R16" s="713" t="s">
        <v>17</v>
      </c>
      <c r="S16" s="714">
        <f>F16</f>
        <v>100</v>
      </c>
      <c r="T16" s="713" t="s">
        <v>17</v>
      </c>
      <c r="U16" s="714">
        <f>H16</f>
        <v>100</v>
      </c>
      <c r="V16" s="713" t="s">
        <v>17</v>
      </c>
      <c r="W16" s="714">
        <f>J16</f>
        <v>100</v>
      </c>
      <c r="X16" s="1538"/>
      <c r="Y16" s="3284"/>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46"/>
      <c r="M17" s="2940"/>
      <c r="N17" s="2940"/>
      <c r="O17" s="2940"/>
      <c r="P17" s="3284"/>
      <c r="Q17" s="1535"/>
      <c r="R17" s="713"/>
      <c r="S17" s="714"/>
      <c r="T17" s="713"/>
      <c r="U17" s="714"/>
      <c r="V17" s="713"/>
      <c r="W17" s="714"/>
      <c r="X17" s="1538"/>
      <c r="Y17" s="3284"/>
      <c r="Z17" s="1539"/>
      <c r="AA17" s="1536">
        <v>1</v>
      </c>
      <c r="AB17" s="1536">
        <v>1</v>
      </c>
      <c r="AC17" s="1536">
        <v>1</v>
      </c>
    </row>
    <row r="18" spans="1:29" ht="28.5">
      <c r="A18" s="363"/>
      <c r="B18" s="588" t="s">
        <v>2507</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284"/>
      <c r="Q18" s="1535" t="str">
        <f>B18</f>
        <v>基础设施水平</v>
      </c>
      <c r="R18" s="713" t="s">
        <v>17</v>
      </c>
      <c r="S18" s="714">
        <f>F18</f>
        <v>100</v>
      </c>
      <c r="T18" s="713" t="s">
        <v>17</v>
      </c>
      <c r="U18" s="714">
        <f>H18</f>
        <v>100</v>
      </c>
      <c r="V18" s="713" t="s">
        <v>17</v>
      </c>
      <c r="W18" s="714">
        <f>J18</f>
        <v>100</v>
      </c>
      <c r="X18" s="1538"/>
      <c r="Y18" s="3284"/>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46"/>
      <c r="M19" s="2940"/>
      <c r="N19" s="2940"/>
      <c r="O19" s="2940"/>
      <c r="P19" s="3284"/>
      <c r="Q19" s="1535"/>
      <c r="R19" s="713"/>
      <c r="S19" s="714"/>
      <c r="T19" s="713"/>
      <c r="U19" s="714"/>
      <c r="V19" s="713"/>
      <c r="W19" s="714"/>
      <c r="X19" s="1538"/>
      <c r="Y19" s="3284"/>
      <c r="Z19" s="1539"/>
      <c r="AA19" s="1536">
        <v>1</v>
      </c>
      <c r="AB19" s="1536">
        <v>1</v>
      </c>
      <c r="AC19" s="1536">
        <v>1</v>
      </c>
    </row>
    <row r="20" spans="1:29" ht="57">
      <c r="A20" s="363"/>
      <c r="B20" s="586" t="s">
        <v>2528</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284"/>
      <c r="Q20" s="1535" t="str">
        <f>B20</f>
        <v>自然及人文环境</v>
      </c>
      <c r="R20" s="713" t="s">
        <v>17</v>
      </c>
      <c r="S20" s="714">
        <f>F20</f>
        <v>100</v>
      </c>
      <c r="T20" s="713" t="s">
        <v>17</v>
      </c>
      <c r="U20" s="714">
        <f>H20</f>
        <v>100</v>
      </c>
      <c r="V20" s="713" t="s">
        <v>17</v>
      </c>
      <c r="W20" s="714">
        <f>J20</f>
        <v>100</v>
      </c>
      <c r="X20" s="1538"/>
      <c r="Y20" s="3284"/>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6"/>
      <c r="M21" s="2940"/>
      <c r="N21" s="2940"/>
      <c r="O21" s="2940"/>
      <c r="P21" s="3284"/>
      <c r="Q21" s="1535"/>
      <c r="R21" s="713"/>
      <c r="S21" s="714"/>
      <c r="T21" s="713"/>
      <c r="U21" s="714"/>
      <c r="V21" s="713"/>
      <c r="W21" s="714"/>
      <c r="X21" s="1538"/>
      <c r="Y21" s="3284"/>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284"/>
      <c r="Q22" s="1535" t="str">
        <f>B22</f>
        <v>楼层</v>
      </c>
      <c r="R22" s="713" t="s">
        <v>17</v>
      </c>
      <c r="S22" s="714">
        <f>F22</f>
        <v>100</v>
      </c>
      <c r="T22" s="713" t="s">
        <v>17</v>
      </c>
      <c r="U22" s="714">
        <f>H22</f>
        <v>100</v>
      </c>
      <c r="V22" s="713" t="s">
        <v>17</v>
      </c>
      <c r="W22" s="714">
        <f>J22</f>
        <v>100</v>
      </c>
      <c r="X22" s="1538"/>
      <c r="Y22" s="3284"/>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284"/>
      <c r="Q23" s="1535">
        <f>B23</f>
        <v>111</v>
      </c>
      <c r="R23" s="713" t="s">
        <v>17</v>
      </c>
      <c r="S23" s="714">
        <f>F23</f>
        <v>100</v>
      </c>
      <c r="T23" s="713" t="s">
        <v>17</v>
      </c>
      <c r="U23" s="714">
        <f>H23</f>
        <v>100</v>
      </c>
      <c r="V23" s="713" t="s">
        <v>17</v>
      </c>
      <c r="W23" s="714">
        <f>J23</f>
        <v>100</v>
      </c>
      <c r="X23" s="1538"/>
      <c r="Y23" s="3284"/>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284"/>
      <c r="Q24" s="1535">
        <f t="shared" ref="Q24:Q36" si="11">B24</f>
        <v>111</v>
      </c>
      <c r="R24" s="713" t="s">
        <v>17</v>
      </c>
      <c r="S24" s="714">
        <f>F24</f>
        <v>100</v>
      </c>
      <c r="T24" s="713" t="s">
        <v>17</v>
      </c>
      <c r="U24" s="714">
        <f>H24</f>
        <v>100</v>
      </c>
      <c r="V24" s="713" t="s">
        <v>17</v>
      </c>
      <c r="W24" s="714">
        <f>J24</f>
        <v>100</v>
      </c>
      <c r="X24" s="1538"/>
      <c r="Y24" s="3284"/>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284"/>
      <c r="Q25" s="1526">
        <f t="shared" si="11"/>
        <v>111</v>
      </c>
      <c r="R25" s="709" t="s">
        <v>17</v>
      </c>
      <c r="S25" s="710">
        <f>F25</f>
        <v>100</v>
      </c>
      <c r="T25" s="709" t="s">
        <v>17</v>
      </c>
      <c r="U25" s="710">
        <f>H25</f>
        <v>100</v>
      </c>
      <c r="V25" s="709" t="s">
        <v>17</v>
      </c>
      <c r="W25" s="710">
        <f>J25</f>
        <v>100</v>
      </c>
      <c r="X25" s="711"/>
      <c r="Y25" s="3284"/>
      <c r="Z25" s="55">
        <f>Q25</f>
        <v>111</v>
      </c>
      <c r="AA25" s="1536">
        <f>D25/F25</f>
        <v>1</v>
      </c>
      <c r="AB25" s="1536">
        <f>D25/H25</f>
        <v>1</v>
      </c>
      <c r="AC25" s="1536">
        <f>D25/J25</f>
        <v>1</v>
      </c>
    </row>
    <row r="26" spans="1:29" ht="28.5">
      <c r="A26" s="607" t="s">
        <v>2381</v>
      </c>
      <c r="B26" s="66" t="s">
        <v>2530</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0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285"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285"/>
      <c r="Q27" s="715" t="str">
        <f t="shared" si="11"/>
        <v>项目停车位配比</v>
      </c>
      <c r="R27" s="716" t="s">
        <v>17</v>
      </c>
      <c r="S27" s="717">
        <f t="shared" si="12"/>
        <v>100</v>
      </c>
      <c r="T27" s="716" t="s">
        <v>17</v>
      </c>
      <c r="U27" s="717">
        <f t="shared" si="13"/>
        <v>100</v>
      </c>
      <c r="V27" s="716" t="s">
        <v>17</v>
      </c>
      <c r="W27" s="717">
        <f t="shared" si="14"/>
        <v>100</v>
      </c>
      <c r="X27" s="718"/>
      <c r="Y27" s="3285"/>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285"/>
      <c r="Q28" s="1535" t="str">
        <f t="shared" si="11"/>
        <v>公共部分装修</v>
      </c>
      <c r="R28" s="713" t="s">
        <v>17</v>
      </c>
      <c r="S28" s="714">
        <f t="shared" si="12"/>
        <v>100</v>
      </c>
      <c r="T28" s="713" t="s">
        <v>17</v>
      </c>
      <c r="U28" s="714">
        <f t="shared" si="13"/>
        <v>100</v>
      </c>
      <c r="V28" s="713" t="s">
        <v>17</v>
      </c>
      <c r="W28" s="714">
        <f t="shared" si="14"/>
        <v>100</v>
      </c>
      <c r="X28" s="1538"/>
      <c r="Y28" s="3285"/>
      <c r="Z28" s="1539" t="str">
        <f t="shared" si="15"/>
        <v>公共部分装修</v>
      </c>
      <c r="AA28" s="1536">
        <f t="shared" si="3"/>
        <v>1</v>
      </c>
      <c r="AB28" s="1536">
        <f t="shared" si="4"/>
        <v>1</v>
      </c>
      <c r="AC28" s="1536">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285"/>
      <c r="Q29" s="1535" t="str">
        <f t="shared" si="11"/>
        <v>成新率</v>
      </c>
      <c r="R29" s="713" t="s">
        <v>17</v>
      </c>
      <c r="S29" s="714" t="e">
        <f t="shared" si="12"/>
        <v>#N/A</v>
      </c>
      <c r="T29" s="713" t="s">
        <v>17</v>
      </c>
      <c r="U29" s="714" t="e">
        <f t="shared" si="13"/>
        <v>#N/A</v>
      </c>
      <c r="V29" s="713" t="s">
        <v>17</v>
      </c>
      <c r="W29" s="714" t="e">
        <f t="shared" si="14"/>
        <v>#N/A</v>
      </c>
      <c r="X29" s="1538"/>
      <c r="Y29" s="3285"/>
      <c r="Z29" s="1539" t="str">
        <f t="shared" si="15"/>
        <v>成新率</v>
      </c>
      <c r="AA29" s="1536" t="e">
        <f t="shared" si="3"/>
        <v>#N/A</v>
      </c>
      <c r="AB29" s="1536" t="e">
        <f t="shared" si="4"/>
        <v>#N/A</v>
      </c>
      <c r="AC29" s="1536"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285"/>
      <c r="Q30" s="1535" t="str">
        <f t="shared" si="11"/>
        <v>物业等级</v>
      </c>
      <c r="R30" s="713" t="s">
        <v>17</v>
      </c>
      <c r="S30" s="714">
        <f t="shared" si="12"/>
        <v>100</v>
      </c>
      <c r="T30" s="713" t="s">
        <v>17</v>
      </c>
      <c r="U30" s="714">
        <f t="shared" si="13"/>
        <v>100</v>
      </c>
      <c r="V30" s="713" t="s">
        <v>17</v>
      </c>
      <c r="W30" s="714">
        <f t="shared" si="14"/>
        <v>100</v>
      </c>
      <c r="X30" s="1538"/>
      <c r="Y30" s="3285"/>
      <c r="Z30" s="1539" t="str">
        <f t="shared" si="15"/>
        <v>物业等级</v>
      </c>
      <c r="AA30" s="1536">
        <f t="shared" si="3"/>
        <v>1</v>
      </c>
      <c r="AB30" s="1536">
        <f t="shared" si="4"/>
        <v>1</v>
      </c>
      <c r="AC30" s="1536">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285"/>
      <c r="Q31" s="1526" t="str">
        <f t="shared" si="11"/>
        <v>停车位面积</v>
      </c>
      <c r="R31" s="709" t="s">
        <v>17</v>
      </c>
      <c r="S31" s="710" t="e">
        <f t="shared" si="12"/>
        <v>#N/A</v>
      </c>
      <c r="T31" s="709" t="s">
        <v>17</v>
      </c>
      <c r="U31" s="710" t="e">
        <f t="shared" si="13"/>
        <v>#N/A</v>
      </c>
      <c r="V31" s="709" t="s">
        <v>17</v>
      </c>
      <c r="W31" s="710" t="e">
        <f t="shared" si="14"/>
        <v>#N/A</v>
      </c>
      <c r="X31" s="711"/>
      <c r="Y31" s="3285"/>
      <c r="Z31" s="55" t="str">
        <f t="shared" si="15"/>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285" t="s">
        <v>2383</v>
      </c>
      <c r="Q32" s="1535" t="str">
        <f t="shared" si="11"/>
        <v>车位类型</v>
      </c>
      <c r="R32" s="713" t="s">
        <v>17</v>
      </c>
      <c r="S32" s="714">
        <f t="shared" si="12"/>
        <v>100</v>
      </c>
      <c r="T32" s="713" t="s">
        <v>17</v>
      </c>
      <c r="U32" s="714">
        <f t="shared" si="13"/>
        <v>100</v>
      </c>
      <c r="V32" s="713" t="s">
        <v>17</v>
      </c>
      <c r="W32" s="714">
        <f t="shared" si="14"/>
        <v>100</v>
      </c>
      <c r="X32" s="1538"/>
      <c r="Y32" s="3285"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285"/>
      <c r="Q33" s="1535" t="str">
        <f t="shared" si="11"/>
        <v>是否直接入户</v>
      </c>
      <c r="R33" s="713" t="s">
        <v>17</v>
      </c>
      <c r="S33" s="714">
        <f t="shared" si="12"/>
        <v>100</v>
      </c>
      <c r="T33" s="713" t="s">
        <v>17</v>
      </c>
      <c r="U33" s="714">
        <f t="shared" si="13"/>
        <v>100</v>
      </c>
      <c r="V33" s="713" t="s">
        <v>17</v>
      </c>
      <c r="W33" s="714">
        <f t="shared" si="14"/>
        <v>100</v>
      </c>
      <c r="X33" s="1538"/>
      <c r="Y33" s="3285"/>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285"/>
      <c r="Q34" s="1535">
        <f t="shared" si="11"/>
        <v>111</v>
      </c>
      <c r="R34" s="713" t="s">
        <v>17</v>
      </c>
      <c r="S34" s="714">
        <f t="shared" si="12"/>
        <v>100</v>
      </c>
      <c r="T34" s="713" t="s">
        <v>17</v>
      </c>
      <c r="U34" s="714">
        <f t="shared" si="13"/>
        <v>100</v>
      </c>
      <c r="V34" s="713" t="s">
        <v>17</v>
      </c>
      <c r="W34" s="714">
        <f t="shared" si="14"/>
        <v>100</v>
      </c>
      <c r="X34" s="1538"/>
      <c r="Y34" s="3285"/>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285"/>
      <c r="Q35" s="715">
        <f t="shared" si="11"/>
        <v>111</v>
      </c>
      <c r="R35" s="716" t="s">
        <v>17</v>
      </c>
      <c r="S35" s="717">
        <f t="shared" si="12"/>
        <v>100</v>
      </c>
      <c r="T35" s="716" t="s">
        <v>17</v>
      </c>
      <c r="U35" s="717">
        <f t="shared" si="13"/>
        <v>100</v>
      </c>
      <c r="V35" s="716" t="s">
        <v>17</v>
      </c>
      <c r="W35" s="717">
        <f t="shared" si="14"/>
        <v>100</v>
      </c>
      <c r="X35" s="718"/>
      <c r="Y35" s="3285"/>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285"/>
      <c r="Q36" s="1535">
        <f t="shared" si="11"/>
        <v>111</v>
      </c>
      <c r="R36" s="713" t="s">
        <v>17</v>
      </c>
      <c r="S36" s="714">
        <f t="shared" si="12"/>
        <v>100</v>
      </c>
      <c r="T36" s="713" t="s">
        <v>17</v>
      </c>
      <c r="U36" s="714">
        <f t="shared" si="13"/>
        <v>100</v>
      </c>
      <c r="V36" s="713" t="s">
        <v>17</v>
      </c>
      <c r="W36" s="714">
        <f t="shared" si="14"/>
        <v>100</v>
      </c>
      <c r="X36" s="1538"/>
      <c r="Y36" s="3285"/>
      <c r="Z36" s="1539">
        <f t="shared" si="15"/>
        <v>111</v>
      </c>
      <c r="AA36" s="1536">
        <f t="shared" si="3"/>
        <v>1</v>
      </c>
      <c r="AB36" s="1536">
        <f t="shared" si="4"/>
        <v>1</v>
      </c>
      <c r="AC36" s="1536">
        <f t="shared" si="5"/>
        <v>1</v>
      </c>
    </row>
    <row r="37" spans="1:29" ht="15">
      <c r="A37" s="437" t="s">
        <v>2538</v>
      </c>
      <c r="B37" s="2158" t="s">
        <v>2539</v>
      </c>
      <c r="C37" s="1315" t="s">
        <v>1</v>
      </c>
      <c r="D37" s="1316"/>
      <c r="E37" s="1317"/>
      <c r="F37" s="1318"/>
      <c r="G37" s="1319"/>
      <c r="H37" s="1320"/>
      <c r="I37" s="1317"/>
      <c r="J37" s="1320"/>
      <c r="K37" s="575"/>
      <c r="L37" s="2948"/>
      <c r="M37" s="2949"/>
      <c r="N37" s="2940"/>
      <c r="O37" s="2949"/>
      <c r="P37" s="3265" t="str">
        <f>A37</f>
        <v>成交单价</v>
      </c>
      <c r="Q37" s="3265"/>
      <c r="R37" s="3334">
        <f>E37</f>
        <v>0</v>
      </c>
      <c r="S37" s="3334"/>
      <c r="T37" s="3334">
        <f>G37</f>
        <v>0</v>
      </c>
      <c r="U37" s="3334"/>
      <c r="V37" s="3334">
        <f>I37</f>
        <v>0</v>
      </c>
      <c r="W37" s="3334"/>
      <c r="X37" s="698"/>
      <c r="Y37" s="720"/>
      <c r="Z37" s="698"/>
      <c r="AA37" s="698"/>
      <c r="AB37" s="698"/>
      <c r="AC37" s="698"/>
    </row>
    <row r="38" spans="1:29" ht="15.75" thickBot="1">
      <c r="A38" s="444" t="s">
        <v>2540</v>
      </c>
      <c r="B38" s="445" t="str">
        <f>B37</f>
        <v>元/车位</v>
      </c>
      <c r="C38" s="1321" t="e">
        <f>R39</f>
        <v>#DIV/0!</v>
      </c>
      <c r="D38" s="2537" t="s">
        <v>2877</v>
      </c>
      <c r="E38" s="1322" t="e">
        <f>R38</f>
        <v>#DIV/0!</v>
      </c>
      <c r="F38" s="2538"/>
      <c r="G38" s="1321" t="e">
        <f>T38</f>
        <v>#DIV/0!</v>
      </c>
      <c r="H38" s="2538"/>
      <c r="I38" s="1322" t="e">
        <f>V38</f>
        <v>#DIV/0!</v>
      </c>
      <c r="J38" s="2538"/>
      <c r="K38" s="2540">
        <f>F38+H38+J38</f>
        <v>0</v>
      </c>
      <c r="L38" s="2948"/>
      <c r="M38" s="2949"/>
      <c r="N38" s="2949"/>
      <c r="O38" s="2949"/>
      <c r="P38" s="3265" t="str">
        <f>A38</f>
        <v>比较价值（元/平方米）</v>
      </c>
      <c r="Q38" s="3265"/>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8"/>
      <c r="Y38" s="698"/>
      <c r="Z38" s="698"/>
      <c r="AA38" s="698"/>
      <c r="AB38" s="698"/>
      <c r="AC38" s="698"/>
    </row>
    <row r="39" spans="1:29" ht="15.75" thickBot="1">
      <c r="A39" s="448" t="s">
        <v>2541</v>
      </c>
      <c r="B39" s="449"/>
      <c r="C39" s="1324" t="e">
        <f>R39</f>
        <v>#DIV/0!</v>
      </c>
      <c r="D39" s="1324"/>
      <c r="E39" s="1324"/>
      <c r="F39" s="1324"/>
      <c r="G39" s="1324"/>
      <c r="H39" s="1324"/>
      <c r="I39" s="1324"/>
      <c r="J39" s="1324"/>
      <c r="K39" s="576"/>
      <c r="L39" s="2948"/>
      <c r="M39" s="2949"/>
      <c r="N39" s="2949"/>
      <c r="O39" s="2949"/>
      <c r="P39" s="3301" t="str">
        <f>A39</f>
        <v>估价对象XX用房的比较价值（楼面单价，元/平方米）</v>
      </c>
      <c r="Q39" s="3302"/>
      <c r="R39" s="3360" t="e">
        <f>IF(F1="售价",ROUND(IF(D38="简单平均",AVERAGE(R38:W38),R38*F38+T38*H38+V38*J38),0),ROUND(IF(D38="简单平均",AVERAGE(R38:V38),R38*F38+T38*H38+V38*J38),1))</f>
        <v>#DIV/0!</v>
      </c>
      <c r="S39" s="3360"/>
      <c r="T39" s="3360"/>
      <c r="U39" s="3360"/>
      <c r="V39" s="3360"/>
      <c r="W39" s="3360"/>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7" t="s">
        <v>2545</v>
      </c>
      <c r="B47" s="1057"/>
      <c r="C47" s="1070"/>
      <c r="D47" s="1070"/>
      <c r="E47" s="1070"/>
      <c r="F47" s="1328"/>
      <c r="G47" s="1328"/>
      <c r="H47" s="1070"/>
      <c r="I47" s="1070"/>
      <c r="J47" s="1070"/>
      <c r="K47" s="1071"/>
      <c r="L47" s="1072"/>
      <c r="M47" s="1070"/>
      <c r="N47" s="2993"/>
      <c r="O47" s="2993"/>
      <c r="P47" s="2982"/>
      <c r="Q47" s="2963"/>
      <c r="R47" s="2949"/>
      <c r="S47" s="2949"/>
      <c r="T47" s="2949"/>
      <c r="U47" s="2949"/>
      <c r="V47" s="2949"/>
      <c r="W47" s="2949"/>
      <c r="X47" s="2949"/>
      <c r="Y47" s="2949"/>
      <c r="Z47" s="2949"/>
      <c r="AA47" s="2949"/>
      <c r="AB47" s="2949"/>
      <c r="AC47" s="2949"/>
    </row>
    <row r="48" spans="1:29" s="464" customFormat="1" ht="15">
      <c r="A48" s="461" t="s">
        <v>2546</v>
      </c>
      <c r="B48" s="462"/>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3"/>
      <c r="Q48" s="2965"/>
      <c r="R48" s="2965"/>
      <c r="S48" s="2965"/>
      <c r="T48" s="2965"/>
      <c r="U48" s="2965"/>
      <c r="V48" s="2965"/>
      <c r="W48" s="2965"/>
      <c r="X48" s="2965"/>
      <c r="Y48" s="2965"/>
      <c r="Z48" s="2965"/>
      <c r="AA48" s="2965"/>
      <c r="AB48" s="2965"/>
      <c r="AC48" s="2965"/>
    </row>
    <row r="49" spans="1:29" s="112" customFormat="1" ht="15">
      <c r="A49" s="465"/>
      <c r="B49" s="466"/>
      <c r="C49" s="1338">
        <v>100</v>
      </c>
      <c r="D49" s="468"/>
      <c r="E49" s="468"/>
      <c r="F49" s="468"/>
      <c r="G49" s="468"/>
      <c r="H49" s="468"/>
      <c r="I49" s="468"/>
      <c r="J49" s="468"/>
      <c r="K49" s="468"/>
      <c r="L49" s="468"/>
      <c r="M49" s="469"/>
      <c r="N49" s="468"/>
      <c r="O49" s="469"/>
      <c r="P49" s="2984"/>
      <c r="Q49" s="2884"/>
      <c r="R49" s="2884"/>
      <c r="S49" s="2884"/>
      <c r="T49" s="2884"/>
      <c r="U49" s="2884"/>
      <c r="V49" s="2884"/>
      <c r="W49" s="2884"/>
      <c r="X49" s="2884"/>
      <c r="Y49" s="2884"/>
      <c r="Z49" s="2884"/>
      <c r="AA49" s="2884"/>
      <c r="AB49" s="2884"/>
      <c r="AC49" s="2884"/>
    </row>
    <row r="50" spans="1:29" s="112" customFormat="1" ht="15.75" thickBot="1">
      <c r="A50" s="471" t="s">
        <v>2403</v>
      </c>
      <c r="B50" s="472"/>
      <c r="C50" s="473"/>
      <c r="D50" s="474"/>
      <c r="E50" s="474"/>
      <c r="F50" s="474"/>
      <c r="G50" s="474"/>
      <c r="H50" s="474"/>
      <c r="I50" s="474"/>
      <c r="J50" s="474"/>
      <c r="K50" s="474"/>
      <c r="L50" s="474"/>
      <c r="M50" s="475"/>
      <c r="N50" s="474"/>
      <c r="O50" s="475"/>
      <c r="P50" s="2984"/>
      <c r="Q50" s="2963"/>
      <c r="R50" s="2884"/>
      <c r="S50" s="2884"/>
      <c r="T50" s="2884"/>
      <c r="U50" s="2884"/>
      <c r="V50" s="2884"/>
      <c r="W50" s="2884"/>
      <c r="X50" s="2884"/>
      <c r="Y50" s="2884"/>
      <c r="Z50" s="2884"/>
      <c r="AA50" s="2884"/>
      <c r="AB50" s="2884"/>
      <c r="AC50" s="2884"/>
    </row>
    <row r="51" spans="1:29" s="112" customFormat="1" ht="15">
      <c r="A51" s="477" t="s">
        <v>2368</v>
      </c>
      <c r="B51" s="466"/>
      <c r="C51" s="478" t="s">
        <v>2470</v>
      </c>
      <c r="D51" s="479"/>
      <c r="E51" s="479"/>
      <c r="F51" s="479"/>
      <c r="G51" s="479"/>
      <c r="H51" s="479"/>
      <c r="I51" s="479"/>
      <c r="J51" s="479"/>
      <c r="K51" s="479"/>
      <c r="L51" s="480"/>
      <c r="M51" s="481"/>
      <c r="N51" s="2976"/>
      <c r="O51" s="2976"/>
      <c r="P51" s="2985"/>
      <c r="Q51" s="2963"/>
      <c r="R51" s="2884"/>
      <c r="S51" s="2884"/>
      <c r="T51" s="2884"/>
      <c r="U51" s="2884"/>
      <c r="V51" s="2884"/>
      <c r="W51" s="2884"/>
      <c r="X51" s="2884"/>
      <c r="Y51" s="2884"/>
      <c r="Z51" s="2884"/>
      <c r="AA51" s="2884"/>
      <c r="AB51" s="2884"/>
      <c r="AC51" s="2884"/>
    </row>
    <row r="52" spans="1:29" s="112" customFormat="1" ht="15.75" thickBot="1">
      <c r="A52" s="477"/>
      <c r="B52" s="466"/>
      <c r="C52" s="594">
        <v>100</v>
      </c>
      <c r="D52" s="468"/>
      <c r="E52" s="468"/>
      <c r="F52" s="468"/>
      <c r="G52" s="468"/>
      <c r="H52" s="468"/>
      <c r="I52" s="468"/>
      <c r="J52" s="468"/>
      <c r="K52" s="468"/>
      <c r="L52" s="468"/>
      <c r="M52" s="470"/>
      <c r="N52" s="2976"/>
      <c r="O52" s="2976"/>
      <c r="P52" s="2984"/>
      <c r="Q52" s="2963"/>
      <c r="R52" s="2884"/>
      <c r="S52" s="2884"/>
      <c r="T52" s="2884"/>
      <c r="U52" s="2884"/>
      <c r="V52" s="2884"/>
      <c r="W52" s="2884"/>
      <c r="X52" s="2884"/>
      <c r="Y52" s="2884"/>
      <c r="Z52" s="2884"/>
      <c r="AA52" s="2884"/>
      <c r="AB52" s="2884"/>
      <c r="AC52" s="2884"/>
    </row>
    <row r="53" spans="1:29">
      <c r="A53" s="483" t="s">
        <v>2406</v>
      </c>
      <c r="B53" s="484" t="s">
        <v>2372</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2421</v>
      </c>
      <c r="C65" s="534" t="s">
        <v>2415</v>
      </c>
      <c r="D65" s="534" t="s">
        <v>2416</v>
      </c>
      <c r="E65" s="534" t="s">
        <v>2417</v>
      </c>
      <c r="F65" s="534" t="s">
        <v>2418</v>
      </c>
      <c r="G65" s="534" t="s">
        <v>2419</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2507</v>
      </c>
      <c r="C67" s="615" t="s">
        <v>2493</v>
      </c>
      <c r="D67" s="615" t="s">
        <v>2494</v>
      </c>
      <c r="E67" s="615" t="s">
        <v>2495</v>
      </c>
      <c r="F67" s="615" t="s">
        <v>2496</v>
      </c>
      <c r="G67" s="615" t="s">
        <v>2497</v>
      </c>
      <c r="H67" s="495"/>
      <c r="I67" s="495"/>
      <c r="J67" s="495"/>
      <c r="K67" s="495"/>
      <c r="L67" s="495"/>
      <c r="M67" s="1290"/>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2427</v>
      </c>
      <c r="C69" s="534" t="s">
        <v>2415</v>
      </c>
      <c r="D69" s="534" t="s">
        <v>2416</v>
      </c>
      <c r="E69" s="534" t="s">
        <v>2417</v>
      </c>
      <c r="F69" s="534" t="s">
        <v>2418</v>
      </c>
      <c r="G69" s="534" t="s">
        <v>2419</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2547</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2" customFormat="1" ht="15.75" thickTop="1">
      <c r="A73" s="535"/>
      <c r="B73" s="494">
        <f>B23</f>
        <v>111</v>
      </c>
      <c r="C73" s="505"/>
      <c r="D73" s="505"/>
      <c r="E73" s="505"/>
      <c r="F73" s="505"/>
      <c r="G73" s="510"/>
      <c r="H73" s="510"/>
      <c r="I73" s="510"/>
      <c r="J73" s="510"/>
      <c r="K73" s="510"/>
      <c r="L73" s="536"/>
      <c r="M73" s="537"/>
      <c r="N73" s="2976"/>
      <c r="O73" s="2976"/>
      <c r="P73" s="2986"/>
      <c r="Q73" s="2963"/>
      <c r="R73" s="2884"/>
      <c r="S73" s="2884"/>
      <c r="T73" s="2884"/>
      <c r="U73" s="2884"/>
      <c r="V73" s="2884"/>
      <c r="W73" s="2884"/>
      <c r="X73" s="2884"/>
      <c r="Y73" s="2884"/>
      <c r="Z73" s="2884"/>
      <c r="AA73" s="2884"/>
      <c r="AB73" s="2884"/>
      <c r="AC73" s="2884"/>
    </row>
    <row r="74" spans="1:29" s="112" customFormat="1" ht="15.75" thickBot="1">
      <c r="A74" s="535"/>
      <c r="B74" s="499"/>
      <c r="C74" s="516"/>
      <c r="D74" s="492"/>
      <c r="E74" s="492"/>
      <c r="F74" s="492"/>
      <c r="G74" s="492"/>
      <c r="H74" s="492"/>
      <c r="I74" s="492"/>
      <c r="J74" s="492"/>
      <c r="K74" s="492"/>
      <c r="L74" s="492"/>
      <c r="M74" s="493"/>
      <c r="N74" s="2978"/>
      <c r="O74" s="2978"/>
      <c r="P74" s="2986"/>
      <c r="Q74" s="2963"/>
      <c r="R74" s="2884"/>
      <c r="S74" s="2884"/>
      <c r="T74" s="2884"/>
      <c r="U74" s="2884"/>
      <c r="V74" s="2884"/>
      <c r="W74" s="2884"/>
      <c r="X74" s="2884"/>
      <c r="Y74" s="2884"/>
      <c r="Z74" s="2884"/>
      <c r="AA74" s="2884"/>
      <c r="AB74" s="2884"/>
      <c r="AC74" s="2884"/>
    </row>
    <row r="75" spans="1:29" s="112" customFormat="1" ht="15.75" thickTop="1">
      <c r="A75" s="535"/>
      <c r="B75" s="494">
        <f>B24</f>
        <v>111</v>
      </c>
      <c r="C75" s="505"/>
      <c r="D75" s="505"/>
      <c r="E75" s="505"/>
      <c r="F75" s="505"/>
      <c r="G75" s="510"/>
      <c r="H75" s="510"/>
      <c r="I75" s="510"/>
      <c r="J75" s="510"/>
      <c r="K75" s="510"/>
      <c r="L75" s="510"/>
      <c r="M75" s="537"/>
      <c r="N75" s="2976"/>
      <c r="O75" s="2976"/>
      <c r="P75" s="2986"/>
      <c r="Q75" s="2963"/>
      <c r="R75" s="2884"/>
      <c r="S75" s="2884"/>
      <c r="T75" s="2884"/>
      <c r="U75" s="2884"/>
      <c r="V75" s="2884"/>
      <c r="W75" s="2884"/>
      <c r="X75" s="2884"/>
      <c r="Y75" s="2884"/>
      <c r="Z75" s="2884"/>
      <c r="AA75" s="2884"/>
      <c r="AB75" s="2884"/>
      <c r="AC75" s="2884"/>
    </row>
    <row r="76" spans="1:29" s="112" customFormat="1" ht="15.75" thickBot="1">
      <c r="A76" s="535"/>
      <c r="B76" s="499"/>
      <c r="C76" s="516"/>
      <c r="D76" s="492"/>
      <c r="E76" s="492"/>
      <c r="F76" s="492"/>
      <c r="G76" s="492"/>
      <c r="H76" s="492"/>
      <c r="I76" s="492"/>
      <c r="J76" s="492"/>
      <c r="K76" s="492"/>
      <c r="L76" s="492"/>
      <c r="M76" s="493"/>
      <c r="N76" s="2978"/>
      <c r="O76" s="2978"/>
      <c r="P76" s="2986"/>
      <c r="Q76" s="2963"/>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2381</v>
      </c>
      <c r="B79" s="484" t="s">
        <v>2548</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2549</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2434</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2551</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2553</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2554</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2463</v>
      </c>
      <c r="B4" s="361"/>
      <c r="C4" s="3262" t="s">
        <v>2464</v>
      </c>
      <c r="D4" s="3289"/>
      <c r="E4" s="3290" t="s">
        <v>2465</v>
      </c>
      <c r="F4" s="3291"/>
      <c r="G4" s="3262" t="s">
        <v>2466</v>
      </c>
      <c r="H4" s="3289"/>
      <c r="I4" s="3262" t="s">
        <v>2467</v>
      </c>
      <c r="J4" s="3289"/>
      <c r="K4" s="566" t="s">
        <v>2468</v>
      </c>
      <c r="L4" s="2939"/>
      <c r="M4" s="2940"/>
      <c r="N4" s="2940"/>
      <c r="O4" s="2940"/>
      <c r="P4" s="3292" t="s">
        <v>2469</v>
      </c>
      <c r="Q4" s="3293"/>
      <c r="R4" s="3269" t="s">
        <v>2465</v>
      </c>
      <c r="S4" s="3270"/>
      <c r="T4" s="3269" t="s">
        <v>2466</v>
      </c>
      <c r="U4" s="3270"/>
      <c r="V4" s="3282" t="s">
        <v>2467</v>
      </c>
      <c r="W4" s="3282"/>
      <c r="X4" s="1538"/>
      <c r="Y4" s="3269" t="s">
        <v>2469</v>
      </c>
      <c r="Z4" s="3270"/>
      <c r="AA4" s="3286" t="s">
        <v>2465</v>
      </c>
      <c r="AB4" s="3287" t="s">
        <v>2466</v>
      </c>
      <c r="AC4" s="3286" t="s">
        <v>2467</v>
      </c>
    </row>
    <row r="5" spans="1:29" ht="15">
      <c r="A5" s="363"/>
      <c r="B5" s="364"/>
      <c r="C5" s="3273" t="s">
        <v>2360</v>
      </c>
      <c r="D5" s="3274"/>
      <c r="E5" s="3298" t="s">
        <v>2361</v>
      </c>
      <c r="F5" s="3299"/>
      <c r="G5" s="3273" t="s">
        <v>2362</v>
      </c>
      <c r="H5" s="3274"/>
      <c r="I5" s="3273" t="s">
        <v>2363</v>
      </c>
      <c r="J5" s="3274"/>
      <c r="K5" s="566"/>
      <c r="L5" s="2939"/>
      <c r="M5" s="2940"/>
      <c r="N5" s="2940"/>
      <c r="O5" s="2940"/>
      <c r="P5" s="3294"/>
      <c r="Q5" s="3295"/>
      <c r="R5" s="3271"/>
      <c r="S5" s="3272"/>
      <c r="T5" s="3271"/>
      <c r="U5" s="3272"/>
      <c r="V5" s="3282"/>
      <c r="W5" s="3282"/>
      <c r="X5" s="1538"/>
      <c r="Y5" s="3271"/>
      <c r="Z5" s="3272"/>
      <c r="AA5" s="3287"/>
      <c r="AB5" s="3287"/>
      <c r="AC5" s="3287"/>
    </row>
    <row r="6" spans="1:29" ht="15.75" thickBot="1">
      <c r="A6" s="365"/>
      <c r="B6" s="366"/>
      <c r="C6" s="3341" t="s">
        <v>2364</v>
      </c>
      <c r="D6" s="3342"/>
      <c r="E6" s="3343" t="s">
        <v>2364</v>
      </c>
      <c r="F6" s="3344"/>
      <c r="G6" s="3341" t="s">
        <v>2364</v>
      </c>
      <c r="H6" s="3342"/>
      <c r="I6" s="3341" t="s">
        <v>2364</v>
      </c>
      <c r="J6" s="3342"/>
      <c r="K6" s="566" t="s">
        <v>2365</v>
      </c>
      <c r="L6" s="2939"/>
      <c r="M6" s="2940"/>
      <c r="N6" s="2940"/>
      <c r="O6" s="2940"/>
      <c r="P6" s="3296"/>
      <c r="Q6" s="3297"/>
      <c r="R6" s="3271"/>
      <c r="S6" s="3272"/>
      <c r="T6" s="3280"/>
      <c r="U6" s="3281"/>
      <c r="V6" s="3282"/>
      <c r="W6" s="3282"/>
      <c r="X6" s="1538"/>
      <c r="Y6" s="3280"/>
      <c r="Z6" s="3281"/>
      <c r="AA6" s="3288"/>
      <c r="AB6" s="3288"/>
      <c r="AC6" s="3288"/>
    </row>
    <row r="7" spans="1:29" s="112" customFormat="1" ht="15.75" thickBot="1">
      <c r="A7" s="367" t="s">
        <v>2366</v>
      </c>
      <c r="B7" s="368"/>
      <c r="C7" s="369">
        <f>'数据-取费表'!B2</f>
        <v>44332</v>
      </c>
      <c r="D7" s="370">
        <v>100</v>
      </c>
      <c r="E7" s="371"/>
      <c r="F7" s="372">
        <f>SUMIF(46:46,YEAR(E7)&amp;"-"&amp;MONTH(E7),47:47)</f>
        <v>0</v>
      </c>
      <c r="G7" s="2159"/>
      <c r="H7" s="370">
        <f>SUMIF(46:46,YEAR(G7)&amp;"-"&amp;MONTH(G7),47:47)</f>
        <v>0</v>
      </c>
      <c r="I7" s="371"/>
      <c r="J7" s="370">
        <f>SUMIF(46:46,YEAR(I7)&amp;"-"&amp;MONTH(I7),47:47)</f>
        <v>0</v>
      </c>
      <c r="K7" s="567"/>
      <c r="L7" s="2941"/>
      <c r="M7" s="2942"/>
      <c r="N7" s="2942"/>
      <c r="O7" s="2942"/>
      <c r="P7" s="3267" t="s">
        <v>2367</v>
      </c>
      <c r="Q7" s="3277"/>
      <c r="R7" s="709" t="s">
        <v>17</v>
      </c>
      <c r="S7" s="710">
        <f t="shared" ref="S7:S14" si="0">F7</f>
        <v>0</v>
      </c>
      <c r="T7" s="709" t="s">
        <v>17</v>
      </c>
      <c r="U7" s="710">
        <f t="shared" ref="U7:U14" si="1">H7</f>
        <v>0</v>
      </c>
      <c r="V7" s="709" t="s">
        <v>17</v>
      </c>
      <c r="W7" s="710">
        <f t="shared" ref="W7:W14" si="2">J7</f>
        <v>0</v>
      </c>
      <c r="X7" s="711"/>
      <c r="Y7" s="3267" t="s">
        <v>2367</v>
      </c>
      <c r="Z7" s="3268"/>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267" t="s">
        <v>2370</v>
      </c>
      <c r="Q8" s="3268"/>
      <c r="R8" s="709" t="s">
        <v>17</v>
      </c>
      <c r="S8" s="710">
        <f t="shared" si="0"/>
        <v>0</v>
      </c>
      <c r="T8" s="709" t="s">
        <v>17</v>
      </c>
      <c r="U8" s="710">
        <f t="shared" si="1"/>
        <v>0</v>
      </c>
      <c r="V8" s="709" t="s">
        <v>17</v>
      </c>
      <c r="W8" s="710">
        <f t="shared" si="2"/>
        <v>0</v>
      </c>
      <c r="X8" s="711"/>
      <c r="Y8" s="3267" t="s">
        <v>2370</v>
      </c>
      <c r="Z8" s="3268"/>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265" t="s">
        <v>2373</v>
      </c>
      <c r="Q9" s="1526" t="str">
        <f t="shared" ref="Q9:Q14" si="6">B9</f>
        <v>用途</v>
      </c>
      <c r="R9" s="709" t="s">
        <v>17</v>
      </c>
      <c r="S9" s="710">
        <f t="shared" si="0"/>
        <v>100</v>
      </c>
      <c r="T9" s="709" t="s">
        <v>17</v>
      </c>
      <c r="U9" s="710">
        <f t="shared" si="1"/>
        <v>100</v>
      </c>
      <c r="V9" s="709" t="s">
        <v>17</v>
      </c>
      <c r="W9" s="710">
        <f t="shared" si="2"/>
        <v>100</v>
      </c>
      <c r="X9" s="711"/>
      <c r="Y9" s="3163"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265"/>
      <c r="Q10" s="1526" t="str">
        <f t="shared" si="6"/>
        <v>土地使用年限（年）</v>
      </c>
      <c r="R10" s="709" t="s">
        <v>17</v>
      </c>
      <c r="S10" s="710">
        <f t="shared" si="0"/>
        <v>100</v>
      </c>
      <c r="T10" s="709" t="s">
        <v>17</v>
      </c>
      <c r="U10" s="710">
        <f t="shared" si="1"/>
        <v>100</v>
      </c>
      <c r="V10" s="709" t="s">
        <v>17</v>
      </c>
      <c r="W10" s="710">
        <f t="shared" si="2"/>
        <v>100</v>
      </c>
      <c r="X10" s="711"/>
      <c r="Y10" s="3163"/>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265"/>
      <c r="Q11" s="1526">
        <f t="shared" si="6"/>
        <v>111</v>
      </c>
      <c r="R11" s="709" t="s">
        <v>17</v>
      </c>
      <c r="S11" s="710">
        <f t="shared" si="0"/>
        <v>100</v>
      </c>
      <c r="T11" s="709" t="s">
        <v>17</v>
      </c>
      <c r="U11" s="710">
        <f t="shared" si="1"/>
        <v>100</v>
      </c>
      <c r="V11" s="709" t="s">
        <v>17</v>
      </c>
      <c r="W11" s="710">
        <f t="shared" si="2"/>
        <v>100</v>
      </c>
      <c r="X11" s="711"/>
      <c r="Y11" s="3163"/>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265"/>
      <c r="Q12" s="1526">
        <f t="shared" si="6"/>
        <v>111</v>
      </c>
      <c r="R12" s="709" t="s">
        <v>17</v>
      </c>
      <c r="S12" s="710">
        <f t="shared" si="0"/>
        <v>100</v>
      </c>
      <c r="T12" s="709" t="s">
        <v>17</v>
      </c>
      <c r="U12" s="710">
        <f t="shared" si="1"/>
        <v>100</v>
      </c>
      <c r="V12" s="709" t="s">
        <v>17</v>
      </c>
      <c r="W12" s="710">
        <f t="shared" si="2"/>
        <v>100</v>
      </c>
      <c r="X12" s="711"/>
      <c r="Y12" s="3163"/>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46"/>
      <c r="M13" s="2940"/>
      <c r="N13" s="2940"/>
      <c r="O13" s="2998"/>
      <c r="P13" s="3265"/>
      <c r="Q13" s="1526">
        <f t="shared" si="6"/>
        <v>111</v>
      </c>
      <c r="R13" s="709" t="s">
        <v>17</v>
      </c>
      <c r="S13" s="710">
        <f t="shared" si="0"/>
        <v>100</v>
      </c>
      <c r="T13" s="709" t="s">
        <v>17</v>
      </c>
      <c r="U13" s="710">
        <f t="shared" si="1"/>
        <v>100</v>
      </c>
      <c r="V13" s="709" t="s">
        <v>17</v>
      </c>
      <c r="W13" s="710">
        <f t="shared" si="2"/>
        <v>100</v>
      </c>
      <c r="X13" s="711"/>
      <c r="Y13" s="3163"/>
      <c r="Z13" s="55">
        <f t="shared" si="7"/>
        <v>111</v>
      </c>
      <c r="AA13" s="712">
        <f t="shared" si="3"/>
        <v>1</v>
      </c>
      <c r="AB13" s="712">
        <f t="shared" si="4"/>
        <v>1</v>
      </c>
      <c r="AC13" s="712">
        <f t="shared" si="5"/>
        <v>1</v>
      </c>
    </row>
    <row r="14" spans="1:29" ht="85.5">
      <c r="A14" s="398" t="s">
        <v>2377</v>
      </c>
      <c r="B14" s="65" t="s">
        <v>2527</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283" t="s">
        <v>2378</v>
      </c>
      <c r="Q14" s="1535" t="str">
        <f t="shared" si="6"/>
        <v>交通便捷度</v>
      </c>
      <c r="R14" s="713" t="s">
        <v>17</v>
      </c>
      <c r="S14" s="714">
        <f t="shared" si="0"/>
        <v>100</v>
      </c>
      <c r="T14" s="713" t="s">
        <v>17</v>
      </c>
      <c r="U14" s="714">
        <f t="shared" si="1"/>
        <v>100</v>
      </c>
      <c r="V14" s="713" t="s">
        <v>17</v>
      </c>
      <c r="W14" s="714">
        <f t="shared" si="2"/>
        <v>100</v>
      </c>
      <c r="X14" s="1538"/>
      <c r="Y14" s="3283"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6"/>
      <c r="M15" s="2940"/>
      <c r="N15" s="2940"/>
      <c r="O15" s="2998"/>
      <c r="P15" s="3284"/>
      <c r="Q15" s="1535"/>
      <c r="R15" s="713"/>
      <c r="S15" s="714"/>
      <c r="T15" s="713"/>
      <c r="U15" s="714"/>
      <c r="V15" s="713"/>
      <c r="W15" s="714"/>
      <c r="X15" s="1538"/>
      <c r="Y15" s="3284"/>
      <c r="Z15" s="1539"/>
      <c r="AA15" s="1536">
        <v>1</v>
      </c>
      <c r="AB15" s="1536">
        <v>1</v>
      </c>
      <c r="AC15" s="1536">
        <v>1</v>
      </c>
    </row>
    <row r="16" spans="1:29" ht="42.75">
      <c r="A16" s="386"/>
      <c r="B16" s="409" t="s">
        <v>2506</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284"/>
      <c r="Q16" s="1535" t="str">
        <f>B16</f>
        <v>公共配套设施</v>
      </c>
      <c r="R16" s="713" t="s">
        <v>17</v>
      </c>
      <c r="S16" s="714">
        <f>F16</f>
        <v>100</v>
      </c>
      <c r="T16" s="713" t="s">
        <v>17</v>
      </c>
      <c r="U16" s="714">
        <f>H16</f>
        <v>100</v>
      </c>
      <c r="V16" s="713" t="s">
        <v>17</v>
      </c>
      <c r="W16" s="714">
        <f>J16</f>
        <v>100</v>
      </c>
      <c r="X16" s="1538"/>
      <c r="Y16" s="3284"/>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46"/>
      <c r="M17" s="2940"/>
      <c r="N17" s="2940"/>
      <c r="O17" s="2998"/>
      <c r="P17" s="3284"/>
      <c r="Q17" s="1535"/>
      <c r="R17" s="713"/>
      <c r="S17" s="714"/>
      <c r="T17" s="713"/>
      <c r="U17" s="714"/>
      <c r="V17" s="713"/>
      <c r="W17" s="714"/>
      <c r="X17" s="1538"/>
      <c r="Y17" s="3284"/>
      <c r="Z17" s="1539"/>
      <c r="AA17" s="1536">
        <v>1</v>
      </c>
      <c r="AB17" s="1536">
        <v>1</v>
      </c>
      <c r="AC17" s="1536">
        <v>1</v>
      </c>
    </row>
    <row r="18" spans="1:29" ht="28.5">
      <c r="A18" s="386"/>
      <c r="B18" s="1292" t="s">
        <v>2507</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284"/>
      <c r="Q18" s="1535" t="str">
        <f>B18</f>
        <v>基础设施水平</v>
      </c>
      <c r="R18" s="713" t="s">
        <v>17</v>
      </c>
      <c r="S18" s="714">
        <f>F18</f>
        <v>100</v>
      </c>
      <c r="T18" s="713" t="s">
        <v>17</v>
      </c>
      <c r="U18" s="714">
        <f>H18</f>
        <v>100</v>
      </c>
      <c r="V18" s="713" t="s">
        <v>17</v>
      </c>
      <c r="W18" s="714">
        <f>J18</f>
        <v>100</v>
      </c>
      <c r="X18" s="1538"/>
      <c r="Y18" s="3284"/>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46"/>
      <c r="M19" s="2940"/>
      <c r="N19" s="2940"/>
      <c r="O19" s="2998"/>
      <c r="P19" s="3284"/>
      <c r="Q19" s="1535"/>
      <c r="R19" s="713"/>
      <c r="S19" s="714"/>
      <c r="T19" s="713"/>
      <c r="U19" s="714"/>
      <c r="V19" s="713"/>
      <c r="W19" s="714"/>
      <c r="X19" s="1538"/>
      <c r="Y19" s="3284"/>
      <c r="Z19" s="1539"/>
      <c r="AA19" s="1536">
        <v>1</v>
      </c>
      <c r="AB19" s="1536">
        <v>1</v>
      </c>
      <c r="AC19" s="1536">
        <v>1</v>
      </c>
    </row>
    <row r="20" spans="1:29" ht="57">
      <c r="A20" s="386"/>
      <c r="B20" s="409" t="s">
        <v>2528</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284"/>
      <c r="Q20" s="1535" t="str">
        <f>B20</f>
        <v>自然及人文环境</v>
      </c>
      <c r="R20" s="713" t="s">
        <v>17</v>
      </c>
      <c r="S20" s="714">
        <f>F20</f>
        <v>100</v>
      </c>
      <c r="T20" s="713" t="s">
        <v>17</v>
      </c>
      <c r="U20" s="714">
        <f>H20</f>
        <v>100</v>
      </c>
      <c r="V20" s="713" t="s">
        <v>17</v>
      </c>
      <c r="W20" s="714">
        <f>J20</f>
        <v>100</v>
      </c>
      <c r="X20" s="1538"/>
      <c r="Y20" s="3284"/>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6"/>
      <c r="M21" s="2940"/>
      <c r="N21" s="2940"/>
      <c r="O21" s="2998"/>
      <c r="P21" s="3284"/>
      <c r="Q21" s="1535"/>
      <c r="R21" s="713"/>
      <c r="S21" s="714"/>
      <c r="T21" s="713"/>
      <c r="U21" s="714"/>
      <c r="V21" s="713"/>
      <c r="W21" s="714"/>
      <c r="X21" s="1538"/>
      <c r="Y21" s="3284"/>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284"/>
      <c r="Q22" s="1535" t="str">
        <f>B22</f>
        <v>楼层</v>
      </c>
      <c r="R22" s="713" t="s">
        <v>17</v>
      </c>
      <c r="S22" s="714">
        <f>F22</f>
        <v>100</v>
      </c>
      <c r="T22" s="713" t="s">
        <v>17</v>
      </c>
      <c r="U22" s="714">
        <f>H22</f>
        <v>100</v>
      </c>
      <c r="V22" s="713" t="s">
        <v>17</v>
      </c>
      <c r="W22" s="714">
        <f>J22</f>
        <v>100</v>
      </c>
      <c r="X22" s="1538"/>
      <c r="Y22" s="3284"/>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284"/>
      <c r="Q23" s="1535">
        <f>B23</f>
        <v>111</v>
      </c>
      <c r="R23" s="713" t="s">
        <v>17</v>
      </c>
      <c r="S23" s="714">
        <f>F23</f>
        <v>100</v>
      </c>
      <c r="T23" s="713" t="s">
        <v>17</v>
      </c>
      <c r="U23" s="714">
        <f>H23</f>
        <v>100</v>
      </c>
      <c r="V23" s="713" t="s">
        <v>17</v>
      </c>
      <c r="W23" s="714">
        <f>J23</f>
        <v>100</v>
      </c>
      <c r="X23" s="1538"/>
      <c r="Y23" s="3284"/>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284"/>
      <c r="Q24" s="1535">
        <f t="shared" ref="Q24:Q34" si="11">B24</f>
        <v>111</v>
      </c>
      <c r="R24" s="713" t="s">
        <v>17</v>
      </c>
      <c r="S24" s="714">
        <f>F24</f>
        <v>100</v>
      </c>
      <c r="T24" s="713" t="s">
        <v>17</v>
      </c>
      <c r="U24" s="714">
        <f>H24</f>
        <v>100</v>
      </c>
      <c r="V24" s="713" t="s">
        <v>17</v>
      </c>
      <c r="W24" s="714">
        <f>J24</f>
        <v>100</v>
      </c>
      <c r="X24" s="1538"/>
      <c r="Y24" s="3284"/>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1"/>
      <c r="M25" s="2942"/>
      <c r="N25" s="2942"/>
      <c r="O25" s="2996"/>
      <c r="P25" s="3284"/>
      <c r="Q25" s="1526">
        <f t="shared" si="11"/>
        <v>111</v>
      </c>
      <c r="R25" s="709" t="s">
        <v>17</v>
      </c>
      <c r="S25" s="710">
        <f>F25</f>
        <v>100</v>
      </c>
      <c r="T25" s="709" t="s">
        <v>17</v>
      </c>
      <c r="U25" s="710">
        <f>H25</f>
        <v>100</v>
      </c>
      <c r="V25" s="709" t="s">
        <v>17</v>
      </c>
      <c r="W25" s="710">
        <f>J25</f>
        <v>100</v>
      </c>
      <c r="X25" s="711"/>
      <c r="Y25" s="3284"/>
      <c r="Z25" s="55">
        <f>Q25</f>
        <v>111</v>
      </c>
      <c r="AA25" s="1536">
        <f>D25/F25</f>
        <v>1</v>
      </c>
      <c r="AB25" s="1536">
        <f>D25/H25</f>
        <v>1</v>
      </c>
      <c r="AC25" s="1536">
        <f>D25/J25</f>
        <v>1</v>
      </c>
    </row>
    <row r="26" spans="1:29" ht="28.5">
      <c r="A26" s="424" t="s">
        <v>2381</v>
      </c>
      <c r="B26" s="67" t="s">
        <v>2532</v>
      </c>
      <c r="C26" s="2152"/>
      <c r="D26" s="425">
        <v>100</v>
      </c>
      <c r="E26" s="2152"/>
      <c r="F26" s="622">
        <f>SUMIF(77:77,E26,78:78)-SUMIF(77:77,C26,78:78)+100</f>
        <v>100</v>
      </c>
      <c r="G26" s="2152"/>
      <c r="H26" s="425">
        <f>SUMIF(77:77,G26,78:78)-SUMIF(77:77,C26,78:78)+100</f>
        <v>100</v>
      </c>
      <c r="I26" s="2152"/>
      <c r="J26" s="425">
        <f>SUMIF(77:77,I26,78:78)-SUMIF(77:77,C26,78:78)+100</f>
        <v>100</v>
      </c>
      <c r="K26" s="568"/>
      <c r="L26" s="2946"/>
      <c r="M26" s="2940"/>
      <c r="N26" s="2940"/>
      <c r="O26" s="2998"/>
      <c r="P26" s="330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285"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285"/>
      <c r="Q27" s="715" t="str">
        <f t="shared" si="11"/>
        <v>成新率</v>
      </c>
      <c r="R27" s="716" t="s">
        <v>17</v>
      </c>
      <c r="S27" s="717" t="e">
        <f t="shared" si="12"/>
        <v>#N/A</v>
      </c>
      <c r="T27" s="716" t="s">
        <v>17</v>
      </c>
      <c r="U27" s="717" t="e">
        <f t="shared" si="13"/>
        <v>#N/A</v>
      </c>
      <c r="V27" s="716" t="s">
        <v>17</v>
      </c>
      <c r="W27" s="717" t="e">
        <f t="shared" si="14"/>
        <v>#N/A</v>
      </c>
      <c r="X27" s="718"/>
      <c r="Y27" s="3285"/>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285"/>
      <c r="Q28" s="1535" t="str">
        <f t="shared" si="11"/>
        <v>物业等级</v>
      </c>
      <c r="R28" s="713" t="s">
        <v>17</v>
      </c>
      <c r="S28" s="714">
        <f t="shared" si="12"/>
        <v>100</v>
      </c>
      <c r="T28" s="713" t="s">
        <v>17</v>
      </c>
      <c r="U28" s="714">
        <f t="shared" si="13"/>
        <v>100</v>
      </c>
      <c r="V28" s="713" t="s">
        <v>17</v>
      </c>
      <c r="W28" s="714">
        <f t="shared" si="14"/>
        <v>100</v>
      </c>
      <c r="X28" s="1538"/>
      <c r="Y28" s="3285"/>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285"/>
      <c r="Q29" s="1535" t="str">
        <f t="shared" si="11"/>
        <v>有无电梯</v>
      </c>
      <c r="R29" s="713" t="s">
        <v>17</v>
      </c>
      <c r="S29" s="714">
        <f t="shared" si="12"/>
        <v>100</v>
      </c>
      <c r="T29" s="713" t="s">
        <v>17</v>
      </c>
      <c r="U29" s="714">
        <f t="shared" si="13"/>
        <v>100</v>
      </c>
      <c r="V29" s="713" t="s">
        <v>17</v>
      </c>
      <c r="W29" s="714">
        <f t="shared" si="14"/>
        <v>100</v>
      </c>
      <c r="X29" s="1538"/>
      <c r="Y29" s="3285"/>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285"/>
      <c r="Q30" s="1535" t="str">
        <f t="shared" si="11"/>
        <v>建筑面积</v>
      </c>
      <c r="R30" s="713" t="s">
        <v>17</v>
      </c>
      <c r="S30" s="714" t="e">
        <f t="shared" si="12"/>
        <v>#N/A</v>
      </c>
      <c r="T30" s="713" t="s">
        <v>17</v>
      </c>
      <c r="U30" s="714" t="e">
        <f t="shared" si="13"/>
        <v>#N/A</v>
      </c>
      <c r="V30" s="713" t="s">
        <v>17</v>
      </c>
      <c r="W30" s="714" t="e">
        <f t="shared" si="14"/>
        <v>#N/A</v>
      </c>
      <c r="X30" s="1538"/>
      <c r="Y30" s="3285"/>
      <c r="Z30" s="1539" t="str">
        <f t="shared" si="15"/>
        <v>建筑面积</v>
      </c>
      <c r="AA30" s="1536" t="e">
        <f t="shared" si="3"/>
        <v>#N/A</v>
      </c>
      <c r="AB30" s="1536" t="e">
        <f t="shared" si="4"/>
        <v>#N/A</v>
      </c>
      <c r="AC30" s="1536"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285"/>
      <c r="Q31" s="1526" t="str">
        <f t="shared" si="11"/>
        <v>是否封闭</v>
      </c>
      <c r="R31" s="709" t="s">
        <v>17</v>
      </c>
      <c r="S31" s="710">
        <f t="shared" si="12"/>
        <v>100</v>
      </c>
      <c r="T31" s="709" t="s">
        <v>17</v>
      </c>
      <c r="U31" s="710">
        <f t="shared" si="13"/>
        <v>100</v>
      </c>
      <c r="V31" s="709" t="s">
        <v>17</v>
      </c>
      <c r="W31" s="710">
        <f t="shared" si="14"/>
        <v>100</v>
      </c>
      <c r="X31" s="711"/>
      <c r="Y31" s="3285"/>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285" t="s">
        <v>2383</v>
      </c>
      <c r="Q32" s="1535">
        <f t="shared" si="11"/>
        <v>111</v>
      </c>
      <c r="R32" s="713" t="s">
        <v>17</v>
      </c>
      <c r="S32" s="714">
        <f t="shared" si="12"/>
        <v>100</v>
      </c>
      <c r="T32" s="713" t="s">
        <v>17</v>
      </c>
      <c r="U32" s="714">
        <f t="shared" si="13"/>
        <v>100</v>
      </c>
      <c r="V32" s="713" t="s">
        <v>17</v>
      </c>
      <c r="W32" s="714">
        <f t="shared" si="14"/>
        <v>100</v>
      </c>
      <c r="X32" s="1538"/>
      <c r="Y32" s="3285" t="s">
        <v>2383</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285"/>
      <c r="Q33" s="1535">
        <f t="shared" si="11"/>
        <v>111</v>
      </c>
      <c r="R33" s="713" t="s">
        <v>17</v>
      </c>
      <c r="S33" s="714">
        <f t="shared" si="12"/>
        <v>100</v>
      </c>
      <c r="T33" s="713" t="s">
        <v>17</v>
      </c>
      <c r="U33" s="714">
        <f t="shared" si="13"/>
        <v>100</v>
      </c>
      <c r="V33" s="713" t="s">
        <v>17</v>
      </c>
      <c r="W33" s="714">
        <f t="shared" si="14"/>
        <v>100</v>
      </c>
      <c r="X33" s="1538"/>
      <c r="Y33" s="3285"/>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46"/>
      <c r="M34" s="2940"/>
      <c r="N34" s="2940"/>
      <c r="O34" s="2998"/>
      <c r="P34" s="3285"/>
      <c r="Q34" s="1535">
        <f t="shared" si="11"/>
        <v>111</v>
      </c>
      <c r="R34" s="713" t="s">
        <v>17</v>
      </c>
      <c r="S34" s="714">
        <f t="shared" si="12"/>
        <v>100</v>
      </c>
      <c r="T34" s="713" t="s">
        <v>17</v>
      </c>
      <c r="U34" s="714">
        <f t="shared" si="13"/>
        <v>100</v>
      </c>
      <c r="V34" s="713" t="s">
        <v>17</v>
      </c>
      <c r="W34" s="714">
        <f t="shared" si="14"/>
        <v>100</v>
      </c>
      <c r="X34" s="1538"/>
      <c r="Y34" s="3285"/>
      <c r="Z34" s="1539">
        <f t="shared" si="15"/>
        <v>111</v>
      </c>
      <c r="AA34" s="1536">
        <f t="shared" si="3"/>
        <v>1</v>
      </c>
      <c r="AB34" s="1536">
        <f t="shared" si="4"/>
        <v>1</v>
      </c>
      <c r="AC34" s="1536">
        <f t="shared" si="5"/>
        <v>1</v>
      </c>
    </row>
    <row r="35" spans="1:30" ht="15">
      <c r="A35" s="437" t="s">
        <v>2395</v>
      </c>
      <c r="B35" s="438"/>
      <c r="C35" s="1315" t="s">
        <v>1</v>
      </c>
      <c r="D35" s="1316"/>
      <c r="E35" s="1317"/>
      <c r="F35" s="1318"/>
      <c r="G35" s="1319"/>
      <c r="H35" s="1320"/>
      <c r="I35" s="1317"/>
      <c r="J35" s="1320"/>
      <c r="K35" s="722"/>
      <c r="L35" s="2948"/>
      <c r="M35" s="2949"/>
      <c r="N35" s="2940"/>
      <c r="O35" s="2949"/>
      <c r="P35" s="3265" t="str">
        <f>A35</f>
        <v>成交单价（元/平方米）</v>
      </c>
      <c r="Q35" s="3265"/>
      <c r="R35" s="3334">
        <f>E35</f>
        <v>0</v>
      </c>
      <c r="S35" s="3334"/>
      <c r="T35" s="3334">
        <f>G35</f>
        <v>0</v>
      </c>
      <c r="U35" s="3334"/>
      <c r="V35" s="3334">
        <f>I35</f>
        <v>0</v>
      </c>
      <c r="W35" s="3334"/>
      <c r="X35" s="698"/>
      <c r="Y35" s="720"/>
      <c r="Z35" s="698"/>
      <c r="AA35" s="698"/>
      <c r="AB35" s="698"/>
      <c r="AC35" s="698"/>
    </row>
    <row r="36" spans="1:30" ht="15.75" thickBot="1">
      <c r="A36" s="444" t="s">
        <v>2487</v>
      </c>
      <c r="B36" s="445"/>
      <c r="C36" s="1321" t="e">
        <f>R37</f>
        <v>#DIV/0!</v>
      </c>
      <c r="D36" s="2537" t="s">
        <v>2877</v>
      </c>
      <c r="E36" s="1322" t="e">
        <f>R36</f>
        <v>#DIV/0!</v>
      </c>
      <c r="F36" s="2538"/>
      <c r="G36" s="1321" t="e">
        <f>T36</f>
        <v>#DIV/0!</v>
      </c>
      <c r="H36" s="2538"/>
      <c r="I36" s="1322" t="e">
        <f>V36</f>
        <v>#DIV/0!</v>
      </c>
      <c r="J36" s="2538"/>
      <c r="K36" s="2540">
        <f>F36+H36+J36</f>
        <v>0</v>
      </c>
      <c r="L36" s="2948"/>
      <c r="M36" s="2949"/>
      <c r="N36" s="2940"/>
      <c r="O36" s="2949"/>
      <c r="P36" s="3265" t="str">
        <f>A36</f>
        <v>比较价值（元/平方米）</v>
      </c>
      <c r="Q36" s="3265"/>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8"/>
      <c r="Y36" s="698"/>
      <c r="Z36" s="698"/>
      <c r="AA36" s="698"/>
      <c r="AB36" s="698"/>
      <c r="AC36" s="698"/>
    </row>
    <row r="37" spans="1:30" ht="15.75" thickBot="1">
      <c r="A37" s="448" t="s">
        <v>2488</v>
      </c>
      <c r="B37" s="449"/>
      <c r="C37" s="1324" t="e">
        <f>R37</f>
        <v>#DIV/0!</v>
      </c>
      <c r="D37" s="1324"/>
      <c r="E37" s="1324"/>
      <c r="F37" s="1324"/>
      <c r="G37" s="1324"/>
      <c r="H37" s="1324"/>
      <c r="I37" s="1324"/>
      <c r="J37" s="1324"/>
      <c r="K37" s="723"/>
      <c r="L37" s="2948"/>
      <c r="M37" s="2949"/>
      <c r="N37" s="2949"/>
      <c r="O37" s="2949"/>
      <c r="P37" s="3301" t="str">
        <f>A37</f>
        <v>估价对象XX用房的比较价值（楼面单价，元/平方米）</v>
      </c>
      <c r="Q37" s="3302"/>
      <c r="R37" s="3360" t="e">
        <f>IF(F1="售价",ROUND(IF(D36="简单平均",AVERAGE(R36:W36),R36*F36+T36*H36+V36*J36),0),ROUND(IF(D36="简单平均",AVERAGE(R36:V36),R36*F36+T36*H36+V36*J36),1))</f>
        <v>#DIV/0!</v>
      </c>
      <c r="S37" s="3360"/>
      <c r="T37" s="3360"/>
      <c r="U37" s="3360"/>
      <c r="V37" s="3360"/>
      <c r="W37" s="3360"/>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2492</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2366</v>
      </c>
      <c r="B46" s="462"/>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0"/>
      <c r="Q46" s="2965"/>
      <c r="R46" s="2965"/>
      <c r="S46" s="2965"/>
      <c r="T46" s="2965"/>
      <c r="U46" s="2965"/>
      <c r="V46" s="2965"/>
      <c r="W46" s="2965"/>
      <c r="X46" s="2965"/>
      <c r="Y46" s="2965"/>
      <c r="Z46" s="2965"/>
      <c r="AA46" s="2965"/>
      <c r="AB46" s="2965"/>
      <c r="AC46" s="2965"/>
      <c r="AD46" s="2965"/>
    </row>
    <row r="47" spans="1:30" s="112" customFormat="1" ht="15">
      <c r="A47" s="465"/>
      <c r="B47" s="466"/>
      <c r="C47" s="1344">
        <v>100</v>
      </c>
      <c r="D47" s="468"/>
      <c r="E47" s="468"/>
      <c r="F47" s="468"/>
      <c r="G47" s="468"/>
      <c r="H47" s="468"/>
      <c r="I47" s="468"/>
      <c r="J47" s="468"/>
      <c r="K47" s="468"/>
      <c r="L47" s="468"/>
      <c r="M47" s="469"/>
      <c r="N47" s="468"/>
      <c r="O47" s="470"/>
      <c r="P47" s="2963"/>
      <c r="Q47" s="2884"/>
      <c r="R47" s="2884"/>
      <c r="S47" s="2884"/>
      <c r="T47" s="2884"/>
      <c r="U47" s="2884"/>
      <c r="V47" s="2884"/>
      <c r="W47" s="2884"/>
      <c r="X47" s="2884"/>
      <c r="Y47" s="2884"/>
      <c r="Z47" s="2884"/>
      <c r="AA47" s="2884"/>
      <c r="AB47" s="2884"/>
      <c r="AC47" s="2884"/>
      <c r="AD47" s="2884"/>
    </row>
    <row r="48" spans="1:30" s="112" customFormat="1" ht="15.75" thickBot="1">
      <c r="A48" s="471" t="s">
        <v>2403</v>
      </c>
      <c r="B48" s="472"/>
      <c r="C48" s="473"/>
      <c r="D48" s="474"/>
      <c r="E48" s="474"/>
      <c r="F48" s="474"/>
      <c r="G48" s="474"/>
      <c r="H48" s="474"/>
      <c r="I48" s="474"/>
      <c r="J48" s="474"/>
      <c r="K48" s="474"/>
      <c r="L48" s="474"/>
      <c r="M48" s="475"/>
      <c r="N48" s="474"/>
      <c r="O48" s="476"/>
      <c r="P48" s="2963"/>
      <c r="Q48" s="2963"/>
      <c r="R48" s="2884"/>
      <c r="S48" s="2884"/>
      <c r="T48" s="2884"/>
      <c r="U48" s="2884"/>
      <c r="V48" s="2884"/>
      <c r="W48" s="2884"/>
      <c r="X48" s="2884"/>
      <c r="Y48" s="2884"/>
      <c r="Z48" s="2884"/>
      <c r="AA48" s="2884"/>
      <c r="AB48" s="2884"/>
      <c r="AC48" s="2884"/>
      <c r="AD48" s="2884"/>
    </row>
    <row r="49" spans="1:30" s="112" customFormat="1" ht="15">
      <c r="A49" s="477" t="s">
        <v>2368</v>
      </c>
      <c r="B49" s="466"/>
      <c r="C49" s="478" t="s">
        <v>2470</v>
      </c>
      <c r="D49" s="479"/>
      <c r="E49" s="479"/>
      <c r="F49" s="479"/>
      <c r="G49" s="479"/>
      <c r="H49" s="479"/>
      <c r="I49" s="479"/>
      <c r="J49" s="479"/>
      <c r="K49" s="479"/>
      <c r="L49" s="480"/>
      <c r="M49" s="481"/>
      <c r="N49" s="2976"/>
      <c r="O49" s="2976"/>
      <c r="P49" s="3001"/>
      <c r="Q49" s="2963"/>
      <c r="R49" s="2884"/>
      <c r="S49" s="2884"/>
      <c r="T49" s="2884"/>
      <c r="U49" s="2884"/>
      <c r="V49" s="2884"/>
      <c r="W49" s="2884"/>
      <c r="X49" s="2884"/>
      <c r="Y49" s="2884"/>
      <c r="Z49" s="2884"/>
      <c r="AA49" s="2884"/>
      <c r="AB49" s="2884"/>
      <c r="AC49" s="2884"/>
      <c r="AD49" s="2884"/>
    </row>
    <row r="50" spans="1:30" s="112" customFormat="1" ht="15.75" thickBot="1">
      <c r="A50" s="477"/>
      <c r="B50" s="466"/>
      <c r="C50" s="594">
        <v>100</v>
      </c>
      <c r="D50" s="468"/>
      <c r="E50" s="468"/>
      <c r="F50" s="468"/>
      <c r="G50" s="468"/>
      <c r="H50" s="468"/>
      <c r="I50" s="468"/>
      <c r="J50" s="468"/>
      <c r="K50" s="468"/>
      <c r="L50" s="468"/>
      <c r="M50" s="470"/>
      <c r="N50" s="2976"/>
      <c r="O50" s="2976"/>
      <c r="P50" s="2963"/>
      <c r="Q50" s="2963"/>
      <c r="R50" s="2884"/>
      <c r="S50" s="2884"/>
      <c r="T50" s="2884"/>
      <c r="U50" s="2884"/>
      <c r="V50" s="2884"/>
      <c r="W50" s="2884"/>
      <c r="X50" s="2884"/>
      <c r="Y50" s="2884"/>
      <c r="Z50" s="2884"/>
      <c r="AA50" s="2884"/>
      <c r="AB50" s="2884"/>
      <c r="AC50" s="2884"/>
      <c r="AD50" s="2884"/>
    </row>
    <row r="51" spans="1:30">
      <c r="A51" s="483" t="s">
        <v>2406</v>
      </c>
      <c r="B51" s="484" t="s">
        <v>2372</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2558</v>
      </c>
      <c r="C63" s="534" t="s">
        <v>2415</v>
      </c>
      <c r="D63" s="534" t="s">
        <v>2416</v>
      </c>
      <c r="E63" s="534" t="s">
        <v>2417</v>
      </c>
      <c r="F63" s="534" t="s">
        <v>2418</v>
      </c>
      <c r="G63" s="534" t="s">
        <v>2419</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2507</v>
      </c>
      <c r="C65" s="615" t="s">
        <v>2493</v>
      </c>
      <c r="D65" s="615" t="s">
        <v>2494</v>
      </c>
      <c r="E65" s="615" t="s">
        <v>2495</v>
      </c>
      <c r="F65" s="615" t="s">
        <v>2496</v>
      </c>
      <c r="G65" s="615" t="s">
        <v>2497</v>
      </c>
      <c r="H65" s="495"/>
      <c r="I65" s="495"/>
      <c r="J65" s="495"/>
      <c r="K65" s="495"/>
      <c r="L65" s="495"/>
      <c r="M65" s="1290"/>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2427</v>
      </c>
      <c r="C67" s="534" t="s">
        <v>2415</v>
      </c>
      <c r="D67" s="534" t="s">
        <v>2416</v>
      </c>
      <c r="E67" s="534" t="s">
        <v>2417</v>
      </c>
      <c r="F67" s="534" t="s">
        <v>2418</v>
      </c>
      <c r="G67" s="534" t="s">
        <v>2419</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2547</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5"/>
      <c r="B71" s="494">
        <f>B23</f>
        <v>111</v>
      </c>
      <c r="C71" s="505"/>
      <c r="D71" s="505"/>
      <c r="E71" s="505"/>
      <c r="F71" s="505"/>
      <c r="G71" s="510"/>
      <c r="H71" s="510"/>
      <c r="I71" s="510"/>
      <c r="J71" s="510"/>
      <c r="K71" s="510"/>
      <c r="L71" s="536"/>
      <c r="M71" s="537"/>
      <c r="N71" s="2976"/>
      <c r="O71" s="2976"/>
      <c r="P71" s="3002"/>
      <c r="Q71" s="2963"/>
      <c r="R71" s="2884"/>
      <c r="S71" s="2884"/>
      <c r="T71" s="2884"/>
      <c r="U71" s="2884"/>
      <c r="V71" s="2884"/>
      <c r="W71" s="2884"/>
      <c r="X71" s="2884"/>
      <c r="Y71" s="2884"/>
      <c r="Z71" s="2884"/>
      <c r="AA71" s="2884"/>
      <c r="AB71" s="2884"/>
      <c r="AC71" s="2884"/>
      <c r="AD71" s="2884"/>
    </row>
    <row r="72" spans="1:30" s="112" customFormat="1" ht="15.75" thickBot="1">
      <c r="A72" s="535"/>
      <c r="B72" s="499"/>
      <c r="C72" s="516"/>
      <c r="D72" s="492"/>
      <c r="E72" s="492"/>
      <c r="F72" s="492"/>
      <c r="G72" s="492"/>
      <c r="H72" s="492"/>
      <c r="I72" s="492"/>
      <c r="J72" s="492"/>
      <c r="K72" s="492"/>
      <c r="L72" s="492"/>
      <c r="M72" s="493"/>
      <c r="N72" s="2978"/>
      <c r="O72" s="2978"/>
      <c r="P72" s="3002"/>
      <c r="Q72" s="2963"/>
      <c r="R72" s="2884"/>
      <c r="S72" s="2884"/>
      <c r="T72" s="2884"/>
      <c r="U72" s="2884"/>
      <c r="V72" s="2884"/>
      <c r="W72" s="2884"/>
      <c r="X72" s="2884"/>
      <c r="Y72" s="2884"/>
      <c r="Z72" s="2884"/>
      <c r="AA72" s="2884"/>
      <c r="AB72" s="2884"/>
      <c r="AC72" s="2884"/>
      <c r="AD72" s="2884"/>
    </row>
    <row r="73" spans="1:30" s="112" customFormat="1" ht="15.75" thickTop="1">
      <c r="A73" s="535"/>
      <c r="B73" s="494">
        <f>B24</f>
        <v>111</v>
      </c>
      <c r="C73" s="505"/>
      <c r="D73" s="505"/>
      <c r="E73" s="505"/>
      <c r="F73" s="505"/>
      <c r="G73" s="510"/>
      <c r="H73" s="510"/>
      <c r="I73" s="510"/>
      <c r="J73" s="510"/>
      <c r="K73" s="510"/>
      <c r="L73" s="510"/>
      <c r="M73" s="537"/>
      <c r="N73" s="2976"/>
      <c r="O73" s="2976"/>
      <c r="P73" s="3002"/>
      <c r="Q73" s="2963"/>
      <c r="R73" s="2884"/>
      <c r="S73" s="2884"/>
      <c r="T73" s="2884"/>
      <c r="U73" s="2884"/>
      <c r="V73" s="2884"/>
      <c r="W73" s="2884"/>
      <c r="X73" s="2884"/>
      <c r="Y73" s="2884"/>
      <c r="Z73" s="2884"/>
      <c r="AA73" s="2884"/>
      <c r="AB73" s="2884"/>
      <c r="AC73" s="2884"/>
      <c r="AD73" s="2884"/>
    </row>
    <row r="74" spans="1:30" s="112" customFormat="1" ht="15.75" thickBot="1">
      <c r="A74" s="535"/>
      <c r="B74" s="499"/>
      <c r="C74" s="516"/>
      <c r="D74" s="492"/>
      <c r="E74" s="492"/>
      <c r="F74" s="492"/>
      <c r="G74" s="492"/>
      <c r="H74" s="492"/>
      <c r="I74" s="492"/>
      <c r="J74" s="492"/>
      <c r="K74" s="492"/>
      <c r="L74" s="492"/>
      <c r="M74" s="493"/>
      <c r="N74" s="2978"/>
      <c r="O74" s="2978"/>
      <c r="P74" s="3002"/>
      <c r="Q74" s="2963"/>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2381</v>
      </c>
      <c r="B77" s="484" t="s">
        <v>2434</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2551</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2559</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2561</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6"/>
      <c r="B98" s="1066"/>
      <c r="C98" s="1066"/>
      <c r="D98" s="1066"/>
      <c r="E98" s="1066"/>
      <c r="F98" s="1066"/>
      <c r="G98" s="1066"/>
      <c r="H98" s="1066"/>
      <c r="I98" s="1066"/>
      <c r="J98" s="1066"/>
      <c r="K98" s="1067"/>
      <c r="L98" s="1068"/>
      <c r="M98" s="1066"/>
      <c r="N98" s="2949"/>
      <c r="O98" s="2949"/>
      <c r="P98" s="2949"/>
      <c r="Q98" s="2949"/>
      <c r="R98" s="2949"/>
      <c r="S98" s="2949"/>
      <c r="T98" s="2949"/>
      <c r="U98" s="2949"/>
      <c r="V98" s="2949"/>
      <c r="W98" s="2949"/>
      <c r="X98" s="2949"/>
      <c r="Y98" s="2949"/>
      <c r="Z98" s="2949"/>
      <c r="AA98" s="2949"/>
      <c r="AB98" s="2949"/>
      <c r="AC98" s="2949"/>
      <c r="AD98" s="2949"/>
    </row>
    <row r="99" spans="1:30">
      <c r="A99" s="1066"/>
      <c r="B99" s="1066"/>
      <c r="C99" s="1066"/>
      <c r="D99" s="1066"/>
      <c r="E99" s="1066"/>
      <c r="F99" s="1066"/>
      <c r="G99" s="1066"/>
      <c r="H99" s="1066"/>
      <c r="I99" s="1066"/>
      <c r="J99" s="1066"/>
      <c r="K99" s="1067"/>
      <c r="L99" s="1068"/>
      <c r="M99" s="1066"/>
      <c r="N99" s="2949"/>
      <c r="O99" s="2949"/>
      <c r="P99" s="2949"/>
      <c r="Q99" s="2949"/>
      <c r="R99" s="2949"/>
      <c r="S99" s="2949"/>
      <c r="T99" s="2949"/>
      <c r="U99" s="2949"/>
      <c r="V99" s="2949"/>
      <c r="W99" s="2949"/>
      <c r="X99" s="2949"/>
      <c r="Y99" s="2949"/>
      <c r="Z99" s="2949"/>
      <c r="AA99" s="2949"/>
      <c r="AB99" s="2949"/>
      <c r="AC99" s="2949"/>
      <c r="AD99" s="2949"/>
    </row>
    <row r="100" spans="1:30">
      <c r="A100" s="1066"/>
      <c r="B100" s="1066"/>
      <c r="C100" s="1066"/>
      <c r="D100" s="1066"/>
      <c r="E100" s="1066"/>
      <c r="F100" s="1066"/>
      <c r="G100" s="1066"/>
      <c r="H100" s="1066"/>
      <c r="I100" s="1066"/>
      <c r="J100" s="1066"/>
      <c r="K100" s="1067"/>
      <c r="L100" s="1068"/>
      <c r="M100" s="1066"/>
      <c r="N100" s="2949"/>
      <c r="O100" s="2949"/>
      <c r="P100" s="2949"/>
      <c r="Q100" s="2949"/>
      <c r="R100" s="2949"/>
      <c r="S100" s="2949"/>
      <c r="T100" s="2949"/>
      <c r="U100" s="2949"/>
      <c r="V100" s="2949"/>
      <c r="W100" s="2949"/>
      <c r="X100" s="2949"/>
      <c r="Y100" s="2949"/>
      <c r="Z100" s="2949"/>
      <c r="AA100" s="2949"/>
      <c r="AB100" s="2949"/>
      <c r="AC100" s="2949"/>
      <c r="AD100" s="2949"/>
    </row>
    <row r="101" spans="1:30">
      <c r="A101" s="1066"/>
      <c r="B101" s="1066"/>
      <c r="C101" s="1066"/>
      <c r="D101" s="1066"/>
      <c r="E101" s="1066"/>
      <c r="F101" s="1066"/>
      <c r="G101" s="1066"/>
      <c r="H101" s="1066"/>
      <c r="I101" s="1066"/>
      <c r="J101" s="1066"/>
      <c r="K101" s="1067"/>
      <c r="L101" s="1068"/>
      <c r="M101" s="1066"/>
      <c r="N101" s="2949"/>
      <c r="O101" s="2949"/>
      <c r="P101" s="2949"/>
      <c r="Q101" s="2949"/>
      <c r="R101" s="2949"/>
      <c r="S101" s="2949"/>
      <c r="T101" s="2949"/>
      <c r="U101" s="2949"/>
      <c r="V101" s="2949"/>
      <c r="W101" s="2949"/>
      <c r="X101" s="2949"/>
      <c r="Y101" s="2949"/>
      <c r="Z101" s="2949"/>
      <c r="AA101" s="2949"/>
      <c r="AB101" s="2949"/>
      <c r="AC101" s="2949"/>
      <c r="AD101" s="2949"/>
    </row>
    <row r="102" spans="1:30">
      <c r="A102" s="1066"/>
      <c r="B102" s="1066"/>
      <c r="C102" s="1066"/>
      <c r="D102" s="1066"/>
      <c r="E102" s="1066"/>
      <c r="F102" s="1066"/>
      <c r="G102" s="1066"/>
      <c r="H102" s="1066"/>
      <c r="I102" s="1066"/>
      <c r="J102" s="1066"/>
      <c r="K102" s="1067"/>
      <c r="L102" s="1068"/>
      <c r="M102" s="1066"/>
      <c r="N102" s="2949"/>
      <c r="O102" s="2949"/>
      <c r="P102" s="2949"/>
      <c r="Q102" s="2949"/>
      <c r="R102" s="2949"/>
      <c r="S102" s="2949"/>
      <c r="T102" s="2949"/>
      <c r="U102" s="2949"/>
      <c r="V102" s="2949"/>
      <c r="W102" s="2949"/>
      <c r="X102" s="2949"/>
      <c r="Y102" s="2949"/>
      <c r="Z102" s="2949"/>
      <c r="AA102" s="2949"/>
      <c r="AB102" s="2949"/>
      <c r="AC102" s="2949"/>
      <c r="AD102" s="2949"/>
    </row>
    <row r="103" spans="1:30">
      <c r="A103" s="1066"/>
      <c r="B103" s="1066"/>
      <c r="C103" s="1066"/>
      <c r="D103" s="1066"/>
      <c r="E103" s="1066"/>
      <c r="F103" s="1066"/>
      <c r="G103" s="1066"/>
      <c r="H103" s="1066"/>
      <c r="I103" s="1066"/>
      <c r="J103" s="1066"/>
      <c r="K103" s="1067"/>
      <c r="L103" s="1068"/>
      <c r="M103" s="1066"/>
      <c r="N103" s="1066"/>
      <c r="O103" s="1066"/>
      <c r="P103" s="2949"/>
      <c r="Q103" s="2949"/>
      <c r="R103" s="2949"/>
      <c r="S103" s="2949"/>
      <c r="T103" s="2949"/>
      <c r="U103" s="2949"/>
      <c r="V103" s="2949"/>
      <c r="W103" s="2949"/>
      <c r="X103" s="2949"/>
      <c r="Y103" s="2949"/>
      <c r="Z103" s="2949"/>
      <c r="AA103" s="2949"/>
      <c r="AB103" s="2949"/>
      <c r="AC103" s="2949"/>
      <c r="AD103" s="2949"/>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30" ht="15">
      <c r="A4" s="360" t="s">
        <v>2463</v>
      </c>
      <c r="B4" s="361"/>
      <c r="C4" s="3262" t="s">
        <v>2464</v>
      </c>
      <c r="D4" s="3289"/>
      <c r="E4" s="3290" t="s">
        <v>2465</v>
      </c>
      <c r="F4" s="3291"/>
      <c r="G4" s="3262" t="s">
        <v>2466</v>
      </c>
      <c r="H4" s="3289"/>
      <c r="I4" s="3262" t="s">
        <v>2467</v>
      </c>
      <c r="J4" s="3289"/>
      <c r="K4" s="566" t="s">
        <v>2468</v>
      </c>
      <c r="L4" s="2939"/>
      <c r="M4" s="2940"/>
      <c r="N4" s="2940"/>
      <c r="O4" s="2940"/>
      <c r="P4" s="3292" t="s">
        <v>2469</v>
      </c>
      <c r="Q4" s="3293"/>
      <c r="R4" s="3269" t="s">
        <v>2465</v>
      </c>
      <c r="S4" s="3270"/>
      <c r="T4" s="3269" t="s">
        <v>2466</v>
      </c>
      <c r="U4" s="3270"/>
      <c r="V4" s="3282" t="s">
        <v>2467</v>
      </c>
      <c r="W4" s="3282"/>
      <c r="X4" s="1538"/>
      <c r="Y4" s="3269" t="s">
        <v>2469</v>
      </c>
      <c r="Z4" s="3270"/>
      <c r="AA4" s="3286" t="s">
        <v>2465</v>
      </c>
      <c r="AB4" s="3287" t="s">
        <v>2466</v>
      </c>
      <c r="AC4" s="3286" t="s">
        <v>2467</v>
      </c>
    </row>
    <row r="5" spans="1:30" ht="15">
      <c r="A5" s="363"/>
      <c r="B5" s="364"/>
      <c r="C5" s="3273" t="s">
        <v>2360</v>
      </c>
      <c r="D5" s="3274"/>
      <c r="E5" s="3298" t="s">
        <v>2361</v>
      </c>
      <c r="F5" s="3299"/>
      <c r="G5" s="3273" t="s">
        <v>2362</v>
      </c>
      <c r="H5" s="3274"/>
      <c r="I5" s="3273" t="s">
        <v>2363</v>
      </c>
      <c r="J5" s="3274"/>
      <c r="K5" s="566"/>
      <c r="L5" s="2939"/>
      <c r="M5" s="2940"/>
      <c r="N5" s="2940"/>
      <c r="O5" s="2940"/>
      <c r="P5" s="3294"/>
      <c r="Q5" s="3295"/>
      <c r="R5" s="3271"/>
      <c r="S5" s="3272"/>
      <c r="T5" s="3271"/>
      <c r="U5" s="3272"/>
      <c r="V5" s="3282"/>
      <c r="W5" s="3282"/>
      <c r="X5" s="1538"/>
      <c r="Y5" s="3271"/>
      <c r="Z5" s="3272"/>
      <c r="AA5" s="3287"/>
      <c r="AB5" s="3287"/>
      <c r="AC5" s="3287"/>
    </row>
    <row r="6" spans="1:30" ht="15.75" thickBot="1">
      <c r="A6" s="365"/>
      <c r="B6" s="366"/>
      <c r="C6" s="3341" t="s">
        <v>2364</v>
      </c>
      <c r="D6" s="3342"/>
      <c r="E6" s="3343" t="s">
        <v>2364</v>
      </c>
      <c r="F6" s="3344"/>
      <c r="G6" s="3341" t="s">
        <v>2364</v>
      </c>
      <c r="H6" s="3342"/>
      <c r="I6" s="3341" t="s">
        <v>2364</v>
      </c>
      <c r="J6" s="3342"/>
      <c r="K6" s="566" t="s">
        <v>2365</v>
      </c>
      <c r="L6" s="2939"/>
      <c r="M6" s="2940"/>
      <c r="N6" s="2940"/>
      <c r="O6" s="2940"/>
      <c r="P6" s="3296"/>
      <c r="Q6" s="3297"/>
      <c r="R6" s="3271"/>
      <c r="S6" s="3272"/>
      <c r="T6" s="3280"/>
      <c r="U6" s="3281"/>
      <c r="V6" s="3282"/>
      <c r="W6" s="3282"/>
      <c r="X6" s="1538"/>
      <c r="Y6" s="3280"/>
      <c r="Z6" s="3281"/>
      <c r="AA6" s="3288"/>
      <c r="AB6" s="3288"/>
      <c r="AC6" s="3288"/>
    </row>
    <row r="7" spans="1:30" s="112" customFormat="1" ht="15.75" thickBot="1">
      <c r="A7" s="367" t="s">
        <v>2366</v>
      </c>
      <c r="B7" s="368"/>
      <c r="C7" s="369">
        <f>'数据-取费表'!B2</f>
        <v>44332</v>
      </c>
      <c r="D7" s="370">
        <v>100</v>
      </c>
      <c r="E7" s="371"/>
      <c r="F7" s="372">
        <f>SUMIF(70:70,YEAR(E7)&amp;"-"&amp;INT((MONTH(E7)+2)/3),71:71)</f>
        <v>0</v>
      </c>
      <c r="G7" s="2159"/>
      <c r="H7" s="370">
        <f>SUMIF(70:70,YEAR(G7)&amp;"-"&amp;INT((MONTH(G7)+2)/3),71:71)</f>
        <v>0</v>
      </c>
      <c r="I7" s="2159"/>
      <c r="J7" s="370">
        <f>SUMIF(70:70,YEAR(I7)&amp;"-"&amp;INT((MONTH(I7)+2)/3),71:71)</f>
        <v>0</v>
      </c>
      <c r="K7" s="567"/>
      <c r="L7" s="2941"/>
      <c r="M7" s="2942"/>
      <c r="N7" s="2942"/>
      <c r="O7" s="2942"/>
      <c r="P7" s="3267" t="s">
        <v>2367</v>
      </c>
      <c r="Q7" s="3277"/>
      <c r="R7" s="709" t="s">
        <v>17</v>
      </c>
      <c r="S7" s="710">
        <f t="shared" ref="S7:S15" si="0">F7</f>
        <v>0</v>
      </c>
      <c r="T7" s="709" t="s">
        <v>17</v>
      </c>
      <c r="U7" s="710">
        <f t="shared" ref="U7:U15" si="1">H7</f>
        <v>0</v>
      </c>
      <c r="V7" s="709" t="s">
        <v>17</v>
      </c>
      <c r="W7" s="710">
        <f t="shared" ref="W7:W15" si="2">J7</f>
        <v>0</v>
      </c>
      <c r="X7" s="711"/>
      <c r="Y7" s="3267" t="s">
        <v>2367</v>
      </c>
      <c r="Z7" s="3268"/>
      <c r="AA7" s="712" t="e">
        <f>D7/F7</f>
        <v>#DIV/0!</v>
      </c>
      <c r="AB7" s="712" t="e">
        <f>D7/H7</f>
        <v>#DIV/0!</v>
      </c>
      <c r="AC7" s="712" t="e">
        <f>D7/J7</f>
        <v>#DIV/0!</v>
      </c>
    </row>
    <row r="8" spans="1:30" s="112" customFormat="1" ht="15.7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267" t="s">
        <v>2370</v>
      </c>
      <c r="Q8" s="3268"/>
      <c r="R8" s="709" t="s">
        <v>17</v>
      </c>
      <c r="S8" s="710">
        <f t="shared" si="0"/>
        <v>0</v>
      </c>
      <c r="T8" s="709" t="s">
        <v>17</v>
      </c>
      <c r="U8" s="710">
        <f t="shared" si="1"/>
        <v>0</v>
      </c>
      <c r="V8" s="709" t="s">
        <v>17</v>
      </c>
      <c r="W8" s="710">
        <f t="shared" si="2"/>
        <v>0</v>
      </c>
      <c r="X8" s="711"/>
      <c r="Y8" s="3267" t="s">
        <v>2370</v>
      </c>
      <c r="Z8" s="3268"/>
      <c r="AA8" s="712" t="e">
        <f t="shared" ref="AA8:AA45" si="3">D8/F8</f>
        <v>#DIV/0!</v>
      </c>
      <c r="AB8" s="712" t="e">
        <f t="shared" ref="AB8:AB45" si="4">D8/H8</f>
        <v>#DIV/0!</v>
      </c>
      <c r="AC8" s="712" t="e">
        <f t="shared" ref="AC8:AC45" si="5">D8/J8</f>
        <v>#DIV/0!</v>
      </c>
    </row>
    <row r="9" spans="1:30" s="112" customFormat="1">
      <c r="A9" s="374" t="s">
        <v>2371</v>
      </c>
      <c r="B9" s="67" t="s">
        <v>2372</v>
      </c>
      <c r="C9" s="2162"/>
      <c r="D9" s="130">
        <v>100</v>
      </c>
      <c r="E9" s="2162"/>
      <c r="F9" s="130">
        <f>SUMIF(75:75,E9,76:76)-SUMIF(75:75,C9,76:76)+100</f>
        <v>100</v>
      </c>
      <c r="G9" s="2162"/>
      <c r="H9" s="130">
        <f>SUMIF(75:75,G9,76:76)-SUMIF(75:75,C9,76:76)+100</f>
        <v>100</v>
      </c>
      <c r="I9" s="2162"/>
      <c r="J9" s="130">
        <f>SUMIF(75:75,I9,76:76)-SUMIF(75:75,C9,76:76)+100</f>
        <v>100</v>
      </c>
      <c r="K9" s="567"/>
      <c r="L9" s="2941"/>
      <c r="M9" s="2942"/>
      <c r="N9" s="2942"/>
      <c r="O9" s="2996"/>
      <c r="P9" s="3265" t="s">
        <v>2373</v>
      </c>
      <c r="Q9" s="1526" t="str">
        <f t="shared" ref="Q9:Q15" si="6">B9</f>
        <v>用途</v>
      </c>
      <c r="R9" s="709" t="s">
        <v>17</v>
      </c>
      <c r="S9" s="710">
        <f t="shared" si="0"/>
        <v>100</v>
      </c>
      <c r="T9" s="709" t="s">
        <v>17</v>
      </c>
      <c r="U9" s="710">
        <f t="shared" si="1"/>
        <v>100</v>
      </c>
      <c r="V9" s="709" t="s">
        <v>17</v>
      </c>
      <c r="W9" s="710">
        <f t="shared" si="2"/>
        <v>100</v>
      </c>
      <c r="X9" s="711"/>
      <c r="Y9" s="3163"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109</v>
      </c>
      <c r="G10" s="421"/>
      <c r="H10" s="131">
        <f>ROUND(100/'数据-取费表'!G16,0)</f>
        <v>109</v>
      </c>
      <c r="I10" s="421"/>
      <c r="J10" s="131">
        <f>ROUND(100/'数据-取费表'!G16,0)</f>
        <v>109</v>
      </c>
      <c r="K10" s="627"/>
      <c r="L10" s="2943"/>
      <c r="M10" s="2944"/>
      <c r="N10" s="2944"/>
      <c r="O10" s="2997"/>
      <c r="P10" s="3265"/>
      <c r="Q10" s="1526" t="str">
        <f t="shared" si="6"/>
        <v>土地使用年限（年）</v>
      </c>
      <c r="R10" s="709" t="s">
        <v>17</v>
      </c>
      <c r="S10" s="710">
        <f t="shared" si="0"/>
        <v>109</v>
      </c>
      <c r="T10" s="709" t="s">
        <v>17</v>
      </c>
      <c r="U10" s="710">
        <f t="shared" si="1"/>
        <v>109</v>
      </c>
      <c r="V10" s="709" t="s">
        <v>17</v>
      </c>
      <c r="W10" s="710">
        <f t="shared" si="2"/>
        <v>109</v>
      </c>
      <c r="X10" s="711"/>
      <c r="Y10" s="3163"/>
      <c r="Z10" s="55" t="str">
        <f t="shared" si="7"/>
        <v>土地使用年限（年）</v>
      </c>
      <c r="AA10" s="712">
        <f t="shared" si="3"/>
        <v>0.91743119266055051</v>
      </c>
      <c r="AB10" s="712">
        <f t="shared" si="4"/>
        <v>0.91743119266055051</v>
      </c>
      <c r="AC10" s="712">
        <f t="shared" si="5"/>
        <v>0.91743119266055051</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265"/>
      <c r="Q11" s="1526" t="str">
        <f t="shared" si="6"/>
        <v>容积率</v>
      </c>
      <c r="R11" s="709" t="s">
        <v>17</v>
      </c>
      <c r="S11" s="710" t="e">
        <f t="shared" si="0"/>
        <v>#N/A</v>
      </c>
      <c r="T11" s="709" t="s">
        <v>17</v>
      </c>
      <c r="U11" s="710" t="e">
        <f t="shared" si="1"/>
        <v>#N/A</v>
      </c>
      <c r="V11" s="709" t="s">
        <v>17</v>
      </c>
      <c r="W11" s="710" t="e">
        <f t="shared" si="2"/>
        <v>#N/A</v>
      </c>
      <c r="X11" s="711"/>
      <c r="Y11" s="3163"/>
      <c r="Z11" s="55" t="str">
        <f t="shared" si="7"/>
        <v>容积率</v>
      </c>
      <c r="AA11" s="712" t="e">
        <f t="shared" si="3"/>
        <v>#N/A</v>
      </c>
      <c r="AB11" s="712" t="e">
        <f t="shared" si="4"/>
        <v>#N/A</v>
      </c>
      <c r="AC11" s="712" t="e">
        <f t="shared" si="5"/>
        <v>#N/A</v>
      </c>
    </row>
    <row r="12" spans="1:30" s="112" customFormat="1" ht="15">
      <c r="A12" s="389"/>
      <c r="B12" s="2078" t="s">
        <v>2565</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265"/>
      <c r="Q12" s="1526" t="str">
        <f t="shared" si="6"/>
        <v>配建</v>
      </c>
      <c r="R12" s="709" t="s">
        <v>17</v>
      </c>
      <c r="S12" s="710">
        <f t="shared" si="0"/>
        <v>100</v>
      </c>
      <c r="T12" s="709" t="s">
        <v>17</v>
      </c>
      <c r="U12" s="710">
        <f t="shared" si="1"/>
        <v>100</v>
      </c>
      <c r="V12" s="709" t="s">
        <v>17</v>
      </c>
      <c r="W12" s="710">
        <f t="shared" si="2"/>
        <v>100</v>
      </c>
      <c r="X12" s="711"/>
      <c r="Y12" s="3163"/>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265"/>
      <c r="Q13" s="1526">
        <f t="shared" si="6"/>
        <v>111</v>
      </c>
      <c r="R13" s="709" t="s">
        <v>17</v>
      </c>
      <c r="S13" s="710">
        <f t="shared" si="0"/>
        <v>100</v>
      </c>
      <c r="T13" s="709" t="s">
        <v>17</v>
      </c>
      <c r="U13" s="710">
        <f t="shared" si="1"/>
        <v>100</v>
      </c>
      <c r="V13" s="709" t="s">
        <v>17</v>
      </c>
      <c r="W13" s="710">
        <f t="shared" si="2"/>
        <v>100</v>
      </c>
      <c r="X13" s="711"/>
      <c r="Y13" s="3163"/>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265"/>
      <c r="Q14" s="1526">
        <f t="shared" si="6"/>
        <v>111</v>
      </c>
      <c r="R14" s="709" t="s">
        <v>17</v>
      </c>
      <c r="S14" s="710">
        <f t="shared" si="0"/>
        <v>100</v>
      </c>
      <c r="T14" s="709" t="s">
        <v>17</v>
      </c>
      <c r="U14" s="710">
        <f t="shared" si="1"/>
        <v>100</v>
      </c>
      <c r="V14" s="709" t="s">
        <v>17</v>
      </c>
      <c r="W14" s="710">
        <f t="shared" si="2"/>
        <v>100</v>
      </c>
      <c r="X14" s="711"/>
      <c r="Y14" s="3163"/>
      <c r="Z14" s="55">
        <f t="shared" si="7"/>
        <v>111</v>
      </c>
      <c r="AA14" s="712">
        <f>D14/F14</f>
        <v>1</v>
      </c>
      <c r="AB14" s="712">
        <f>D14/H14</f>
        <v>1</v>
      </c>
      <c r="AC14" s="712">
        <f>D14/J14</f>
        <v>1</v>
      </c>
    </row>
    <row r="15" spans="1:30" ht="99.75">
      <c r="A15" s="398" t="s">
        <v>2377</v>
      </c>
      <c r="B15" s="65"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283" t="s">
        <v>2378</v>
      </c>
      <c r="Q15" s="1535" t="str">
        <f t="shared" si="6"/>
        <v>居住社区成熟度</v>
      </c>
      <c r="R15" s="713" t="s">
        <v>17</v>
      </c>
      <c r="S15" s="714">
        <f t="shared" si="0"/>
        <v>100</v>
      </c>
      <c r="T15" s="713" t="s">
        <v>17</v>
      </c>
      <c r="U15" s="714">
        <f t="shared" si="1"/>
        <v>100</v>
      </c>
      <c r="V15" s="713" t="s">
        <v>17</v>
      </c>
      <c r="W15" s="714">
        <f t="shared" si="2"/>
        <v>100</v>
      </c>
      <c r="X15" s="1538"/>
      <c r="Y15" s="3283" t="s">
        <v>2378</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46"/>
      <c r="M16" s="2940"/>
      <c r="N16" s="2940"/>
      <c r="O16" s="2998"/>
      <c r="P16" s="3284"/>
      <c r="Q16" s="1535"/>
      <c r="R16" s="713"/>
      <c r="S16" s="714"/>
      <c r="T16" s="713"/>
      <c r="U16" s="714"/>
      <c r="V16" s="713"/>
      <c r="W16" s="714"/>
      <c r="X16" s="1538"/>
      <c r="Y16" s="3284"/>
      <c r="Z16" s="1539"/>
      <c r="AA16" s="1536">
        <v>1</v>
      </c>
      <c r="AB16" s="1536">
        <v>1</v>
      </c>
      <c r="AC16" s="1536">
        <v>1</v>
      </c>
    </row>
    <row r="17" spans="1:29" ht="71.25">
      <c r="A17" s="386"/>
      <c r="B17" s="409" t="s">
        <v>2471</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284"/>
      <c r="Q17" s="1535" t="str">
        <f>B17</f>
        <v>商业繁华度</v>
      </c>
      <c r="R17" s="713" t="s">
        <v>17</v>
      </c>
      <c r="S17" s="714">
        <f>F17</f>
        <v>100</v>
      </c>
      <c r="T17" s="713" t="s">
        <v>17</v>
      </c>
      <c r="U17" s="714">
        <f>H17</f>
        <v>100</v>
      </c>
      <c r="V17" s="713" t="s">
        <v>17</v>
      </c>
      <c r="W17" s="714">
        <f>J17</f>
        <v>100</v>
      </c>
      <c r="X17" s="1538"/>
      <c r="Y17" s="3284"/>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46"/>
      <c r="M18" s="2940"/>
      <c r="N18" s="2940"/>
      <c r="O18" s="2998"/>
      <c r="P18" s="3284"/>
      <c r="Q18" s="1535"/>
      <c r="R18" s="713"/>
      <c r="S18" s="714"/>
      <c r="T18" s="713"/>
      <c r="U18" s="714"/>
      <c r="V18" s="713"/>
      <c r="W18" s="714"/>
      <c r="X18" s="1538"/>
      <c r="Y18" s="3284"/>
      <c r="Z18" s="1539"/>
      <c r="AA18" s="1536">
        <v>1</v>
      </c>
      <c r="AB18" s="1536">
        <v>1</v>
      </c>
      <c r="AC18" s="1536">
        <v>1</v>
      </c>
    </row>
    <row r="19" spans="1:29" ht="71.25">
      <c r="A19" s="386"/>
      <c r="B19" s="409" t="s">
        <v>2505</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284"/>
      <c r="Q19" s="1535" t="str">
        <f>B19</f>
        <v>办公集聚程度</v>
      </c>
      <c r="R19" s="713" t="s">
        <v>17</v>
      </c>
      <c r="S19" s="714">
        <f>F19</f>
        <v>100</v>
      </c>
      <c r="T19" s="713" t="s">
        <v>17</v>
      </c>
      <c r="U19" s="714">
        <f>H19</f>
        <v>100</v>
      </c>
      <c r="V19" s="713" t="s">
        <v>17</v>
      </c>
      <c r="W19" s="714">
        <f>J19</f>
        <v>100</v>
      </c>
      <c r="X19" s="1538"/>
      <c r="Y19" s="3284"/>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46"/>
      <c r="M20" s="2940"/>
      <c r="N20" s="2940"/>
      <c r="O20" s="2998"/>
      <c r="P20" s="3284"/>
      <c r="Q20" s="1535"/>
      <c r="R20" s="713"/>
      <c r="S20" s="714"/>
      <c r="T20" s="713"/>
      <c r="U20" s="714"/>
      <c r="V20" s="713"/>
      <c r="W20" s="714"/>
      <c r="X20" s="1538"/>
      <c r="Y20" s="3284"/>
      <c r="Z20" s="1539"/>
      <c r="AA20" s="1536">
        <v>1</v>
      </c>
      <c r="AB20" s="1536">
        <v>1</v>
      </c>
      <c r="AC20" s="1536">
        <v>1</v>
      </c>
    </row>
    <row r="21" spans="1:29" ht="85.5">
      <c r="A21" s="386"/>
      <c r="B21" s="409" t="s">
        <v>2527</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284"/>
      <c r="Q21" s="1535" t="str">
        <f>B21</f>
        <v>交通便捷度</v>
      </c>
      <c r="R21" s="713" t="s">
        <v>17</v>
      </c>
      <c r="S21" s="714">
        <f>F21</f>
        <v>100</v>
      </c>
      <c r="T21" s="713" t="s">
        <v>17</v>
      </c>
      <c r="U21" s="714">
        <f>H21</f>
        <v>100</v>
      </c>
      <c r="V21" s="713" t="s">
        <v>17</v>
      </c>
      <c r="W21" s="714">
        <f>J21</f>
        <v>100</v>
      </c>
      <c r="X21" s="1538"/>
      <c r="Y21" s="3284"/>
      <c r="Z21" s="1539" t="str">
        <f>Q21</f>
        <v>交通便捷度</v>
      </c>
      <c r="AA21" s="1536">
        <f t="shared" si="3"/>
        <v>1</v>
      </c>
      <c r="AB21" s="1536">
        <f t="shared" si="4"/>
        <v>1</v>
      </c>
      <c r="AC21" s="1536">
        <f t="shared" si="5"/>
        <v>1</v>
      </c>
    </row>
    <row r="22" spans="1:29" ht="15">
      <c r="A22" s="386"/>
      <c r="B22" s="1292"/>
      <c r="C22" s="405"/>
      <c r="D22" s="408"/>
      <c r="E22" s="2083"/>
      <c r="F22" s="406"/>
      <c r="G22" s="2083"/>
      <c r="H22" s="406"/>
      <c r="I22" s="2082"/>
      <c r="J22" s="406"/>
      <c r="K22" s="627"/>
      <c r="L22" s="2946"/>
      <c r="M22" s="2940"/>
      <c r="N22" s="2940"/>
      <c r="O22" s="2998"/>
      <c r="P22" s="3284"/>
      <c r="Q22" s="1535"/>
      <c r="R22" s="713"/>
      <c r="S22" s="714"/>
      <c r="T22" s="713"/>
      <c r="U22" s="714"/>
      <c r="V22" s="713"/>
      <c r="W22" s="714"/>
      <c r="X22" s="1538"/>
      <c r="Y22" s="3284"/>
      <c r="Z22" s="1539"/>
      <c r="AA22" s="1536">
        <v>1</v>
      </c>
      <c r="AB22" s="1536">
        <v>1</v>
      </c>
      <c r="AC22" s="1536">
        <v>1</v>
      </c>
    </row>
    <row r="23" spans="1:29" ht="15">
      <c r="A23" s="363"/>
      <c r="B23" s="409" t="s">
        <v>2566</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284"/>
      <c r="Q23" s="1535" t="str">
        <f t="shared" ref="Q23:Q37" si="8">B23</f>
        <v>区域土地利用方向</v>
      </c>
      <c r="R23" s="713" t="s">
        <v>17</v>
      </c>
      <c r="S23" s="714">
        <f>F23</f>
        <v>100</v>
      </c>
      <c r="T23" s="713" t="s">
        <v>17</v>
      </c>
      <c r="U23" s="714">
        <f>H23</f>
        <v>100</v>
      </c>
      <c r="V23" s="713" t="s">
        <v>17</v>
      </c>
      <c r="W23" s="714">
        <f>J23</f>
        <v>100</v>
      </c>
      <c r="X23" s="1538"/>
      <c r="Y23" s="3284"/>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50"/>
      <c r="L24" s="2946"/>
      <c r="M24" s="2940"/>
      <c r="N24" s="2940"/>
      <c r="O24" s="2998"/>
      <c r="P24" s="3284"/>
      <c r="Q24" s="1535"/>
      <c r="R24" s="713"/>
      <c r="S24" s="714"/>
      <c r="T24" s="713"/>
      <c r="U24" s="714"/>
      <c r="V24" s="713"/>
      <c r="W24" s="714"/>
      <c r="X24" s="1538"/>
      <c r="Y24" s="3284"/>
      <c r="Z24" s="1539"/>
      <c r="AA24" s="1536"/>
      <c r="AB24" s="1536"/>
      <c r="AC24" s="1536"/>
    </row>
    <row r="25" spans="1:29" ht="57">
      <c r="A25" s="363"/>
      <c r="B25" s="1292" t="s">
        <v>2567</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284"/>
      <c r="Q25" s="1535" t="str">
        <f t="shared" si="8"/>
        <v>自然及人文环境状况</v>
      </c>
      <c r="R25" s="713" t="s">
        <v>17</v>
      </c>
      <c r="S25" s="714">
        <f>F25</f>
        <v>100</v>
      </c>
      <c r="T25" s="713" t="s">
        <v>17</v>
      </c>
      <c r="U25" s="714">
        <f>H25</f>
        <v>100</v>
      </c>
      <c r="V25" s="713" t="s">
        <v>17</v>
      </c>
      <c r="W25" s="714">
        <f>J25</f>
        <v>100</v>
      </c>
      <c r="X25" s="1538"/>
      <c r="Y25" s="3284"/>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46"/>
      <c r="M26" s="2940"/>
      <c r="N26" s="2940"/>
      <c r="O26" s="2998"/>
      <c r="P26" s="3284"/>
      <c r="Q26" s="1535"/>
      <c r="R26" s="713"/>
      <c r="S26" s="714"/>
      <c r="T26" s="713"/>
      <c r="U26" s="714"/>
      <c r="V26" s="713"/>
      <c r="W26" s="714"/>
      <c r="X26" s="1538"/>
      <c r="Y26" s="3284"/>
      <c r="Z26" s="1539"/>
      <c r="AA26" s="1536">
        <v>1</v>
      </c>
      <c r="AB26" s="1536">
        <v>1</v>
      </c>
      <c r="AC26" s="1536">
        <v>1</v>
      </c>
    </row>
    <row r="27" spans="1:29" s="112" customFormat="1" ht="42.75">
      <c r="A27" s="604"/>
      <c r="B27" s="1292" t="s">
        <v>2472</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284"/>
      <c r="Q27" s="1526" t="str">
        <f t="shared" si="8"/>
        <v>公共配套设施</v>
      </c>
      <c r="R27" s="709" t="s">
        <v>17</v>
      </c>
      <c r="S27" s="710">
        <f>F27</f>
        <v>100</v>
      </c>
      <c r="T27" s="709" t="s">
        <v>17</v>
      </c>
      <c r="U27" s="710">
        <f>H27</f>
        <v>100</v>
      </c>
      <c r="V27" s="709" t="s">
        <v>17</v>
      </c>
      <c r="W27" s="710">
        <f>J27</f>
        <v>100</v>
      </c>
      <c r="X27" s="711"/>
      <c r="Y27" s="3284"/>
      <c r="Z27" s="55"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1"/>
      <c r="M28" s="2942"/>
      <c r="N28" s="2942"/>
      <c r="O28" s="2996"/>
      <c r="P28" s="3284"/>
      <c r="Q28" s="1526"/>
      <c r="R28" s="709"/>
      <c r="S28" s="710"/>
      <c r="T28" s="709"/>
      <c r="U28" s="710"/>
      <c r="V28" s="709"/>
      <c r="W28" s="710"/>
      <c r="X28" s="711"/>
      <c r="Y28" s="3284"/>
      <c r="Z28" s="55"/>
      <c r="AA28" s="1536">
        <v>1</v>
      </c>
      <c r="AB28" s="1536">
        <v>1</v>
      </c>
      <c r="AC28" s="1536">
        <v>1</v>
      </c>
    </row>
    <row r="29" spans="1:29" s="112" customFormat="1" ht="28.5">
      <c r="A29" s="604"/>
      <c r="B29" s="1292" t="s">
        <v>2473</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284"/>
      <c r="Q29" s="1526" t="str">
        <f t="shared" ref="Q29" si="9">B29</f>
        <v>基础设施水平</v>
      </c>
      <c r="R29" s="709" t="s">
        <v>17</v>
      </c>
      <c r="S29" s="710">
        <f>F29</f>
        <v>100</v>
      </c>
      <c r="T29" s="709" t="s">
        <v>17</v>
      </c>
      <c r="U29" s="710">
        <f>H29</f>
        <v>100</v>
      </c>
      <c r="V29" s="709" t="s">
        <v>17</v>
      </c>
      <c r="W29" s="710">
        <f>J29</f>
        <v>100</v>
      </c>
      <c r="X29" s="711"/>
      <c r="Y29" s="3284"/>
      <c r="Z29" s="55"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1"/>
      <c r="M30" s="2942"/>
      <c r="N30" s="2942"/>
      <c r="O30" s="2996"/>
      <c r="P30" s="3284"/>
      <c r="Q30" s="1526"/>
      <c r="R30" s="709"/>
      <c r="S30" s="710"/>
      <c r="T30" s="709"/>
      <c r="U30" s="710"/>
      <c r="V30" s="709"/>
      <c r="W30" s="710"/>
      <c r="X30" s="711"/>
      <c r="Y30" s="3284"/>
      <c r="Z30" s="55"/>
      <c r="AA30" s="1536">
        <v>1</v>
      </c>
      <c r="AB30" s="1536">
        <v>1</v>
      </c>
      <c r="AC30" s="1536">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284"/>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284"/>
      <c r="Z31" s="1539" t="str">
        <f t="shared" ref="Z31:Z45" si="13">Q31</f>
        <v>临街状况</v>
      </c>
      <c r="AA31" s="1536">
        <f t="shared" si="3"/>
        <v>1</v>
      </c>
      <c r="AB31" s="1536">
        <f t="shared" si="4"/>
        <v>1</v>
      </c>
      <c r="AC31" s="1536">
        <f t="shared" si="5"/>
        <v>1</v>
      </c>
    </row>
    <row r="32" spans="1:29" ht="27">
      <c r="A32" s="386"/>
      <c r="B32" s="1292"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284"/>
      <c r="Q32" s="1535" t="str">
        <f t="shared" si="8"/>
        <v>毗邻道路的类型与等级</v>
      </c>
      <c r="R32" s="713" t="s">
        <v>17</v>
      </c>
      <c r="S32" s="714">
        <f t="shared" si="10"/>
        <v>100</v>
      </c>
      <c r="T32" s="713" t="s">
        <v>17</v>
      </c>
      <c r="U32" s="714">
        <f t="shared" si="11"/>
        <v>100</v>
      </c>
      <c r="V32" s="713" t="s">
        <v>17</v>
      </c>
      <c r="W32" s="714">
        <f t="shared" si="12"/>
        <v>100</v>
      </c>
      <c r="X32" s="1538"/>
      <c r="Y32" s="3284"/>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46"/>
      <c r="M33" s="2940"/>
      <c r="N33" s="2940"/>
      <c r="O33" s="2998"/>
      <c r="P33" s="3284"/>
      <c r="Q33" s="1535"/>
      <c r="R33" s="713"/>
      <c r="S33" s="714"/>
      <c r="T33" s="713"/>
      <c r="U33" s="714"/>
      <c r="V33" s="713"/>
      <c r="W33" s="714"/>
      <c r="X33" s="1538"/>
      <c r="Y33" s="3284"/>
      <c r="Z33" s="1539"/>
      <c r="AA33" s="1536">
        <v>1</v>
      </c>
      <c r="AB33" s="1536">
        <v>1</v>
      </c>
      <c r="AC33" s="1536">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284"/>
      <c r="Q34" s="1535" t="str">
        <f t="shared" si="8"/>
        <v>土地级别</v>
      </c>
      <c r="R34" s="713" t="s">
        <v>17</v>
      </c>
      <c r="S34" s="714">
        <f t="shared" si="10"/>
        <v>100</v>
      </c>
      <c r="T34" s="713" t="s">
        <v>17</v>
      </c>
      <c r="U34" s="714">
        <f t="shared" si="11"/>
        <v>100</v>
      </c>
      <c r="V34" s="713" t="s">
        <v>17</v>
      </c>
      <c r="W34" s="714">
        <f t="shared" si="12"/>
        <v>100</v>
      </c>
      <c r="X34" s="1538"/>
      <c r="Y34" s="3284"/>
      <c r="Z34" s="1539" t="str">
        <f t="shared" si="13"/>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284"/>
      <c r="Q35" s="1535">
        <f t="shared" si="8"/>
        <v>111</v>
      </c>
      <c r="R35" s="713" t="s">
        <v>17</v>
      </c>
      <c r="S35" s="714">
        <f t="shared" si="10"/>
        <v>100</v>
      </c>
      <c r="T35" s="713" t="s">
        <v>17</v>
      </c>
      <c r="U35" s="714">
        <f t="shared" si="11"/>
        <v>100</v>
      </c>
      <c r="V35" s="713" t="s">
        <v>17</v>
      </c>
      <c r="W35" s="714">
        <f t="shared" si="12"/>
        <v>100</v>
      </c>
      <c r="X35" s="1538"/>
      <c r="Y35" s="3284"/>
      <c r="Z35" s="1539">
        <f t="shared" si="13"/>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00" t="s">
        <v>2383</v>
      </c>
      <c r="Q36" s="1535">
        <f t="shared" si="8"/>
        <v>111</v>
      </c>
      <c r="R36" s="713" t="s">
        <v>17</v>
      </c>
      <c r="S36" s="714">
        <f t="shared" si="10"/>
        <v>100</v>
      </c>
      <c r="T36" s="713" t="s">
        <v>17</v>
      </c>
      <c r="U36" s="714">
        <f t="shared" si="11"/>
        <v>100</v>
      </c>
      <c r="V36" s="713" t="s">
        <v>17</v>
      </c>
      <c r="W36" s="714">
        <f t="shared" si="12"/>
        <v>100</v>
      </c>
      <c r="X36" s="1538"/>
      <c r="Y36" s="3285" t="s">
        <v>2383</v>
      </c>
      <c r="Z36" s="1539">
        <f t="shared" si="13"/>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285"/>
      <c r="Q37" s="1535">
        <f t="shared" si="8"/>
        <v>111</v>
      </c>
      <c r="R37" s="716" t="s">
        <v>17</v>
      </c>
      <c r="S37" s="717">
        <f t="shared" si="10"/>
        <v>100</v>
      </c>
      <c r="T37" s="716" t="s">
        <v>17</v>
      </c>
      <c r="U37" s="717">
        <f t="shared" si="11"/>
        <v>100</v>
      </c>
      <c r="V37" s="716" t="s">
        <v>17</v>
      </c>
      <c r="W37" s="717">
        <f t="shared" si="12"/>
        <v>100</v>
      </c>
      <c r="X37" s="718"/>
      <c r="Y37" s="3285"/>
      <c r="Z37" s="719">
        <f t="shared" si="13"/>
        <v>111</v>
      </c>
      <c r="AA37" s="1536">
        <f t="shared" si="3"/>
        <v>1</v>
      </c>
      <c r="AB37" s="1536">
        <f t="shared" si="4"/>
        <v>1</v>
      </c>
      <c r="AC37" s="1536">
        <f t="shared" si="5"/>
        <v>1</v>
      </c>
    </row>
    <row r="38" spans="1:29" ht="15">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285"/>
      <c r="Q38" s="1535" t="str">
        <f>B38</f>
        <v>宗地面积</v>
      </c>
      <c r="R38" s="713" t="s">
        <v>17</v>
      </c>
      <c r="S38" s="714" t="e">
        <f t="shared" si="10"/>
        <v>#N/A</v>
      </c>
      <c r="T38" s="713" t="s">
        <v>17</v>
      </c>
      <c r="U38" s="714" t="e">
        <f t="shared" si="11"/>
        <v>#N/A</v>
      </c>
      <c r="V38" s="713" t="s">
        <v>17</v>
      </c>
      <c r="W38" s="714" t="e">
        <f t="shared" si="12"/>
        <v>#N/A</v>
      </c>
      <c r="X38" s="1538"/>
      <c r="Y38" s="3285"/>
      <c r="Z38" s="1539" t="str">
        <f t="shared" si="13"/>
        <v>宗地面积</v>
      </c>
      <c r="AA38" s="1536" t="e">
        <f t="shared" si="3"/>
        <v>#N/A</v>
      </c>
      <c r="AB38" s="1536" t="e">
        <f t="shared" si="4"/>
        <v>#N/A</v>
      </c>
      <c r="AC38" s="1536" t="e">
        <f t="shared" si="5"/>
        <v>#N/A</v>
      </c>
    </row>
    <row r="39" spans="1:29" ht="15">
      <c r="A39" s="430"/>
      <c r="B39" s="380" t="s">
        <v>2570</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46"/>
      <c r="M39" s="2940"/>
      <c r="N39" s="2940"/>
      <c r="O39" s="2998"/>
      <c r="P39" s="3285"/>
      <c r="Q39" s="1535" t="str">
        <f t="shared" ref="Q39:Q45" si="14">B39</f>
        <v>宗地形状</v>
      </c>
      <c r="R39" s="713" t="s">
        <v>17</v>
      </c>
      <c r="S39" s="714">
        <f t="shared" si="10"/>
        <v>100</v>
      </c>
      <c r="T39" s="713" t="s">
        <v>17</v>
      </c>
      <c r="U39" s="714">
        <f t="shared" si="11"/>
        <v>100</v>
      </c>
      <c r="V39" s="713" t="s">
        <v>17</v>
      </c>
      <c r="W39" s="714">
        <f t="shared" si="12"/>
        <v>100</v>
      </c>
      <c r="X39" s="1538"/>
      <c r="Y39" s="3285"/>
      <c r="Z39" s="1539" t="str">
        <f t="shared" si="13"/>
        <v>宗地形状</v>
      </c>
      <c r="AA39" s="1536">
        <f t="shared" si="3"/>
        <v>1</v>
      </c>
      <c r="AB39" s="1536">
        <f t="shared" si="4"/>
        <v>1</v>
      </c>
      <c r="AC39" s="1536">
        <f t="shared" si="5"/>
        <v>1</v>
      </c>
    </row>
    <row r="40" spans="1:29" ht="15">
      <c r="A40" s="430"/>
      <c r="B40" s="380" t="s">
        <v>2571</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46"/>
      <c r="M40" s="2940"/>
      <c r="N40" s="2940"/>
      <c r="O40" s="2998"/>
      <c r="P40" s="3285"/>
      <c r="Q40" s="1535" t="str">
        <f t="shared" si="14"/>
        <v>临街宽度及深度</v>
      </c>
      <c r="R40" s="713" t="s">
        <v>17</v>
      </c>
      <c r="S40" s="714">
        <f t="shared" si="10"/>
        <v>100</v>
      </c>
      <c r="T40" s="713" t="s">
        <v>17</v>
      </c>
      <c r="U40" s="714">
        <f t="shared" si="11"/>
        <v>100</v>
      </c>
      <c r="V40" s="713" t="s">
        <v>17</v>
      </c>
      <c r="W40" s="714">
        <f t="shared" si="12"/>
        <v>100</v>
      </c>
      <c r="X40" s="1538"/>
      <c r="Y40" s="3285"/>
      <c r="Z40" s="1539" t="str">
        <f t="shared" si="13"/>
        <v>临街宽度及深度</v>
      </c>
      <c r="AA40" s="1536">
        <f t="shared" si="3"/>
        <v>1</v>
      </c>
      <c r="AB40" s="1536">
        <f t="shared" si="4"/>
        <v>1</v>
      </c>
      <c r="AC40" s="1536">
        <f t="shared" si="5"/>
        <v>1</v>
      </c>
    </row>
    <row r="41" spans="1:29" s="112" customFormat="1" ht="15">
      <c r="A41" s="431"/>
      <c r="B41" s="380" t="s">
        <v>2572</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1"/>
      <c r="M41" s="2942"/>
      <c r="N41" s="2942"/>
      <c r="O41" s="2996"/>
      <c r="P41" s="3285"/>
      <c r="Q41" s="1535" t="str">
        <f t="shared" si="14"/>
        <v>宗地开发程度</v>
      </c>
      <c r="R41" s="709" t="s">
        <v>17</v>
      </c>
      <c r="S41" s="710">
        <f t="shared" si="10"/>
        <v>100</v>
      </c>
      <c r="T41" s="709" t="s">
        <v>17</v>
      </c>
      <c r="U41" s="710">
        <f t="shared" si="11"/>
        <v>100</v>
      </c>
      <c r="V41" s="709" t="s">
        <v>17</v>
      </c>
      <c r="W41" s="710">
        <f t="shared" si="12"/>
        <v>100</v>
      </c>
      <c r="X41" s="711"/>
      <c r="Y41" s="3285"/>
      <c r="Z41" s="55" t="str">
        <f t="shared" si="13"/>
        <v>宗地开发程度</v>
      </c>
      <c r="AA41" s="712">
        <f t="shared" si="3"/>
        <v>1</v>
      </c>
      <c r="AB41" s="712">
        <f t="shared" si="4"/>
        <v>1</v>
      </c>
      <c r="AC41" s="712">
        <f t="shared" si="5"/>
        <v>1</v>
      </c>
    </row>
    <row r="42" spans="1:29" ht="15">
      <c r="A42" s="430"/>
      <c r="B42" s="380" t="s">
        <v>2573</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46"/>
      <c r="M42" s="2940"/>
      <c r="N42" s="2940"/>
      <c r="O42" s="2998"/>
      <c r="P42" s="3285" t="s">
        <v>2383</v>
      </c>
      <c r="Q42" s="1535" t="str">
        <f t="shared" si="14"/>
        <v>工程地质条件</v>
      </c>
      <c r="R42" s="713" t="s">
        <v>17</v>
      </c>
      <c r="S42" s="714">
        <f t="shared" si="10"/>
        <v>100</v>
      </c>
      <c r="T42" s="713" t="s">
        <v>17</v>
      </c>
      <c r="U42" s="714">
        <f t="shared" si="11"/>
        <v>100</v>
      </c>
      <c r="V42" s="713" t="s">
        <v>17</v>
      </c>
      <c r="W42" s="714">
        <f t="shared" si="12"/>
        <v>100</v>
      </c>
      <c r="X42" s="1538"/>
      <c r="Y42" s="3285" t="s">
        <v>2383</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285"/>
      <c r="Q43" s="1535">
        <f t="shared" si="14"/>
        <v>111</v>
      </c>
      <c r="R43" s="713" t="s">
        <v>17</v>
      </c>
      <c r="S43" s="714">
        <f t="shared" si="10"/>
        <v>100</v>
      </c>
      <c r="T43" s="713" t="s">
        <v>17</v>
      </c>
      <c r="U43" s="714">
        <f t="shared" si="11"/>
        <v>100</v>
      </c>
      <c r="V43" s="713" t="s">
        <v>17</v>
      </c>
      <c r="W43" s="714">
        <f t="shared" si="12"/>
        <v>100</v>
      </c>
      <c r="X43" s="1538"/>
      <c r="Y43" s="3285"/>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285"/>
      <c r="Q44" s="1535">
        <f t="shared" si="14"/>
        <v>111</v>
      </c>
      <c r="R44" s="713" t="s">
        <v>17</v>
      </c>
      <c r="S44" s="714">
        <f t="shared" si="10"/>
        <v>100</v>
      </c>
      <c r="T44" s="713" t="s">
        <v>17</v>
      </c>
      <c r="U44" s="714">
        <f t="shared" si="11"/>
        <v>100</v>
      </c>
      <c r="V44" s="713" t="s">
        <v>17</v>
      </c>
      <c r="W44" s="714">
        <f t="shared" si="12"/>
        <v>100</v>
      </c>
      <c r="X44" s="1538"/>
      <c r="Y44" s="3285"/>
      <c r="Z44" s="1539">
        <f t="shared" si="13"/>
        <v>111</v>
      </c>
      <c r="AA44" s="1536">
        <f t="shared" si="3"/>
        <v>1</v>
      </c>
      <c r="AB44" s="1536">
        <f t="shared" si="4"/>
        <v>1</v>
      </c>
      <c r="AC44" s="1536">
        <f t="shared" si="5"/>
        <v>1</v>
      </c>
    </row>
    <row r="45" spans="1:29" s="429" customFormat="1" ht="15.75" thickBot="1">
      <c r="A45" s="426"/>
      <c r="B45" s="1295">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285"/>
      <c r="Q45" s="1535">
        <f t="shared" si="14"/>
        <v>111</v>
      </c>
      <c r="R45" s="716" t="s">
        <v>17</v>
      </c>
      <c r="S45" s="717">
        <f t="shared" si="10"/>
        <v>100</v>
      </c>
      <c r="T45" s="716" t="s">
        <v>17</v>
      </c>
      <c r="U45" s="717">
        <f t="shared" si="11"/>
        <v>100</v>
      </c>
      <c r="V45" s="716" t="s">
        <v>17</v>
      </c>
      <c r="W45" s="717">
        <f t="shared" si="12"/>
        <v>100</v>
      </c>
      <c r="X45" s="718"/>
      <c r="Y45" s="3285"/>
      <c r="Z45" s="719">
        <f t="shared" si="13"/>
        <v>111</v>
      </c>
      <c r="AA45" s="1536">
        <f t="shared" si="3"/>
        <v>1</v>
      </c>
      <c r="AB45" s="1536">
        <f t="shared" si="4"/>
        <v>1</v>
      </c>
      <c r="AC45" s="1536">
        <f t="shared" si="5"/>
        <v>1</v>
      </c>
    </row>
    <row r="46" spans="1:29" ht="15">
      <c r="A46" s="437" t="s">
        <v>2538</v>
      </c>
      <c r="B46" s="2167" t="s">
        <v>2574</v>
      </c>
      <c r="C46" s="637" t="s">
        <v>1</v>
      </c>
      <c r="D46" s="439"/>
      <c r="E46" s="440"/>
      <c r="F46" s="441"/>
      <c r="G46" s="442"/>
      <c r="H46" s="443"/>
      <c r="I46" s="440"/>
      <c r="J46" s="443"/>
      <c r="K46" s="722"/>
      <c r="L46" s="2948"/>
      <c r="M46" s="2949"/>
      <c r="N46" s="2940"/>
      <c r="O46" s="2949"/>
      <c r="P46" s="3265" t="str">
        <f>A46</f>
        <v>成交单价</v>
      </c>
      <c r="Q46" s="3265"/>
      <c r="R46" s="3282">
        <f>E46</f>
        <v>0</v>
      </c>
      <c r="S46" s="3282"/>
      <c r="T46" s="3282">
        <f>G46</f>
        <v>0</v>
      </c>
      <c r="U46" s="3282"/>
      <c r="V46" s="3282">
        <f>I46</f>
        <v>0</v>
      </c>
      <c r="W46" s="3282"/>
      <c r="X46" s="698"/>
      <c r="Y46" s="720"/>
      <c r="Z46" s="698"/>
      <c r="AA46" s="698"/>
      <c r="AB46" s="698"/>
      <c r="AC46" s="698"/>
    </row>
    <row r="47" spans="1:29" ht="15.75" thickBot="1">
      <c r="A47" s="444" t="s">
        <v>2487</v>
      </c>
      <c r="B47" s="638"/>
      <c r="C47" s="447" t="e">
        <f>R48</f>
        <v>#DIV/0!</v>
      </c>
      <c r="D47" s="2537" t="s">
        <v>2877</v>
      </c>
      <c r="E47" s="447" t="e">
        <f>R47</f>
        <v>#DIV/0!</v>
      </c>
      <c r="F47" s="2538"/>
      <c r="G47" s="446" t="e">
        <f>T47</f>
        <v>#DIV/0!</v>
      </c>
      <c r="H47" s="2538"/>
      <c r="I47" s="447" t="e">
        <f>V47</f>
        <v>#DIV/0!</v>
      </c>
      <c r="J47" s="2538"/>
      <c r="K47" s="2540">
        <f>F47+H47+J47</f>
        <v>0</v>
      </c>
      <c r="L47" s="2948"/>
      <c r="M47" s="2949"/>
      <c r="N47" s="2949"/>
      <c r="O47" s="2949"/>
      <c r="P47" s="3265" t="str">
        <f>A47</f>
        <v>比较价值（元/平方米）</v>
      </c>
      <c r="Q47" s="3265"/>
      <c r="R47" s="3304" t="e">
        <f>ROUND(PRODUCT(R46,AA7:AA45),0)</f>
        <v>#DIV/0!</v>
      </c>
      <c r="S47" s="3304"/>
      <c r="T47" s="3304" t="e">
        <f>ROUND(PRODUCT(T46,AB7:AB45),0)</f>
        <v>#DIV/0!</v>
      </c>
      <c r="U47" s="3304"/>
      <c r="V47" s="3304" t="e">
        <f>ROUND(PRODUCT(V46,AC7:AC45),0)</f>
        <v>#DIV/0!</v>
      </c>
      <c r="W47" s="3304"/>
      <c r="X47" s="698"/>
      <c r="Y47" s="698"/>
      <c r="Z47" s="698"/>
      <c r="AA47" s="698"/>
      <c r="AB47" s="698"/>
      <c r="AC47" s="698"/>
    </row>
    <row r="48" spans="1:29" ht="15.75" thickBot="1">
      <c r="A48" s="448" t="s">
        <v>2575</v>
      </c>
      <c r="B48" s="449"/>
      <c r="C48" s="450" t="e">
        <f>R48</f>
        <v>#DIV/0!</v>
      </c>
      <c r="D48" s="450"/>
      <c r="E48" s="450"/>
      <c r="F48" s="450"/>
      <c r="G48" s="450"/>
      <c r="H48" s="450"/>
      <c r="I48" s="450"/>
      <c r="J48" s="450"/>
      <c r="K48" s="723"/>
      <c r="L48" s="2948"/>
      <c r="M48" s="2949"/>
      <c r="N48" s="2949"/>
      <c r="O48" s="2949"/>
      <c r="P48" s="3301" t="str">
        <f>A48</f>
        <v>估价对象XX用房的比较价值（楼面单价，元/平方米）</v>
      </c>
      <c r="Q48" s="3302"/>
      <c r="R48" s="3303" t="e">
        <f>ROUND(IF(D47="简单平均",AVERAGE(R47:W47),R47*F47+T47*H47+V47*J47),0)</f>
        <v>#DIV/0!</v>
      </c>
      <c r="S48" s="3303"/>
      <c r="T48" s="3303"/>
      <c r="U48" s="3303"/>
      <c r="V48" s="3303"/>
      <c r="W48" s="3303"/>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2576</v>
      </c>
      <c r="B55" s="640" t="s">
        <v>2577</v>
      </c>
      <c r="C55" s="2168" t="s">
        <v>2578</v>
      </c>
      <c r="D55" s="2169" t="s">
        <v>2579</v>
      </c>
      <c r="E55" s="641" t="s">
        <v>2580</v>
      </c>
      <c r="F55" s="1020" t="s">
        <v>2581</v>
      </c>
      <c r="G55" s="3262" t="s">
        <v>2582</v>
      </c>
      <c r="H55" s="3263"/>
      <c r="I55" s="139" t="s">
        <v>2583</v>
      </c>
      <c r="J55" s="2170" t="str">
        <f>项目基本情况!F35</f>
        <v>吉林省</v>
      </c>
      <c r="K55" s="2171" t="s">
        <v>2584</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2585</v>
      </c>
      <c r="B56" s="644" t="e">
        <f>C48</f>
        <v>#DIV/0!</v>
      </c>
      <c r="C56" s="645">
        <v>1</v>
      </c>
      <c r="D56" s="1074">
        <v>1</v>
      </c>
      <c r="E56" s="645">
        <f>'数据-汇总表'!E8+'数据-汇总表'!E9</f>
        <v>34910.400000000001</v>
      </c>
      <c r="F56" s="1016" t="e">
        <f t="shared" ref="F56:F65" si="15">ROUND(B56*E56/10000,0)</f>
        <v>#DIV/0!</v>
      </c>
      <c r="G56" s="3264"/>
      <c r="H56" s="3265"/>
      <c r="I56" s="1021">
        <v>1</v>
      </c>
      <c r="J56" s="1024">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2586</v>
      </c>
      <c r="B57" s="223" t="e">
        <f>ROUND($C$48*C57*D57,0)</f>
        <v>#DIV/0!</v>
      </c>
      <c r="C57" s="175">
        <f t="shared" ref="C57:C65" si="16">IF($C$55="北京市系数",I57,J57)</f>
        <v>0</v>
      </c>
      <c r="D57" s="1075">
        <v>0.25</v>
      </c>
      <c r="E57" s="649"/>
      <c r="F57" s="1016" t="e">
        <f t="shared" si="15"/>
        <v>#DIV/0!</v>
      </c>
      <c r="G57" s="3266" t="s">
        <v>2587</v>
      </c>
      <c r="H57" s="1017">
        <f>项目基本情况!B37</f>
        <v>0</v>
      </c>
      <c r="I57" s="1021">
        <f>SUMIF(修正!A45:A56,H57,修正!B45:B56)</f>
        <v>0</v>
      </c>
      <c r="J57" s="1025"/>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2588</v>
      </c>
      <c r="B58" s="223" t="e">
        <f t="shared" ref="B58:B65" si="17">ROUND($C$48*C58*D58,0)</f>
        <v>#DIV/0!</v>
      </c>
      <c r="C58" s="175">
        <f t="shared" si="16"/>
        <v>0</v>
      </c>
      <c r="D58" s="1075">
        <v>0.25</v>
      </c>
      <c r="E58" s="649"/>
      <c r="F58" s="1016" t="e">
        <f t="shared" si="15"/>
        <v>#DIV/0!</v>
      </c>
      <c r="G58" s="3266"/>
      <c r="H58" s="1017">
        <f>项目基本情况!B37</f>
        <v>0</v>
      </c>
      <c r="I58" s="1021">
        <f>SUMIF(修正!A45:A56,H58,修正!C45:C56)</f>
        <v>0</v>
      </c>
      <c r="J58" s="1025"/>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2589</v>
      </c>
      <c r="B59" s="223" t="e">
        <f t="shared" si="17"/>
        <v>#DIV/0!</v>
      </c>
      <c r="C59" s="175">
        <f t="shared" si="16"/>
        <v>0</v>
      </c>
      <c r="D59" s="1075">
        <v>0.25</v>
      </c>
      <c r="E59" s="649"/>
      <c r="F59" s="1016" t="e">
        <f t="shared" si="15"/>
        <v>#DIV/0!</v>
      </c>
      <c r="G59" s="3266"/>
      <c r="H59" s="1017">
        <f>项目基本情况!B37</f>
        <v>0</v>
      </c>
      <c r="I59" s="1021">
        <f>SUMIF(修正!A45:A56,H59,修正!D45:D56)</f>
        <v>0</v>
      </c>
      <c r="J59" s="1025"/>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2590</v>
      </c>
      <c r="B60" s="223" t="e">
        <f t="shared" si="17"/>
        <v>#DIV/0!</v>
      </c>
      <c r="C60" s="175">
        <f t="shared" si="16"/>
        <v>0</v>
      </c>
      <c r="D60" s="1075">
        <v>0.25</v>
      </c>
      <c r="E60" s="649"/>
      <c r="F60" s="1016" t="e">
        <f t="shared" si="15"/>
        <v>#DIV/0!</v>
      </c>
      <c r="G60" s="3266"/>
      <c r="H60" s="1017">
        <f>项目基本情况!B37</f>
        <v>0</v>
      </c>
      <c r="I60" s="1021">
        <f>SUMIF(修正!A45:A56,H60,修正!E45:E56)</f>
        <v>0</v>
      </c>
      <c r="J60" s="1025"/>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2591</v>
      </c>
      <c r="B61" s="223" t="e">
        <f t="shared" si="17"/>
        <v>#DIV/0!</v>
      </c>
      <c r="C61" s="175">
        <f t="shared" si="16"/>
        <v>0</v>
      </c>
      <c r="D61" s="1075">
        <v>0.25</v>
      </c>
      <c r="E61" s="222">
        <f>'数据-汇总表'!E11</f>
        <v>0</v>
      </c>
      <c r="F61" s="1016" t="e">
        <f t="shared" si="15"/>
        <v>#DIV/0!</v>
      </c>
      <c r="G61" s="2172" t="s">
        <v>2592</v>
      </c>
      <c r="H61" s="1017">
        <f>项目基本情况!C37</f>
        <v>0</v>
      </c>
      <c r="I61" s="1021">
        <f>SUMIF(修正!A45:A56,H61,修正!F45:F56)</f>
        <v>0</v>
      </c>
      <c r="J61" s="1025"/>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2593</v>
      </c>
      <c r="B62" s="223" t="e">
        <f t="shared" si="17"/>
        <v>#DIV/0!</v>
      </c>
      <c r="C62" s="175">
        <f t="shared" si="16"/>
        <v>0</v>
      </c>
      <c r="D62" s="1075">
        <v>0.25</v>
      </c>
      <c r="E62" s="222">
        <f>'数据-汇总表'!E12</f>
        <v>0</v>
      </c>
      <c r="F62" s="1016" t="e">
        <f t="shared" si="15"/>
        <v>#DIV/0!</v>
      </c>
      <c r="G62" s="1022" t="s">
        <v>2594</v>
      </c>
      <c r="H62" s="1017">
        <f>IF(G62="商业",项目基本情况!B37,IF(G62="办公",项目基本情况!C37,IF(G62="住宅",项目基本情况!D37,项目基本情况!E37)))</f>
        <v>0</v>
      </c>
      <c r="I62" s="1021">
        <f>SUMIF(修正!A45:A56,H62,修正!G45:G56)</f>
        <v>0</v>
      </c>
      <c r="J62" s="1025"/>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2595</v>
      </c>
      <c r="B63" s="223" t="e">
        <f t="shared" si="17"/>
        <v>#DIV/0!</v>
      </c>
      <c r="C63" s="175">
        <f t="shared" si="16"/>
        <v>0</v>
      </c>
      <c r="D63" s="1075">
        <v>0.25</v>
      </c>
      <c r="E63" s="222">
        <f>'数据-汇总表'!E13</f>
        <v>0</v>
      </c>
      <c r="F63" s="1016" t="e">
        <f t="shared" si="15"/>
        <v>#DIV/0!</v>
      </c>
      <c r="G63" s="1022" t="s">
        <v>2596</v>
      </c>
      <c r="H63" s="1017">
        <f>IF(G63="商业",项目基本情况!B37,IF(G63="办公",项目基本情况!C37,IF(G63="住宅",项目基本情况!D37,项目基本情况!E37)))</f>
        <v>0</v>
      </c>
      <c r="I63" s="1021">
        <f>SUMIF(修正!A45:A56,H63,修正!H45:H56)</f>
        <v>0</v>
      </c>
      <c r="J63" s="1025"/>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2597</v>
      </c>
      <c r="B64" s="223" t="e">
        <f t="shared" si="17"/>
        <v>#DIV/0!</v>
      </c>
      <c r="C64" s="175">
        <f t="shared" si="16"/>
        <v>0</v>
      </c>
      <c r="D64" s="1075">
        <v>0.25</v>
      </c>
      <c r="E64" s="222">
        <f>'数据-汇总表'!E14</f>
        <v>0</v>
      </c>
      <c r="F64" s="1016" t="e">
        <f t="shared" si="15"/>
        <v>#DIV/0!</v>
      </c>
      <c r="G64" s="2172" t="s">
        <v>2587</v>
      </c>
      <c r="H64" s="1017">
        <f>项目基本情况!B37</f>
        <v>0</v>
      </c>
      <c r="I64" s="1021">
        <f>SUMIF(修正!A45:A56,H64,修正!H45:H56)</f>
        <v>0</v>
      </c>
      <c r="J64" s="1025"/>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2598</v>
      </c>
      <c r="B65" s="223" t="e">
        <f t="shared" si="17"/>
        <v>#DIV/0!</v>
      </c>
      <c r="C65" s="175">
        <f t="shared" si="16"/>
        <v>0</v>
      </c>
      <c r="D65" s="1075">
        <v>0.25</v>
      </c>
      <c r="E65" s="222">
        <f>'数据-汇总表'!E15</f>
        <v>0</v>
      </c>
      <c r="F65" s="1016" t="e">
        <f t="shared" si="15"/>
        <v>#DIV/0!</v>
      </c>
      <c r="G65" s="2173" t="s">
        <v>2592</v>
      </c>
      <c r="H65" s="1027">
        <f>项目基本情况!C37</f>
        <v>0</v>
      </c>
      <c r="I65" s="1023">
        <f>SUMIF(修正!A45:A56,H65,修正!H45:H56)</f>
        <v>0</v>
      </c>
      <c r="J65" s="1026"/>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2599</v>
      </c>
      <c r="B66" s="651" t="s">
        <v>28</v>
      </c>
      <c r="C66" s="651" t="s">
        <v>29</v>
      </c>
      <c r="D66" s="651" t="s">
        <v>997</v>
      </c>
      <c r="E66" s="651">
        <f>IF(B46="楼面地价",SUM(E56:E65),'数据-汇总表'!D3)</f>
        <v>34910.400000000001</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7"/>
      <c r="K67" s="1018"/>
      <c r="L67" s="1019"/>
      <c r="M67" s="1057"/>
      <c r="N67" s="1057"/>
      <c r="O67" s="1057"/>
      <c r="P67" s="2949"/>
      <c r="Q67" s="2949"/>
      <c r="R67" s="2949"/>
      <c r="S67" s="2949"/>
      <c r="T67" s="2949"/>
      <c r="U67" s="2949"/>
      <c r="V67" s="2949"/>
      <c r="W67" s="2949"/>
      <c r="X67" s="2949"/>
      <c r="Y67" s="2949"/>
      <c r="Z67" s="2949"/>
      <c r="AA67" s="2949"/>
      <c r="AB67" s="2949"/>
      <c r="AC67" s="2949"/>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9"/>
      <c r="Q68" s="2949"/>
      <c r="R68" s="2949"/>
      <c r="S68" s="2949"/>
      <c r="T68" s="2949"/>
      <c r="U68" s="2949"/>
      <c r="V68" s="2949"/>
      <c r="W68" s="2949"/>
      <c r="X68" s="2949"/>
      <c r="Y68" s="2949"/>
      <c r="Z68" s="2949"/>
      <c r="AA68" s="2949"/>
      <c r="AB68" s="2949"/>
      <c r="AC68" s="2949"/>
    </row>
    <row r="69" spans="1:29" ht="21.75" thickBot="1">
      <c r="A69" s="702" t="s">
        <v>2492</v>
      </c>
      <c r="B69" s="698"/>
      <c r="C69" s="703"/>
      <c r="D69" s="703"/>
      <c r="E69" s="703"/>
      <c r="F69" s="704"/>
      <c r="G69" s="704"/>
      <c r="H69" s="703"/>
      <c r="I69" s="703"/>
      <c r="J69" s="1070"/>
      <c r="K69" s="1071"/>
      <c r="L69" s="1072"/>
      <c r="M69" s="1070"/>
      <c r="N69" s="2993"/>
      <c r="O69" s="2993"/>
      <c r="P69" s="2993"/>
      <c r="Q69" s="2963"/>
      <c r="R69" s="2949"/>
      <c r="S69" s="2949"/>
      <c r="T69" s="2949"/>
      <c r="U69" s="2949"/>
      <c r="V69" s="2949"/>
      <c r="W69" s="2949"/>
      <c r="X69" s="2949"/>
      <c r="Y69" s="2949"/>
      <c r="Z69" s="2949"/>
      <c r="AA69" s="2949"/>
      <c r="AB69" s="2949"/>
      <c r="AC69" s="2949"/>
    </row>
    <row r="70" spans="1:29" s="464" customFormat="1" ht="15">
      <c r="A70" s="2174" t="s">
        <v>2600</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0"/>
      <c r="Q70" s="2965"/>
      <c r="R70" s="2965"/>
      <c r="S70" s="2965"/>
      <c r="T70" s="2965"/>
      <c r="U70" s="2965"/>
      <c r="V70" s="2965"/>
      <c r="W70" s="2965"/>
      <c r="X70" s="2965"/>
      <c r="Y70" s="2965"/>
      <c r="Z70" s="2965"/>
      <c r="AA70" s="2965"/>
      <c r="AB70" s="2965"/>
      <c r="AC70" s="2965"/>
    </row>
    <row r="71" spans="1:29" s="112" customFormat="1" ht="30" customHeight="1">
      <c r="A71" s="2175" t="s">
        <v>2601</v>
      </c>
      <c r="B71" s="293" t="str">
        <f>"北京市平均增长率"&amp;TEXT(SUMIF(基准地价修正!N21:N25,A71,基准地价修正!P21:P25),"0.00%")</f>
        <v>北京市平均增长率1.90%</v>
      </c>
      <c r="C71" s="559">
        <v>100</v>
      </c>
      <c r="D71" s="551"/>
      <c r="E71" s="551"/>
      <c r="F71" s="551"/>
      <c r="G71" s="551"/>
      <c r="H71" s="551"/>
      <c r="I71" s="551"/>
      <c r="J71" s="551"/>
      <c r="K71" s="551"/>
      <c r="L71" s="551"/>
      <c r="M71" s="1339"/>
      <c r="N71" s="551"/>
      <c r="O71" s="1340"/>
      <c r="P71" s="2963"/>
      <c r="Q71" s="2884"/>
      <c r="R71" s="2884"/>
      <c r="S71" s="2884"/>
      <c r="T71" s="2884"/>
      <c r="U71" s="2884"/>
      <c r="V71" s="2884"/>
      <c r="W71" s="2884"/>
      <c r="X71" s="2884"/>
      <c r="Y71" s="2884"/>
      <c r="Z71" s="2884"/>
      <c r="AA71" s="2884"/>
      <c r="AB71" s="2884"/>
      <c r="AC71" s="2884"/>
    </row>
    <row r="72" spans="1:29" s="112" customFormat="1" ht="15.75" thickBot="1">
      <c r="A72" s="471" t="s">
        <v>2403</v>
      </c>
      <c r="B72" s="472"/>
      <c r="C72" s="473"/>
      <c r="D72" s="474"/>
      <c r="E72" s="474"/>
      <c r="F72" s="474"/>
      <c r="G72" s="474"/>
      <c r="H72" s="474"/>
      <c r="I72" s="474"/>
      <c r="J72" s="474"/>
      <c r="K72" s="474"/>
      <c r="L72" s="474"/>
      <c r="M72" s="475"/>
      <c r="N72" s="474"/>
      <c r="O72" s="1073"/>
      <c r="P72" s="2963"/>
      <c r="Q72" s="2963"/>
      <c r="R72" s="2884"/>
      <c r="S72" s="2884"/>
      <c r="T72" s="2884"/>
      <c r="U72" s="2884"/>
      <c r="V72" s="2884"/>
      <c r="W72" s="2884"/>
      <c r="X72" s="2884"/>
      <c r="Y72" s="2884"/>
      <c r="Z72" s="2884"/>
      <c r="AA72" s="2884"/>
      <c r="AB72" s="2884"/>
      <c r="AC72" s="2884"/>
    </row>
    <row r="73" spans="1:29" s="112" customFormat="1" ht="15">
      <c r="A73" s="477" t="s">
        <v>2368</v>
      </c>
      <c r="B73" s="466"/>
      <c r="C73" s="478" t="s">
        <v>2470</v>
      </c>
      <c r="D73" s="479"/>
      <c r="E73" s="479"/>
      <c r="F73" s="479"/>
      <c r="G73" s="479"/>
      <c r="H73" s="479"/>
      <c r="I73" s="479"/>
      <c r="J73" s="479"/>
      <c r="K73" s="479"/>
      <c r="L73" s="480"/>
      <c r="M73" s="481"/>
      <c r="N73" s="2976"/>
      <c r="O73" s="2976"/>
      <c r="P73" s="3001"/>
      <c r="Q73" s="2963"/>
      <c r="R73" s="2884"/>
      <c r="S73" s="2884"/>
      <c r="T73" s="2884"/>
      <c r="U73" s="2884"/>
      <c r="V73" s="2884"/>
      <c r="W73" s="2884"/>
      <c r="X73" s="2884"/>
      <c r="Y73" s="2884"/>
      <c r="Z73" s="2884"/>
      <c r="AA73" s="2884"/>
      <c r="AB73" s="2884"/>
      <c r="AC73" s="2884"/>
    </row>
    <row r="74" spans="1:29" s="112" customFormat="1" ht="15.75" thickBot="1">
      <c r="A74" s="477"/>
      <c r="B74" s="466"/>
      <c r="C74" s="594">
        <v>100</v>
      </c>
      <c r="D74" s="468"/>
      <c r="E74" s="468"/>
      <c r="F74" s="468"/>
      <c r="G74" s="468"/>
      <c r="H74" s="468"/>
      <c r="I74" s="468"/>
      <c r="J74" s="468"/>
      <c r="K74" s="468"/>
      <c r="L74" s="468"/>
      <c r="M74" s="470"/>
      <c r="N74" s="2976"/>
      <c r="O74" s="2976"/>
      <c r="P74" s="2963"/>
      <c r="Q74" s="2963"/>
      <c r="R74" s="2884"/>
      <c r="S74" s="2884"/>
      <c r="T74" s="2884"/>
      <c r="U74" s="2884"/>
      <c r="V74" s="2884"/>
      <c r="W74" s="2884"/>
      <c r="X74" s="2884"/>
      <c r="Y74" s="2884"/>
      <c r="Z74" s="2884"/>
      <c r="AA74" s="2884"/>
      <c r="AB74" s="2884"/>
      <c r="AC74" s="2884"/>
    </row>
    <row r="75" spans="1:29">
      <c r="A75" s="483" t="s">
        <v>2406</v>
      </c>
      <c r="B75" s="484" t="s">
        <v>2372</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2375</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2377</v>
      </c>
      <c r="B88" s="484" t="s">
        <v>2414</v>
      </c>
      <c r="C88" s="529" t="s">
        <v>2415</v>
      </c>
      <c r="D88" s="529" t="s">
        <v>2416</v>
      </c>
      <c r="E88" s="529" t="s">
        <v>2417</v>
      </c>
      <c r="F88" s="529" t="s">
        <v>2418</v>
      </c>
      <c r="G88" s="529" t="s">
        <v>2419</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2602</v>
      </c>
      <c r="C90" s="534" t="s">
        <v>2415</v>
      </c>
      <c r="D90" s="534" t="s">
        <v>2416</v>
      </c>
      <c r="E90" s="534" t="s">
        <v>2417</v>
      </c>
      <c r="F90" s="534" t="s">
        <v>2418</v>
      </c>
      <c r="G90" s="534" t="s">
        <v>2419</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2515</v>
      </c>
      <c r="C92" s="534" t="s">
        <v>2415</v>
      </c>
      <c r="D92" s="534" t="s">
        <v>2416</v>
      </c>
      <c r="E92" s="534" t="s">
        <v>2417</v>
      </c>
      <c r="F92" s="534" t="s">
        <v>2418</v>
      </c>
      <c r="G92" s="534" t="s">
        <v>2419</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2420</v>
      </c>
      <c r="C94" s="534" t="s">
        <v>2415</v>
      </c>
      <c r="D94" s="534" t="s">
        <v>2416</v>
      </c>
      <c r="E94" s="534" t="s">
        <v>2417</v>
      </c>
      <c r="F94" s="534" t="s">
        <v>2418</v>
      </c>
      <c r="G94" s="534" t="s">
        <v>2419</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6"/>
      <c r="O96" s="2976"/>
      <c r="P96" s="3002"/>
      <c r="Q96" s="2963"/>
      <c r="R96" s="2884"/>
      <c r="S96" s="2884"/>
      <c r="T96" s="2884"/>
      <c r="U96" s="2884"/>
      <c r="V96" s="2884"/>
      <c r="W96" s="2884"/>
      <c r="X96" s="2884"/>
      <c r="Y96" s="2884"/>
      <c r="Z96" s="2884"/>
      <c r="AA96" s="2884"/>
      <c r="AB96" s="2884"/>
      <c r="AC96" s="2884"/>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4"/>
      <c r="S97" s="2884"/>
      <c r="T97" s="2884"/>
      <c r="U97" s="2884"/>
      <c r="V97" s="2884"/>
      <c r="W97" s="2884"/>
      <c r="X97" s="2884"/>
      <c r="Y97" s="2884"/>
      <c r="Z97" s="2884"/>
      <c r="AA97" s="2884"/>
      <c r="AB97" s="2884"/>
      <c r="AC97" s="2884"/>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6"/>
      <c r="O98" s="2976"/>
      <c r="P98" s="3002"/>
      <c r="Q98" s="2963"/>
      <c r="R98" s="2884"/>
      <c r="S98" s="2884"/>
      <c r="T98" s="2884"/>
      <c r="U98" s="2884"/>
      <c r="V98" s="2884"/>
      <c r="W98" s="2884"/>
      <c r="X98" s="2884"/>
      <c r="Y98" s="2884"/>
      <c r="Z98" s="2884"/>
      <c r="AA98" s="2884"/>
      <c r="AB98" s="2884"/>
      <c r="AC98" s="2884"/>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4"/>
      <c r="S99" s="2884"/>
      <c r="T99" s="2884"/>
      <c r="U99" s="2884"/>
      <c r="V99" s="2884"/>
      <c r="W99" s="2884"/>
      <c r="X99" s="2884"/>
      <c r="Y99" s="2884"/>
      <c r="Z99" s="2884"/>
      <c r="AA99" s="2884"/>
      <c r="AB99" s="2884"/>
      <c r="AC99" s="2884"/>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3"/>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2509</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2568</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c r="A116" s="483" t="s">
        <v>2381</v>
      </c>
      <c r="B116" s="484" t="s">
        <v>2609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2610</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2611</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2612</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2613</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1" t="s">
        <v>2621</v>
      </c>
      <c r="B1" s="202"/>
      <c r="C1" s="206" t="s">
        <v>2622</v>
      </c>
      <c r="D1" s="347">
        <f>SUM(D29:D30,D33:D39)</f>
        <v>0</v>
      </c>
      <c r="E1" s="2180"/>
      <c r="F1" s="2180"/>
      <c r="G1" s="2180"/>
      <c r="H1" s="2180"/>
      <c r="I1" s="2180"/>
      <c r="J1" s="2180"/>
      <c r="K1" s="1279"/>
      <c r="L1" s="2181" t="s">
        <v>2623</v>
      </c>
      <c r="M1" s="993">
        <f>SUMPRODUCT((区片价!B5:B9=I2)*(区片价!C3:F3=E2)*(区片价!C5:F9))</f>
        <v>0</v>
      </c>
      <c r="N1" s="996">
        <f>SUMPRODUCT((因素修正幅度!B5:B9=I2)*(因素修正幅度!C3:F3=E2)*(因素修正幅度!C5:F9))</f>
        <v>0</v>
      </c>
      <c r="O1" s="2182"/>
      <c r="P1" s="2182"/>
      <c r="Q1" s="1279"/>
      <c r="R1" s="1373" t="s">
        <v>2624</v>
      </c>
      <c r="S1" s="1373" t="s">
        <v>2625</v>
      </c>
      <c r="T1" s="1373" t="s">
        <v>2626</v>
      </c>
      <c r="U1" s="1373" t="s">
        <v>2627</v>
      </c>
      <c r="V1" s="1373" t="s">
        <v>2628</v>
      </c>
      <c r="W1" s="1377"/>
      <c r="X1" s="1377"/>
      <c r="Y1" s="1377"/>
      <c r="Z1" s="1377"/>
      <c r="AA1" s="1377"/>
      <c r="AB1" s="1377"/>
      <c r="AC1" s="1378"/>
      <c r="AD1" s="1379"/>
      <c r="AE1" s="1379"/>
      <c r="AF1" s="1379"/>
      <c r="AG1" s="1379"/>
      <c r="AH1" s="1379"/>
      <c r="AI1" s="1379"/>
      <c r="AJ1" s="1380"/>
    </row>
    <row r="2" spans="1:36" ht="15.75">
      <c r="A2" s="206" t="s">
        <v>2629</v>
      </c>
      <c r="B2" s="209" t="e">
        <f>C26</f>
        <v>#DIV/0!</v>
      </c>
      <c r="C2" s="2184" t="s">
        <v>2630</v>
      </c>
      <c r="D2" s="2185" t="s">
        <v>2631</v>
      </c>
      <c r="E2" s="2186"/>
      <c r="F2" s="2185" t="s">
        <v>2632</v>
      </c>
      <c r="G2" s="2187">
        <f>IF(E2="商业",项目基本情况!B37,IF(E2="办公",项目基本情况!C37,IF(E2="住宅",项目基本情况!D37,项目基本情况!E37)))</f>
        <v>0</v>
      </c>
      <c r="H2" s="2185" t="s">
        <v>2633</v>
      </c>
      <c r="I2" s="2187">
        <f>IF(E2="商业",项目基本情况!B38,IF(E2="办公",项目基本情况!C38,IF(E2="住宅",项目基本情况!D38,项目基本情况!E38)))</f>
        <v>0</v>
      </c>
      <c r="J2" s="2188"/>
      <c r="K2" s="1279"/>
      <c r="L2" s="2189" t="s">
        <v>2634</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2635</v>
      </c>
      <c r="B3" s="209" t="e">
        <f>ROUND(B2*10000/D1,0)</f>
        <v>#DIV/0!</v>
      </c>
      <c r="C3" s="2184" t="s">
        <v>2636</v>
      </c>
      <c r="D3" s="2185" t="s">
        <v>2637</v>
      </c>
      <c r="E3" s="2190"/>
      <c r="F3" s="2191" t="s">
        <v>2638</v>
      </c>
      <c r="G3" s="854">
        <f>IF(F3="宗地容积率",'数据-汇总表'!I4,IF(F3="估价对象容积率",'数据-汇总表'!I6,'数据-汇总表'!I7))</f>
        <v>0.8</v>
      </c>
      <c r="H3" s="174" t="s">
        <v>2639</v>
      </c>
      <c r="I3" s="880"/>
      <c r="J3" s="2188" t="s">
        <v>2640</v>
      </c>
      <c r="K3" s="1279"/>
      <c r="L3" s="2189" t="s">
        <v>2641</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4"/>
      <c r="B4" s="3365"/>
      <c r="C4" s="3365"/>
      <c r="D4" s="3366"/>
      <c r="E4" s="3366"/>
      <c r="F4" s="3366"/>
      <c r="G4" s="3366"/>
      <c r="H4" s="3366"/>
      <c r="I4" s="3366"/>
      <c r="J4" s="3367"/>
      <c r="K4" s="1279"/>
      <c r="L4" s="2189" t="s">
        <v>2642</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2643</v>
      </c>
      <c r="C5" s="855" t="e">
        <f>ROUND(IF(E2="商业",C6*C7+C16,(IF(E2="住宅",C6*C12+C16,C6+C16))),0)</f>
        <v>#DIV/0!</v>
      </c>
      <c r="D5" s="1522" t="e">
        <f>ROUND(C6+C16,0)</f>
        <v>#DIV/0!</v>
      </c>
      <c r="E5" s="1522"/>
      <c r="F5" s="2194"/>
      <c r="G5" s="2195"/>
      <c r="H5" s="2195"/>
      <c r="I5" s="2195"/>
      <c r="J5" s="2196"/>
      <c r="K5" s="2197"/>
      <c r="L5" s="2189" t="s">
        <v>2644</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2645</v>
      </c>
      <c r="B6" s="2203" t="s">
        <v>2646</v>
      </c>
      <c r="C6" s="856">
        <f>SUMIF(L1:L12,G2,M1:M12)</f>
        <v>0</v>
      </c>
      <c r="D6" s="2204" t="s">
        <v>2647</v>
      </c>
      <c r="E6" s="2205"/>
      <c r="F6" s="2205"/>
      <c r="G6" s="2206"/>
      <c r="H6" s="2206"/>
      <c r="I6" s="2206"/>
      <c r="J6" s="2207"/>
      <c r="K6" s="1567"/>
      <c r="L6" s="2189" t="s">
        <v>2648</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68" t="str">
        <f>IF(E2="商业",IF(C8="不临58条商业街","",2),"")</f>
        <v/>
      </c>
      <c r="B7" s="2208" t="s">
        <v>2649</v>
      </c>
      <c r="C7" s="857" t="e">
        <f>IF(C8="不临58条商业街",1,ROUND(1+(1.6*E8+1.2*E9+0.8*E10+0.4*E11)*C9,4))</f>
        <v>#DIV/0!</v>
      </c>
      <c r="D7" s="2209" t="s">
        <v>2650</v>
      </c>
      <c r="E7" s="881"/>
      <c r="F7" s="2210"/>
      <c r="G7" s="2211"/>
      <c r="H7" s="2211"/>
      <c r="I7" s="2211"/>
      <c r="J7" s="2212"/>
      <c r="K7" s="1567"/>
      <c r="L7" s="2189" t="s">
        <v>2651</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2652</v>
      </c>
      <c r="X7" s="1375">
        <f>G2</f>
        <v>0</v>
      </c>
      <c r="Y7" s="1375" t="s">
        <v>2653</v>
      </c>
      <c r="Z7" s="1376">
        <f>G3</f>
        <v>0.8</v>
      </c>
      <c r="AA7" s="1377"/>
      <c r="AB7" s="1377"/>
      <c r="AC7" s="1378"/>
      <c r="AD7" s="1379"/>
      <c r="AE7" s="1379"/>
      <c r="AF7" s="1379"/>
      <c r="AG7" s="1379"/>
      <c r="AH7" s="1379"/>
      <c r="AI7" s="1379"/>
      <c r="AJ7" s="1380"/>
    </row>
    <row r="8" spans="1:36" ht="15">
      <c r="A8" s="3369"/>
      <c r="B8" s="174" t="s">
        <v>2654</v>
      </c>
      <c r="C8" s="2213"/>
      <c r="D8" s="858" t="s">
        <v>139</v>
      </c>
      <c r="E8" s="859" t="e">
        <f>ROUND(C11/E7,4)</f>
        <v>#DIV/0!</v>
      </c>
      <c r="F8" s="2214" t="s">
        <v>2655</v>
      </c>
      <c r="G8" s="2215"/>
      <c r="H8" s="2215"/>
      <c r="I8" s="2215"/>
      <c r="J8" s="2216"/>
      <c r="K8" s="1279"/>
      <c r="L8" s="2189" t="s">
        <v>2656</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61" t="s">
        <v>2657</v>
      </c>
      <c r="X8" s="3362"/>
      <c r="Y8" s="1381" t="s">
        <v>2658</v>
      </c>
      <c r="Z8" s="1381" t="s">
        <v>2659</v>
      </c>
      <c r="AA8" s="1381" t="s">
        <v>2660</v>
      </c>
      <c r="AB8" s="1381" t="s">
        <v>2661</v>
      </c>
      <c r="AC8" s="1381" t="s">
        <v>2662</v>
      </c>
      <c r="AD8" s="1381" t="s">
        <v>2663</v>
      </c>
      <c r="AE8" s="1381" t="s">
        <v>2664</v>
      </c>
      <c r="AF8" s="1381" t="s">
        <v>2665</v>
      </c>
      <c r="AG8" s="1381" t="s">
        <v>2666</v>
      </c>
      <c r="AH8" s="1381" t="s">
        <v>2667</v>
      </c>
      <c r="AI8" s="1381" t="s">
        <v>2668</v>
      </c>
      <c r="AJ8" s="1381" t="s">
        <v>2669</v>
      </c>
    </row>
    <row r="9" spans="1:36" ht="15">
      <c r="A9" s="3369"/>
      <c r="B9" s="174" t="s">
        <v>2670</v>
      </c>
      <c r="C9" s="860">
        <f>SUMIF(修正!C59:C119,C8,修正!E59:E119)</f>
        <v>0</v>
      </c>
      <c r="D9" s="175" t="s">
        <v>140</v>
      </c>
      <c r="E9" s="175" t="e">
        <f>ROUND(C11/E7,4)</f>
        <v>#DIV/0!</v>
      </c>
      <c r="F9" s="2214" t="s">
        <v>2671</v>
      </c>
      <c r="G9" s="2215"/>
      <c r="H9" s="2215"/>
      <c r="I9" s="2215"/>
      <c r="J9" s="2216"/>
      <c r="K9" s="1279"/>
      <c r="L9" s="2189" t="s">
        <v>2672</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63" t="s">
        <v>2673</v>
      </c>
      <c r="X9" s="1382" t="s">
        <v>2674</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9"/>
      <c r="B10" s="174" t="s">
        <v>2675</v>
      </c>
      <c r="C10" s="175">
        <f>SUMIF(修正!C59:C119,C8,修正!F59:F119)</f>
        <v>0</v>
      </c>
      <c r="D10" s="175" t="s">
        <v>141</v>
      </c>
      <c r="E10" s="175" t="e">
        <f>ROUND(C11/E7,4)</f>
        <v>#DIV/0!</v>
      </c>
      <c r="F10" s="2214" t="s">
        <v>2676</v>
      </c>
      <c r="G10" s="2215"/>
      <c r="H10" s="2215"/>
      <c r="I10" s="2215"/>
      <c r="J10" s="2216"/>
      <c r="K10" s="1279"/>
      <c r="L10" s="2189" t="s">
        <v>2677</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6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9"/>
      <c r="B11" s="2217" t="s">
        <v>2678</v>
      </c>
      <c r="C11" s="861">
        <f>C10/4</f>
        <v>0</v>
      </c>
      <c r="D11" s="861" t="s">
        <v>142</v>
      </c>
      <c r="E11" s="861" t="e">
        <f>ROUND(C11/E7,4)</f>
        <v>#DIV/0!</v>
      </c>
      <c r="F11" s="2218" t="s">
        <v>2679</v>
      </c>
      <c r="G11" s="2219"/>
      <c r="H11" s="2219"/>
      <c r="I11" s="2219"/>
      <c r="J11" s="2220"/>
      <c r="K11" s="1279"/>
      <c r="L11" s="2189" t="s">
        <v>2680</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63" t="s">
        <v>2681</v>
      </c>
      <c r="X11" s="1385" t="s">
        <v>2682</v>
      </c>
      <c r="Y11" s="1386">
        <f>$G$3</f>
        <v>0.8</v>
      </c>
      <c r="Z11" s="1386">
        <f t="shared" ref="Z11:AJ11" si="3">$G$3</f>
        <v>0.8</v>
      </c>
      <c r="AA11" s="1386">
        <f t="shared" si="3"/>
        <v>0.8</v>
      </c>
      <c r="AB11" s="1386">
        <f t="shared" si="3"/>
        <v>0.8</v>
      </c>
      <c r="AC11" s="1386">
        <f t="shared" si="3"/>
        <v>0.8</v>
      </c>
      <c r="AD11" s="1386">
        <f t="shared" si="3"/>
        <v>0.8</v>
      </c>
      <c r="AE11" s="1386">
        <f t="shared" si="3"/>
        <v>0.8</v>
      </c>
      <c r="AF11" s="1386">
        <f t="shared" si="3"/>
        <v>0.8</v>
      </c>
      <c r="AG11" s="1386">
        <f t="shared" si="3"/>
        <v>0.8</v>
      </c>
      <c r="AH11" s="1386">
        <f t="shared" si="3"/>
        <v>0.8</v>
      </c>
      <c r="AI11" s="1386">
        <f t="shared" si="3"/>
        <v>0.8</v>
      </c>
      <c r="AJ11" s="1386">
        <f t="shared" si="3"/>
        <v>0.8</v>
      </c>
    </row>
    <row r="12" spans="1:36" ht="25.5" thickBot="1">
      <c r="A12" s="3368" t="s">
        <v>2683</v>
      </c>
      <c r="B12" s="2221" t="s">
        <v>2684</v>
      </c>
      <c r="C12" s="857">
        <f>ROUND(C15*D15*E15*F15*G15*H15*I15*J15,4)</f>
        <v>1</v>
      </c>
      <c r="D12" s="2222" t="s">
        <v>2685</v>
      </c>
      <c r="E12" s="2223"/>
      <c r="F12" s="2223"/>
      <c r="G12" s="2224"/>
      <c r="H12" s="2224"/>
      <c r="I12" s="2224"/>
      <c r="J12" s="2225"/>
      <c r="K12" s="1279"/>
      <c r="L12" s="2226" t="s">
        <v>2686</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63"/>
      <c r="X12" s="1387" t="s">
        <v>2687</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0"/>
      <c r="B13" s="2227" t="s">
        <v>2688</v>
      </c>
      <c r="C13" s="2228" t="s">
        <v>2689</v>
      </c>
      <c r="D13" s="1533" t="s">
        <v>2690</v>
      </c>
      <c r="E13" s="1533" t="s">
        <v>2691</v>
      </c>
      <c r="F13" s="30" t="s">
        <v>2692</v>
      </c>
      <c r="G13" s="2229" t="s">
        <v>2693</v>
      </c>
      <c r="H13" s="2229" t="s">
        <v>2693</v>
      </c>
      <c r="I13" s="2229" t="s">
        <v>2693</v>
      </c>
      <c r="J13" s="2230" t="s">
        <v>2693</v>
      </c>
      <c r="K13" s="1279"/>
      <c r="L13" s="1279"/>
      <c r="M13" s="1279"/>
      <c r="N13" s="1279"/>
      <c r="O13" s="1279"/>
      <c r="P13" s="1279"/>
      <c r="Q13" s="1279"/>
      <c r="R13" s="1373">
        <v>12</v>
      </c>
      <c r="S13" s="1374"/>
      <c r="T13" s="1373" t="e">
        <f t="shared" si="0"/>
        <v>#DIV/0!</v>
      </c>
      <c r="U13" s="1374"/>
      <c r="V13" s="1373" t="e">
        <f t="shared" si="1"/>
        <v>#DIV/0!</v>
      </c>
      <c r="W13" s="3363"/>
      <c r="X13" s="1387"/>
      <c r="Y13" s="1384">
        <f>(-0.163*(Y12^2)-0.59*Y12+7617)*(10^(-4))/Y11</f>
        <v>0.952125</v>
      </c>
      <c r="Z13" s="1384">
        <f t="shared" ref="Z13:AJ13" si="5">(-0.163*(Z12^2)-0.59*Z12+7617)*(10^(-4))/Z11</f>
        <v>0.952125</v>
      </c>
      <c r="AA13" s="1384">
        <f t="shared" si="5"/>
        <v>0.952125</v>
      </c>
      <c r="AB13" s="1384">
        <f t="shared" si="5"/>
        <v>0.952125</v>
      </c>
      <c r="AC13" s="1384">
        <f t="shared" si="5"/>
        <v>0.952125</v>
      </c>
      <c r="AD13" s="1384">
        <f t="shared" si="5"/>
        <v>0.952125</v>
      </c>
      <c r="AE13" s="1384">
        <f t="shared" si="5"/>
        <v>0.952125</v>
      </c>
      <c r="AF13" s="1384">
        <f t="shared" si="5"/>
        <v>0.952125</v>
      </c>
      <c r="AG13" s="1384">
        <f t="shared" si="5"/>
        <v>0.952125</v>
      </c>
      <c r="AH13" s="1384">
        <f t="shared" si="5"/>
        <v>0.952125</v>
      </c>
      <c r="AI13" s="1384">
        <f t="shared" si="5"/>
        <v>0.952125</v>
      </c>
      <c r="AJ13" s="1384">
        <f t="shared" si="5"/>
        <v>0.952125</v>
      </c>
    </row>
    <row r="14" spans="1:36" ht="15">
      <c r="A14" s="3370"/>
      <c r="B14" s="2231"/>
      <c r="C14" s="2232"/>
      <c r="D14" s="2233"/>
      <c r="E14" s="2233"/>
      <c r="F14" s="2234"/>
      <c r="G14" s="2235" t="s">
        <v>2694</v>
      </c>
      <c r="H14" s="2236"/>
      <c r="I14" s="2237"/>
      <c r="J14" s="2238"/>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5"/>
      <c r="AE14" s="3015"/>
      <c r="AF14" s="3015"/>
      <c r="AG14" s="3015"/>
      <c r="AH14" s="3015"/>
      <c r="AI14" s="3015"/>
      <c r="AJ14" s="3016"/>
    </row>
    <row r="15" spans="1:36" ht="15.75" thickBot="1">
      <c r="A15" s="3371"/>
      <c r="B15" s="2239" t="s">
        <v>2695</v>
      </c>
      <c r="C15" s="192">
        <f>IF(C14="有",1.1,1)</f>
        <v>1</v>
      </c>
      <c r="D15" s="192">
        <f>IF(D14="有",1.1,1)</f>
        <v>1</v>
      </c>
      <c r="E15" s="192">
        <f>IF(E14="有",1.1,1)</f>
        <v>1</v>
      </c>
      <c r="F15" s="192">
        <f>IF(F14="500米范围内",1.2,IF(F14="500-1000米",1.1,1))</f>
        <v>1</v>
      </c>
      <c r="G15" s="882">
        <v>1</v>
      </c>
      <c r="H15" s="882">
        <v>1</v>
      </c>
      <c r="I15" s="882">
        <v>1</v>
      </c>
      <c r="J15" s="883">
        <v>1</v>
      </c>
      <c r="K15" s="1279"/>
      <c r="L15" s="2182"/>
      <c r="M15" s="2182"/>
      <c r="N15" s="2182"/>
      <c r="O15" s="2182"/>
      <c r="P15" s="2182"/>
      <c r="Q15" s="1279"/>
      <c r="R15" s="1373">
        <v>14</v>
      </c>
      <c r="S15" s="1374"/>
      <c r="T15" s="1373" t="e">
        <f t="shared" si="0"/>
        <v>#DIV/0!</v>
      </c>
      <c r="U15" s="1374"/>
      <c r="V15" s="1373" t="e">
        <f t="shared" si="1"/>
        <v>#DIV/0!</v>
      </c>
      <c r="W15" s="1377"/>
      <c r="X15" s="1377"/>
      <c r="Y15" s="1377"/>
      <c r="Z15" s="1377"/>
      <c r="AA15" s="1377"/>
      <c r="AB15" s="1377"/>
      <c r="AC15" s="1378"/>
      <c r="AD15" s="3015"/>
      <c r="AE15" s="3015"/>
      <c r="AF15" s="3015"/>
      <c r="AG15" s="3015"/>
      <c r="AH15" s="3015"/>
      <c r="AI15" s="3015"/>
      <c r="AJ15" s="3016"/>
    </row>
    <row r="16" spans="1:36" ht="24.6" customHeight="1">
      <c r="A16" s="3368" t="s">
        <v>2700</v>
      </c>
      <c r="B16" s="2208" t="s">
        <v>2701</v>
      </c>
      <c r="C16" s="2370" t="e">
        <f>ROUND(IF(F17="与级别开发程度一致",0,(G17-E17)/C17),0)</f>
        <v>#DIV/0!</v>
      </c>
      <c r="D16" s="3384" t="s">
        <v>2705</v>
      </c>
      <c r="E16" s="3385"/>
      <c r="F16" s="3384" t="s">
        <v>2702</v>
      </c>
      <c r="G16" s="3385"/>
      <c r="H16" s="2240"/>
      <c r="I16" s="2240"/>
      <c r="J16" s="2374"/>
      <c r="K16" s="2240"/>
      <c r="L16" s="2240"/>
      <c r="M16" s="2240"/>
      <c r="N16" s="2240"/>
      <c r="O16" s="2241"/>
      <c r="P16" s="2182"/>
      <c r="Q16" s="1279"/>
      <c r="R16" s="1373">
        <v>15</v>
      </c>
      <c r="S16" s="1374"/>
      <c r="T16" s="1373" t="e">
        <f t="shared" si="0"/>
        <v>#DIV/0!</v>
      </c>
      <c r="U16" s="1374"/>
      <c r="V16" s="1373" t="e">
        <f t="shared" si="1"/>
        <v>#DIV/0!</v>
      </c>
      <c r="W16" s="1377"/>
      <c r="X16" s="1377"/>
      <c r="Y16" s="1377"/>
      <c r="Z16" s="1377"/>
      <c r="AA16" s="1377"/>
      <c r="AB16" s="1377"/>
      <c r="AC16" s="1378"/>
      <c r="AD16" s="3015"/>
      <c r="AE16" s="3015"/>
      <c r="AF16" s="3015"/>
      <c r="AG16" s="3015"/>
      <c r="AH16" s="3015"/>
      <c r="AI16" s="3015"/>
      <c r="AJ16" s="3016"/>
    </row>
    <row r="17" spans="1:37" ht="13.5" thickBot="1">
      <c r="A17" s="3372"/>
      <c r="B17" s="2381" t="s">
        <v>2704</v>
      </c>
      <c r="C17" s="2382">
        <f>SUMPRODUCT((修正!A2:A5=E2)*(修正!B1:M1=G2)*(修正!B2:M5))</f>
        <v>0</v>
      </c>
      <c r="D17" s="192"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2707</v>
      </c>
      <c r="C18" s="2377">
        <f>SUMIF(修正!C18:C39,E3,修正!E18:E39)</f>
        <v>0</v>
      </c>
      <c r="D18" s="2378"/>
      <c r="E18" s="2379"/>
      <c r="F18" s="2379"/>
      <c r="G18" s="2379"/>
      <c r="H18" s="2379"/>
      <c r="I18" s="2379"/>
      <c r="J18" s="2380"/>
      <c r="K18" s="1286"/>
      <c r="L18" s="3014"/>
      <c r="M18" s="3014"/>
      <c r="N18" s="3014"/>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4"/>
    </row>
    <row r="19" spans="1:37" s="2201" customFormat="1" ht="27.75" thickBot="1">
      <c r="A19" s="2245" t="s">
        <v>809</v>
      </c>
      <c r="B19" s="2246" t="s">
        <v>2708</v>
      </c>
      <c r="C19" s="862" t="e">
        <f>ROUND(IF(H19="按公示增长率计算",SUMPRODUCT((地价!A3:A34=YEAR(G19)&amp;"-"&amp;ROUNDUP(MONTH(G19)/3,0))*(地价!X2:AB2=E2)*(地价!X3:AB34)),IF(H19="地价指数",M20/M19,(1+I19)^O19)),4)</f>
        <v>#VALUE!</v>
      </c>
      <c r="D19" s="2250" t="s">
        <v>2709</v>
      </c>
      <c r="E19" s="863">
        <v>41640</v>
      </c>
      <c r="F19" s="2250" t="s">
        <v>2710</v>
      </c>
      <c r="G19" s="864">
        <f>'数据-取费表'!B2</f>
        <v>44332</v>
      </c>
      <c r="H19" s="2251"/>
      <c r="I19" s="865" t="str">
        <f>IF(H19="季度增幅（自定义）",SUMIF(N21:N24,E2,O21:O24),"")</f>
        <v/>
      </c>
      <c r="J19" s="2248"/>
      <c r="K19" s="1286"/>
      <c r="L19" s="2252" t="s">
        <v>2711</v>
      </c>
      <c r="M19" s="1495">
        <f>ROUND(SUMIF(地价!B2:F2,E2,地价!B34:F34),0)</f>
        <v>0</v>
      </c>
      <c r="N19" s="2253" t="s">
        <v>2712</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7"/>
      <c r="AH19" s="2339"/>
      <c r="AI19" s="3018"/>
      <c r="AJ19" s="3018"/>
      <c r="AK19" s="2254"/>
    </row>
    <row r="20" spans="1:37" s="2201" customFormat="1" ht="27.75" thickBot="1">
      <c r="A20" s="2255" t="s">
        <v>810</v>
      </c>
      <c r="B20" s="2256" t="s">
        <v>2713</v>
      </c>
      <c r="C20" s="867" t="e">
        <f>ROUND(POWER(1+G20,J20-I20)*(POWER(1+G20,I20)-1)/(POWER(1+G20,J20)-1),4)</f>
        <v>#DIV/0!</v>
      </c>
      <c r="D20" s="2257" t="s">
        <v>2714</v>
      </c>
      <c r="E20" s="1504">
        <f>存贷款利率!E18/100</f>
        <v>4.3499999999999997E-2</v>
      </c>
      <c r="F20" s="2257" t="s">
        <v>2706</v>
      </c>
      <c r="G20" s="872">
        <f>SUMIF(M26:P26,E2,M28:P28)</f>
        <v>0</v>
      </c>
      <c r="H20" s="2257" t="s">
        <v>2715</v>
      </c>
      <c r="I20" s="873" t="e">
        <f>SUMIF('数据-取费表'!C6:C15,E2,'数据-取费表'!F6:F15)/COUNTIF('数据-取费表'!C6:C15,E2)</f>
        <v>#DIV/0!</v>
      </c>
      <c r="J20" s="874">
        <f>IF(E2="住宅",70,IF(E2="商业",40,50))</f>
        <v>50</v>
      </c>
      <c r="K20" s="1286"/>
      <c r="L20" s="2258" t="s">
        <v>2716</v>
      </c>
      <c r="M20" s="1496">
        <f>ROUND(SUMPRODUCT((地价!A4:A34=YEAR(G19)&amp;"-"&amp;ROUNDUP(MONTH(G19)/3,0))*(地价!B2:F2=E2)*(地价!B4:F34)),0)</f>
        <v>0</v>
      </c>
      <c r="N20" s="2259" t="s">
        <v>2717</v>
      </c>
      <c r="O20" s="2260" t="s">
        <v>2718</v>
      </c>
      <c r="P20" s="2261" t="s">
        <v>2719</v>
      </c>
      <c r="Q20" s="3014"/>
      <c r="R20" s="1285"/>
      <c r="S20" s="1285"/>
      <c r="T20" s="1280"/>
      <c r="U20" s="1280"/>
      <c r="V20" s="1280"/>
      <c r="W20" s="1279"/>
      <c r="X20" s="1279"/>
      <c r="Y20" s="1279"/>
      <c r="Z20" s="1286"/>
      <c r="AA20" s="1286"/>
      <c r="AB20" s="1286"/>
      <c r="AC20" s="1286"/>
      <c r="AD20" s="1286"/>
      <c r="AE20" s="1286"/>
      <c r="AF20" s="1286"/>
      <c r="AG20" s="3014"/>
      <c r="AH20" s="3014"/>
      <c r="AI20" s="3014"/>
      <c r="AJ20" s="3014"/>
    </row>
    <row r="21" spans="1:37" s="2201" customFormat="1" ht="15">
      <c r="A21" s="2262" t="s">
        <v>811</v>
      </c>
      <c r="B21" s="2263" t="s">
        <v>2720</v>
      </c>
      <c r="C21" s="875">
        <f>IF(B21="容积率修正",IF(G3&lt;=10,D22,J22),C23)</f>
        <v>0</v>
      </c>
      <c r="D21" s="2264"/>
      <c r="E21" s="2264"/>
      <c r="F21" s="2264"/>
      <c r="G21" s="2264"/>
      <c r="H21" s="2264"/>
      <c r="I21" s="2264"/>
      <c r="J21" s="2265"/>
      <c r="K21" s="1286"/>
      <c r="L21" s="3014"/>
      <c r="M21" s="3014"/>
      <c r="N21" s="2266" t="s">
        <v>2721</v>
      </c>
      <c r="O21" s="1334"/>
      <c r="P21" s="1335">
        <f>SUMPRODUCT((地价!A3:A34=YEAR(G19)&amp;"-"&amp;ROUNDUP(MONTH(G19)/3,0))*(地价!AD2:AH2=N21)*(地价!AD3:AH34))</f>
        <v>1.09E-2</v>
      </c>
      <c r="Q21" s="3014"/>
      <c r="R21" s="1285"/>
      <c r="S21" s="1285"/>
      <c r="T21" s="1280"/>
      <c r="U21" s="1280"/>
      <c r="V21" s="1280"/>
      <c r="W21" s="1279"/>
      <c r="X21" s="1279"/>
      <c r="Y21" s="1279"/>
      <c r="Z21" s="1286"/>
      <c r="AA21" s="1286"/>
      <c r="AB21" s="1286"/>
      <c r="AC21" s="1286"/>
      <c r="AD21" s="1286"/>
      <c r="AE21" s="1286"/>
      <c r="AF21" s="1286"/>
      <c r="AG21" s="3014"/>
      <c r="AH21" s="3014"/>
      <c r="AI21" s="3014"/>
      <c r="AJ21" s="3014"/>
    </row>
    <row r="22" spans="1:37" s="2201" customFormat="1" ht="14.25">
      <c r="A22" s="2140" t="s">
        <v>2722</v>
      </c>
      <c r="B22" s="2267" t="s">
        <v>2723</v>
      </c>
      <c r="C22" s="1535" t="s">
        <v>2724</v>
      </c>
      <c r="D22" s="1535" t="b">
        <f>IF(E22=G22,F22,IF(G3&lt;=10,ROUND(F22+(H22-F22)*(G3-E22)/(G22-E22),4),"——"))</f>
        <v>0</v>
      </c>
      <c r="E22" s="854">
        <f>ROUNDDOWN(G3,1)</f>
        <v>0.8</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0.8</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4"/>
      <c r="M22" s="3014"/>
      <c r="N22" s="2266" t="s">
        <v>2725</v>
      </c>
      <c r="O22" s="1334"/>
      <c r="P22" s="1335">
        <f>SUMPRODUCT((地价!A3:A34=YEAR(G19)&amp;"-"&amp;ROUNDUP(MONTH(G19)/3,0))*(地价!AD2:AH2=N22)*(地价!AD3:AH34))</f>
        <v>1.09E-2</v>
      </c>
      <c r="Q22" s="3014"/>
      <c r="R22" s="1285"/>
      <c r="S22" s="1285"/>
      <c r="T22" s="1280"/>
      <c r="U22" s="1280"/>
      <c r="V22" s="1280"/>
      <c r="W22" s="1279"/>
      <c r="X22" s="1279"/>
      <c r="Y22" s="1279"/>
      <c r="Z22" s="1286"/>
      <c r="AA22" s="1286"/>
      <c r="AB22" s="1286"/>
      <c r="AC22" s="1286"/>
      <c r="AD22" s="1286"/>
      <c r="AE22" s="1286"/>
      <c r="AF22" s="1286"/>
      <c r="AG22" s="3014"/>
      <c r="AH22" s="3014"/>
      <c r="AI22" s="3014"/>
      <c r="AJ22" s="3014"/>
    </row>
    <row r="23" spans="1:37" ht="27.75" thickBot="1">
      <c r="A23" s="2140" t="s">
        <v>2726</v>
      </c>
      <c r="B23" s="2268" t="s">
        <v>2727</v>
      </c>
      <c r="C23" s="949">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2728</v>
      </c>
      <c r="O23" s="1334"/>
      <c r="P23" s="1335">
        <f>SUMPRODUCT((地价!A3:A34=YEAR(G19)&amp;"-"&amp;ROUNDUP(MONTH(G19)/3,0))*(地价!AD2:AH2=N23)*(地价!AD3:AH34))</f>
        <v>1.9E-2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2729</v>
      </c>
      <c r="C24" s="862">
        <f>SUMIF(A45:A88,E2,B45:B88)</f>
        <v>0</v>
      </c>
      <c r="D24" s="2247"/>
      <c r="E24" s="2274"/>
      <c r="F24" s="2274"/>
      <c r="G24" s="2274"/>
      <c r="H24" s="2274"/>
      <c r="I24" s="2274"/>
      <c r="J24" s="2275"/>
      <c r="K24" s="1286"/>
      <c r="L24" s="3014"/>
      <c r="M24" s="3014"/>
      <c r="N24" s="2276" t="s">
        <v>2730</v>
      </c>
      <c r="O24" s="1336"/>
      <c r="P24" s="1337">
        <f>SUMPRODUCT((地价!A3:A34=YEAR(G19)&amp;"-"&amp;ROUNDUP(MONTH(G19)/3,0))*(地价!AD2:AH2=N24)*(地价!AD3:AH34))</f>
        <v>1.2500000000000001E-2</v>
      </c>
      <c r="Q24" s="3014"/>
      <c r="R24" s="1285"/>
      <c r="S24" s="1285"/>
      <c r="T24" s="1280"/>
      <c r="U24" s="1280"/>
      <c r="V24" s="1280"/>
      <c r="W24" s="1279"/>
      <c r="X24" s="1279"/>
      <c r="Y24" s="1279"/>
      <c r="Z24" s="1286"/>
      <c r="AA24" s="1286"/>
      <c r="AB24" s="1286"/>
      <c r="AC24" s="1286"/>
      <c r="AD24" s="1286"/>
      <c r="AE24" s="1286"/>
      <c r="AF24" s="1286"/>
      <c r="AG24" s="3014"/>
      <c r="AH24" s="3014"/>
      <c r="AI24" s="3014"/>
      <c r="AJ24" s="3014"/>
    </row>
    <row r="25" spans="1:37" ht="15.75" thickBot="1">
      <c r="A25" s="2255" t="s">
        <v>813</v>
      </c>
      <c r="B25" s="2277" t="s">
        <v>2731</v>
      </c>
      <c r="C25" s="868"/>
      <c r="D25" s="2211"/>
      <c r="E25" s="2211"/>
      <c r="F25" s="2278"/>
      <c r="G25" s="2211"/>
      <c r="H25" s="2211"/>
      <c r="I25" s="2211"/>
      <c r="J25" s="2212"/>
      <c r="K25" s="1279"/>
      <c r="L25" s="2182"/>
      <c r="M25" s="2182"/>
      <c r="N25" s="3009" t="s">
        <v>2732</v>
      </c>
      <c r="O25" s="3010"/>
      <c r="P25" s="3011">
        <f>SUMPRODUCT((地价!A3:A34=YEAR(G19)&amp;"-"&amp;ROUNDUP(MONTH(G19)/3,0))*(地价!AD2:AH2=N25)*(地价!AD3:AH34))</f>
        <v>1.7299999999999999E-2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2733</v>
      </c>
      <c r="C26" s="2541" t="e">
        <f>IF(B21="容积率修正",E29+SUM(E33:E39),SUM(V2:V16)+SUM(E33:E39))</f>
        <v>#DIV/0!</v>
      </c>
      <c r="D26" s="2280"/>
      <c r="E26" s="2236"/>
      <c r="F26" s="2281"/>
      <c r="G26" s="2236"/>
      <c r="H26" s="2236"/>
      <c r="I26" s="2236"/>
      <c r="J26" s="2282"/>
      <c r="K26" s="1279"/>
      <c r="L26" s="3012" t="s">
        <v>2631</v>
      </c>
      <c r="M26" s="2209" t="s">
        <v>2696</v>
      </c>
      <c r="N26" s="2209" t="s">
        <v>2697</v>
      </c>
      <c r="O26" s="2209" t="s">
        <v>2698</v>
      </c>
      <c r="P26" s="3013" t="s">
        <v>2699</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2734</v>
      </c>
      <c r="C27" s="869" t="e">
        <f>E30+SUM(I33:I39)</f>
        <v>#DIV/0!</v>
      </c>
      <c r="D27" s="2284"/>
      <c r="E27" s="2285"/>
      <c r="F27" s="2286"/>
      <c r="G27" s="2285"/>
      <c r="H27" s="2285"/>
      <c r="I27" s="2285"/>
      <c r="J27" s="2287"/>
      <c r="K27" s="1279"/>
      <c r="L27" s="2242" t="s">
        <v>2703</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2735</v>
      </c>
      <c r="C28" s="2290" t="s">
        <v>2736</v>
      </c>
      <c r="D28" s="2290" t="s">
        <v>2737</v>
      </c>
      <c r="E28" s="2291" t="s">
        <v>2738</v>
      </c>
      <c r="F28" s="2292"/>
      <c r="G28" s="2224"/>
      <c r="H28" s="2224"/>
      <c r="I28" s="2224"/>
      <c r="J28" s="2225"/>
      <c r="K28" s="1279"/>
      <c r="L28" s="2243" t="s">
        <v>2706</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2739</v>
      </c>
      <c r="C29" s="179" t="e">
        <f>ROUND(C5*C18*C19*C20*C21*C24,0)</f>
        <v>#DIV/0!</v>
      </c>
      <c r="D29" s="2295"/>
      <c r="E29" s="878" t="e">
        <f>ROUND(C29*D29/10000,0)</f>
        <v>#DIV/0!</v>
      </c>
      <c r="F29" s="2296" t="s">
        <v>2740</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2741</v>
      </c>
      <c r="C30" s="192" t="e">
        <f>ROUND(IF(E2="工业",C29*M39,C29*M38),0)</f>
        <v>#DIV/0!</v>
      </c>
      <c r="D30" s="2301"/>
      <c r="E30" s="878" t="e">
        <f>ROUND(C30*D30/10000,0)</f>
        <v>#DIV/0!</v>
      </c>
      <c r="F30" s="2302" t="s">
        <v>2742</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2743</v>
      </c>
      <c r="C31" s="2307" t="s">
        <v>2744</v>
      </c>
      <c r="D31" s="2224"/>
      <c r="E31" s="2307"/>
      <c r="F31" s="2307"/>
      <c r="G31" s="2222" t="s">
        <v>2745</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7" t="s">
        <v>2736</v>
      </c>
      <c r="D32" s="454" t="s">
        <v>2737</v>
      </c>
      <c r="E32" s="454" t="s">
        <v>2738</v>
      </c>
      <c r="F32" s="347" t="s">
        <v>2746</v>
      </c>
      <c r="G32" s="2310" t="s">
        <v>2736</v>
      </c>
      <c r="H32" s="2310" t="s">
        <v>2737</v>
      </c>
      <c r="I32" s="2310" t="s">
        <v>2738</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81"/>
      <c r="B33" s="2311" t="s">
        <v>2747</v>
      </c>
      <c r="C33" s="179" t="e">
        <f>ROUND(D5*C19*C20*C24*F33,0)</f>
        <v>#DIV/0!</v>
      </c>
      <c r="D33" s="2295"/>
      <c r="E33" s="175" t="e">
        <f>ROUND(C33*D33/10000,0)</f>
        <v>#DIV/0!</v>
      </c>
      <c r="F33" s="175">
        <f>SUMIF(修正!A45:A56,G2,修正!B45:B56)</f>
        <v>0</v>
      </c>
      <c r="G33" s="175" t="e">
        <f t="shared" ref="G33" si="6">ROUND(IF(E2="工业",C33*$M$39,C33*$M$38),0)</f>
        <v>#DIV/0!</v>
      </c>
      <c r="H33" s="175">
        <f>D33</f>
        <v>0</v>
      </c>
      <c r="I33" s="175" t="e">
        <f>ROUND(G33*H33/10000,0)</f>
        <v>#DIV/0!</v>
      </c>
      <c r="J33" s="3386"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82"/>
      <c r="B34" s="2228" t="s">
        <v>2748</v>
      </c>
      <c r="C34" s="179" t="e">
        <f>ROUND(D5*C19*C20*C24*F34,0)</f>
        <v>#DIV/0!</v>
      </c>
      <c r="D34" s="2295"/>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8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82"/>
      <c r="B35" s="2228" t="s">
        <v>2749</v>
      </c>
      <c r="C35" s="179" t="e">
        <f>ROUND(D5*C19*C20*C24*F35,0)</f>
        <v>#DIV/0!</v>
      </c>
      <c r="D35" s="2295"/>
      <c r="E35" s="175" t="e">
        <f t="shared" si="7"/>
        <v>#DIV/0!</v>
      </c>
      <c r="F35" s="175">
        <f>SUMIF(修正!A45:A56,G2,修正!D45:D56)</f>
        <v>0</v>
      </c>
      <c r="G35" s="175" t="e">
        <f>ROUND(IF(E2="工业",C35*$M$39,C35*$M$38),0)</f>
        <v>#DIV/0!</v>
      </c>
      <c r="H35" s="175">
        <f t="shared" si="8"/>
        <v>0</v>
      </c>
      <c r="I35" s="175" t="e">
        <f t="shared" si="9"/>
        <v>#DIV/0!</v>
      </c>
      <c r="J35" s="338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83"/>
      <c r="B36" s="2228" t="s">
        <v>2750</v>
      </c>
      <c r="C36" s="179" t="e">
        <f>ROUND(D5*C19*C20*C24*F36,0)</f>
        <v>#DIV/0!</v>
      </c>
      <c r="D36" s="2295"/>
      <c r="E36" s="175" t="e">
        <f t="shared" si="7"/>
        <v>#DIV/0!</v>
      </c>
      <c r="F36" s="175">
        <f>SUMIF(修正!A45:A56,G2,修正!E45:E56)</f>
        <v>0</v>
      </c>
      <c r="G36" s="175" t="e">
        <f>ROUND(IF(E2="工业",C36*$M$39,C36*$M$38),0)</f>
        <v>#DIV/0!</v>
      </c>
      <c r="H36" s="175">
        <f t="shared" si="8"/>
        <v>0</v>
      </c>
      <c r="I36" s="175" t="e">
        <f t="shared" si="9"/>
        <v>#DIV/0!</v>
      </c>
      <c r="J36" s="3383"/>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2751</v>
      </c>
      <c r="C37" s="175" t="e">
        <f>ROUND(D5*C19*C20*C24*F37,0)</f>
        <v>#DIV/0!</v>
      </c>
      <c r="D37" s="2295"/>
      <c r="E37" s="175" t="e">
        <f t="shared" si="7"/>
        <v>#DIV/0!</v>
      </c>
      <c r="F37" s="179">
        <f>SUMIF(修正!A45:A56,G2,修正!F45:F56)</f>
        <v>0</v>
      </c>
      <c r="G37" s="175" t="e">
        <f>ROUND(IF(E2="工业",C37*$M$39,C37*$M$38),0)</f>
        <v>#DIV/0!</v>
      </c>
      <c r="H37" s="175">
        <f t="shared" si="8"/>
        <v>0</v>
      </c>
      <c r="I37" s="175" t="e">
        <f t="shared" si="9"/>
        <v>#DIV/0!</v>
      </c>
      <c r="J37" s="2312"/>
      <c r="K37" s="1279"/>
      <c r="L37" s="2314" t="s">
        <v>2752</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2753</v>
      </c>
      <c r="C38" s="175" t="e">
        <f>ROUND(D5*C19*C41*C24*F38,0)</f>
        <v>#DIV/0!</v>
      </c>
      <c r="D38" s="2295"/>
      <c r="E38" s="175" t="e">
        <f t="shared" si="7"/>
        <v>#DIV/0!</v>
      </c>
      <c r="F38" s="179">
        <f>SUMIF(修正!A45:A56,G2,修正!G45:G56)</f>
        <v>0</v>
      </c>
      <c r="G38" s="175" t="e">
        <f>ROUND(IF(E2="工业",C38*$M$39,C38*$M$38),0)</f>
        <v>#DIV/0!</v>
      </c>
      <c r="H38" s="175">
        <f t="shared" si="8"/>
        <v>0</v>
      </c>
      <c r="I38" s="175" t="e">
        <f t="shared" si="9"/>
        <v>#DIV/0!</v>
      </c>
      <c r="J38" s="2312"/>
      <c r="K38" s="1279"/>
      <c r="L38" s="1604" t="s">
        <v>2754</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2755</v>
      </c>
      <c r="C39" s="192" t="e">
        <f>ROUND(D5*C19*C41*C24*F39,0)</f>
        <v>#DIV/0!</v>
      </c>
      <c r="D39" s="2301"/>
      <c r="E39" s="192" t="e">
        <f t="shared" si="7"/>
        <v>#DIV/0!</v>
      </c>
      <c r="F39" s="870">
        <f>SUMIF(修正!A45:A56,G2,修正!H45:H56)</f>
        <v>0</v>
      </c>
      <c r="G39" s="192" t="e">
        <f>ROUND(IF(E2="工业",C39*$M$39,C39*$M$38),0)</f>
        <v>#DIV/0!</v>
      </c>
      <c r="H39" s="192">
        <f t="shared" si="8"/>
        <v>0</v>
      </c>
      <c r="I39" s="192" t="e">
        <f t="shared" si="9"/>
        <v>#DIV/0!</v>
      </c>
      <c r="J39" s="2318"/>
      <c r="K39" s="1279"/>
      <c r="L39" s="2319" t="s">
        <v>2699</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2860</v>
      </c>
      <c r="C41" s="347" t="e">
        <f>ROUND(POWER(1+E41,H41-G41)*(POWER(1+E41,G41)-1)/(POWER(1+E41,H41)-1),4)</f>
        <v>#DIV/0!</v>
      </c>
      <c r="D41" s="175" t="s">
        <v>2706</v>
      </c>
      <c r="E41" s="2368">
        <f>G20</f>
        <v>0</v>
      </c>
      <c r="F41" s="175" t="s">
        <v>2715</v>
      </c>
      <c r="G41" s="188"/>
      <c r="H41" s="175">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2756</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2757</v>
      </c>
      <c r="B46" s="2325">
        <f>1+E48</f>
        <v>1</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2758</v>
      </c>
      <c r="B47" s="1534" t="s">
        <v>2759</v>
      </c>
      <c r="C47" s="1534" t="s">
        <v>2760</v>
      </c>
      <c r="D47" s="1534" t="s">
        <v>2761</v>
      </c>
      <c r="E47" s="757" t="s">
        <v>2762</v>
      </c>
      <c r="F47" s="2329" t="s">
        <v>2763</v>
      </c>
      <c r="G47" s="1534" t="s">
        <v>754</v>
      </c>
      <c r="H47" s="2330" t="s">
        <v>2764</v>
      </c>
      <c r="I47" s="1534" t="s">
        <v>2765</v>
      </c>
      <c r="J47" s="559" t="s">
        <v>2415</v>
      </c>
      <c r="K47" s="559" t="s">
        <v>2416</v>
      </c>
      <c r="L47" s="559" t="s">
        <v>2417</v>
      </c>
      <c r="M47" s="559" t="s">
        <v>2418</v>
      </c>
      <c r="N47" s="559" t="s">
        <v>2419</v>
      </c>
      <c r="AA47" s="1280"/>
      <c r="AB47" s="1280"/>
      <c r="AC47" s="1280"/>
      <c r="AD47" s="1280"/>
      <c r="AE47" s="1280"/>
      <c r="AF47" s="1280"/>
      <c r="AG47" s="1280"/>
      <c r="AH47" s="1280"/>
      <c r="AI47" s="1280"/>
      <c r="AJ47" s="1280"/>
      <c r="AK47" s="1280"/>
    </row>
    <row r="48" spans="1:37" s="1279" customFormat="1" ht="38.25">
      <c r="A48" s="2328" t="s">
        <v>2766</v>
      </c>
      <c r="B48" s="2331" t="str">
        <f>估价对象房地状况!C4</f>
        <v>估价对象位于XX商圈，周边商业氛围成熟，人流量大，商业繁华度好</v>
      </c>
      <c r="C48" s="2233"/>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2767</v>
      </c>
      <c r="B49" s="2332" t="str">
        <f>估价对象房地状况!C18</f>
        <v>估价对象周边道路状况、公共交通通达情况、停车便捷程度，综合评价交通便捷度较好</v>
      </c>
      <c r="C49" s="2233"/>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2768</v>
      </c>
      <c r="B50" s="2332">
        <f>估价对象房地状况!C19</f>
        <v>0</v>
      </c>
      <c r="C50" s="2233"/>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2769</v>
      </c>
      <c r="B51" s="2333" t="s">
        <v>2770</v>
      </c>
      <c r="C51" s="2233"/>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2771</v>
      </c>
      <c r="B52" s="2332">
        <f>估价对象房地状况!C24</f>
        <v>0</v>
      </c>
      <c r="C52" s="2233"/>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2772</v>
      </c>
      <c r="B53" s="2334" t="s">
        <v>2773</v>
      </c>
      <c r="C53" s="2233"/>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2774</v>
      </c>
      <c r="B54" s="1493" t="str">
        <f>估价对象房地状况!C21</f>
        <v>估价对象所在区域公共配套设施齐备情况</v>
      </c>
      <c r="C54" s="2233"/>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2775</v>
      </c>
      <c r="B55" s="2332" t="str">
        <f>估价对象房地状况!C22</f>
        <v>估价对象所在区域基础设施水平</v>
      </c>
      <c r="C55" s="2233"/>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2776</v>
      </c>
      <c r="B56" s="2337" t="str">
        <f>估价对象房地状况!C20</f>
        <v>区域自然环境：；人文环境；综合评价环境状况一般</v>
      </c>
      <c r="C56" s="2233"/>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2777</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2758</v>
      </c>
      <c r="B58" s="1534"/>
      <c r="C58" s="1534" t="s">
        <v>2760</v>
      </c>
      <c r="D58" s="1534" t="s">
        <v>2761</v>
      </c>
      <c r="E58" s="757" t="s">
        <v>2762</v>
      </c>
      <c r="F58" s="2329" t="s">
        <v>2778</v>
      </c>
      <c r="G58" s="1534" t="s">
        <v>754</v>
      </c>
      <c r="H58" s="2330" t="s">
        <v>2764</v>
      </c>
      <c r="I58" s="1534" t="s">
        <v>2765</v>
      </c>
      <c r="J58" s="559" t="s">
        <v>2415</v>
      </c>
      <c r="K58" s="559" t="s">
        <v>2416</v>
      </c>
      <c r="L58" s="559" t="s">
        <v>2417</v>
      </c>
      <c r="M58" s="559" t="s">
        <v>2418</v>
      </c>
      <c r="N58" s="559" t="s">
        <v>2419</v>
      </c>
      <c r="AA58" s="1280"/>
      <c r="AB58" s="1280"/>
      <c r="AC58" s="1280"/>
      <c r="AD58" s="1280"/>
      <c r="AE58" s="1280"/>
      <c r="AF58" s="1280"/>
      <c r="AG58" s="1280"/>
      <c r="AH58" s="1280"/>
      <c r="AI58" s="1280"/>
      <c r="AJ58" s="1280"/>
      <c r="AK58" s="1280"/>
    </row>
    <row r="59" spans="1:37" s="1279" customFormat="1" ht="38.25">
      <c r="A59" s="2328" t="s">
        <v>2779</v>
      </c>
      <c r="B59" s="2331" t="str">
        <f>估价对象房地状况!C17</f>
        <v>估价对象位于XX商圈，周边办公楼项目较多，入驻率高，办公集聚程度较好</v>
      </c>
      <c r="C59" s="2233"/>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2767</v>
      </c>
      <c r="B60" s="2332" t="str">
        <f>估价对象房地状况!C18</f>
        <v>估价对象周边道路状况、公共交通通达情况、停车便捷程度，综合评价交通便捷度较好</v>
      </c>
      <c r="C60" s="2233"/>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2768</v>
      </c>
      <c r="B61" s="2332">
        <f>估价对象房地状况!C19</f>
        <v>0</v>
      </c>
      <c r="C61" s="2233"/>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2769</v>
      </c>
      <c r="B62" s="2333" t="s">
        <v>2770</v>
      </c>
      <c r="C62" s="2233"/>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2771</v>
      </c>
      <c r="B63" s="2332">
        <f>估价对象房地状况!C24</f>
        <v>0</v>
      </c>
      <c r="C63" s="2233"/>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2772</v>
      </c>
      <c r="B64" s="2334" t="s">
        <v>2773</v>
      </c>
      <c r="C64" s="2233"/>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2774</v>
      </c>
      <c r="B65" s="1493" t="str">
        <f>估价对象房地状况!C21</f>
        <v>估价对象所在区域公共配套设施齐备情况</v>
      </c>
      <c r="C65" s="2233"/>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2775</v>
      </c>
      <c r="B66" s="1493" t="str">
        <f>估价对象房地状况!C22</f>
        <v>估价对象所在区域基础设施水平</v>
      </c>
      <c r="C66" s="2233"/>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2776</v>
      </c>
      <c r="B67" s="2338" t="str">
        <f>估价对象房地状况!C20</f>
        <v>区域自然环境：；人文环境；综合评价环境状况一般</v>
      </c>
      <c r="C67" s="2233"/>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2780</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2758</v>
      </c>
      <c r="B69" s="1534"/>
      <c r="C69" s="1534" t="s">
        <v>2760</v>
      </c>
      <c r="D69" s="1534" t="s">
        <v>2761</v>
      </c>
      <c r="E69" s="757" t="s">
        <v>2762</v>
      </c>
      <c r="F69" s="2329" t="s">
        <v>2778</v>
      </c>
      <c r="G69" s="1534" t="s">
        <v>754</v>
      </c>
      <c r="H69" s="2330" t="s">
        <v>2764</v>
      </c>
      <c r="I69" s="1534" t="s">
        <v>2765</v>
      </c>
      <c r="J69" s="559" t="s">
        <v>2415</v>
      </c>
      <c r="K69" s="559" t="s">
        <v>2416</v>
      </c>
      <c r="L69" s="559" t="s">
        <v>2417</v>
      </c>
      <c r="M69" s="559" t="s">
        <v>2418</v>
      </c>
      <c r="N69" s="559" t="s">
        <v>2419</v>
      </c>
      <c r="AA69" s="1280"/>
      <c r="AB69" s="1280"/>
      <c r="AC69" s="1280"/>
      <c r="AD69" s="1280"/>
      <c r="AE69" s="1280"/>
      <c r="AF69" s="1280"/>
      <c r="AG69" s="1280"/>
      <c r="AH69" s="1280"/>
      <c r="AI69" s="1280"/>
      <c r="AJ69" s="1280"/>
      <c r="AK69" s="1280"/>
    </row>
    <row r="70" spans="1:37" s="1279" customFormat="1" ht="51">
      <c r="A70" s="2328" t="s">
        <v>2781</v>
      </c>
      <c r="B70" s="2331" t="str">
        <f>估价对象房地状况!C15</f>
        <v>估价对象周边居住用地比例、居住小区规模和社区发展完善程度，综合评价居住社区成熟度一般</v>
      </c>
      <c r="C70" s="2233"/>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8" t="s">
        <v>2767</v>
      </c>
      <c r="B71" s="2332" t="str">
        <f>估价对象房地状况!C18</f>
        <v>估价对象周边道路状况、公共交通通达情况、停车便捷程度，综合评价交通便捷度较好</v>
      </c>
      <c r="C71" s="2233"/>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8" t="s">
        <v>2768</v>
      </c>
      <c r="B72" s="2332">
        <f>估价对象房地状况!C19</f>
        <v>0</v>
      </c>
      <c r="C72" s="2233"/>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8" t="s">
        <v>2782</v>
      </c>
      <c r="B73" s="2332">
        <f>估价对象房地状况!C24</f>
        <v>0</v>
      </c>
      <c r="C73" s="2233"/>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8" t="s">
        <v>2774</v>
      </c>
      <c r="B74" s="1493" t="str">
        <f>估价对象房地状况!C21</f>
        <v>估价对象所在区域公共配套设施齐备情况</v>
      </c>
      <c r="C74" s="2233"/>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8" t="s">
        <v>2775</v>
      </c>
      <c r="B75" s="1493" t="str">
        <f>估价对象房地状况!C22</f>
        <v>估价对象所在区域基础设施水平</v>
      </c>
      <c r="C75" s="2233"/>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2" customFormat="1" ht="24">
      <c r="A76" s="2328" t="s">
        <v>2772</v>
      </c>
      <c r="B76" s="2334" t="s">
        <v>2773</v>
      </c>
      <c r="C76" s="2233"/>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9"/>
      <c r="AB76" s="1280"/>
      <c r="AC76" s="1280"/>
      <c r="AD76" s="1280"/>
      <c r="AE76" s="1280"/>
      <c r="AF76" s="1280"/>
      <c r="AG76" s="1280"/>
      <c r="AH76" s="2339"/>
      <c r="AI76" s="2339"/>
      <c r="AJ76" s="2339"/>
      <c r="AK76" s="2339"/>
    </row>
    <row r="77" spans="1:37" ht="38.25">
      <c r="A77" s="2328" t="s">
        <v>2776</v>
      </c>
      <c r="B77" s="2331" t="str">
        <f>估价对象房地状况!C20</f>
        <v>区域自然环境：；人文环境；综合评价环境状况一般</v>
      </c>
      <c r="C77" s="2233"/>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3"/>
      <c r="AA77" s="2249"/>
      <c r="AG77" s="1281"/>
      <c r="AK77" s="2249"/>
    </row>
    <row r="78" spans="1:37" ht="24.75" thickBot="1">
      <c r="A78" s="2336" t="s">
        <v>2783</v>
      </c>
      <c r="B78" s="2340"/>
      <c r="C78" s="2233"/>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3"/>
      <c r="AA78" s="2249"/>
      <c r="AG78" s="1281"/>
      <c r="AK78" s="2249"/>
    </row>
    <row r="79" spans="1:37" ht="15">
      <c r="A79" s="2324" t="s">
        <v>2784</v>
      </c>
      <c r="B79" s="2325">
        <f>1+E81</f>
        <v>1</v>
      </c>
      <c r="C79" s="752"/>
      <c r="D79" s="752"/>
      <c r="E79" s="753"/>
      <c r="F79" s="2327"/>
      <c r="G79" s="6"/>
      <c r="H79" s="6"/>
      <c r="I79" s="6"/>
      <c r="J79" s="7"/>
      <c r="K79" s="7"/>
      <c r="L79" s="7"/>
      <c r="M79" s="7"/>
      <c r="N79" s="7"/>
      <c r="Z79" s="2183"/>
      <c r="AA79" s="2249"/>
      <c r="AG79" s="1281"/>
      <c r="AK79" s="2249"/>
    </row>
    <row r="80" spans="1:37" ht="24.75">
      <c r="A80" s="2328" t="s">
        <v>2758</v>
      </c>
      <c r="B80" s="1534"/>
      <c r="C80" s="1534" t="s">
        <v>2760</v>
      </c>
      <c r="D80" s="1534" t="s">
        <v>2761</v>
      </c>
      <c r="E80" s="757" t="s">
        <v>2762</v>
      </c>
      <c r="F80" s="2329" t="s">
        <v>2778</v>
      </c>
      <c r="G80" s="1534" t="s">
        <v>754</v>
      </c>
      <c r="H80" s="2330" t="s">
        <v>2764</v>
      </c>
      <c r="I80" s="1534" t="s">
        <v>2765</v>
      </c>
      <c r="J80" s="559" t="s">
        <v>2415</v>
      </c>
      <c r="K80" s="559" t="s">
        <v>2416</v>
      </c>
      <c r="L80" s="559" t="s">
        <v>2417</v>
      </c>
      <c r="M80" s="559" t="s">
        <v>2418</v>
      </c>
      <c r="N80" s="559" t="s">
        <v>2419</v>
      </c>
      <c r="Z80" s="2183"/>
      <c r="AA80" s="2249"/>
      <c r="AG80" s="1281"/>
      <c r="AK80" s="2249"/>
    </row>
    <row r="81" spans="1:37" ht="38.25">
      <c r="A81" s="2328" t="s">
        <v>2785</v>
      </c>
      <c r="B81" s="2332" t="str">
        <f>估价对象房地状况!G15</f>
        <v>估价对象位于XX开发区，园区建设成熟度XX，产业集聚程度XX</v>
      </c>
      <c r="C81" s="2233"/>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3"/>
      <c r="AA81" s="2249"/>
      <c r="AG81" s="1281"/>
      <c r="AK81" s="2249"/>
    </row>
    <row r="82" spans="1:37" ht="51">
      <c r="A82" s="2328" t="s">
        <v>2767</v>
      </c>
      <c r="B82" s="2332" t="str">
        <f>估价对象房地状况!G16</f>
        <v>估价对象周边道路状况、公共交通通达情况、停车便捷程度，综合评价交通便捷度较好</v>
      </c>
      <c r="C82" s="2233"/>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3"/>
      <c r="AA82" s="2249"/>
      <c r="AG82" s="1281"/>
      <c r="AK82" s="2249"/>
    </row>
    <row r="83" spans="1:37" ht="24">
      <c r="A83" s="2328" t="s">
        <v>2768</v>
      </c>
      <c r="B83" s="2332">
        <f>估价对象房地状况!G17</f>
        <v>0</v>
      </c>
      <c r="C83" s="2233"/>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3"/>
      <c r="AA83" s="2249"/>
      <c r="AG83" s="1281"/>
      <c r="AK83" s="2249"/>
    </row>
    <row r="84" spans="1:37" ht="14.25">
      <c r="A84" s="2328" t="s">
        <v>2782</v>
      </c>
      <c r="B84" s="2332">
        <f>估价对象房地状况!G22</f>
        <v>0</v>
      </c>
      <c r="C84" s="2233"/>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3"/>
      <c r="AA84" s="2249"/>
      <c r="AG84" s="1281"/>
      <c r="AK84" s="2249"/>
    </row>
    <row r="85" spans="1:37" ht="25.5">
      <c r="A85" s="2328" t="s">
        <v>2774</v>
      </c>
      <c r="B85" s="1493" t="str">
        <f>估价对象房地状况!G19</f>
        <v>估价对象所在区域公共配套设施齐备情况</v>
      </c>
      <c r="C85" s="2233"/>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3"/>
      <c r="AA85" s="2249"/>
      <c r="AG85" s="1281"/>
      <c r="AK85" s="2249"/>
    </row>
    <row r="86" spans="1:37" ht="25.5">
      <c r="A86" s="2328" t="s">
        <v>2775</v>
      </c>
      <c r="B86" s="1493" t="str">
        <f>估价对象房地状况!G20</f>
        <v>估价对象所在区域基础设施水平</v>
      </c>
      <c r="C86" s="2233"/>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3"/>
      <c r="AA86" s="2249"/>
      <c r="AG86" s="1281"/>
      <c r="AK86" s="2249"/>
    </row>
    <row r="87" spans="1:37" ht="24">
      <c r="A87" s="2328" t="s">
        <v>2772</v>
      </c>
      <c r="B87" s="2334" t="s">
        <v>2786</v>
      </c>
      <c r="C87" s="2233"/>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3"/>
      <c r="AA87" s="2249"/>
      <c r="AG87" s="1281"/>
      <c r="AK87" s="2249"/>
    </row>
    <row r="88" spans="1:37" ht="39" thickBot="1">
      <c r="A88" s="2336" t="s">
        <v>2787</v>
      </c>
      <c r="B88" s="2341" t="str">
        <f>估价对象房地状况!G18</f>
        <v>该园区内是否有污染型企业，绿化情况，卫生条件，整体环境状况判断</v>
      </c>
      <c r="C88" s="2233"/>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3"/>
      <c r="AA88" s="2249"/>
      <c r="AG88" s="1281"/>
      <c r="AK88" s="2249"/>
    </row>
    <row r="90" spans="1:37">
      <c r="A90" s="3373" t="s">
        <v>2788</v>
      </c>
      <c r="B90" s="3373"/>
      <c r="C90" s="3373"/>
      <c r="D90" s="3373"/>
      <c r="E90" s="3373"/>
      <c r="F90" s="3373"/>
      <c r="G90" s="3373"/>
      <c r="H90" s="3373"/>
      <c r="I90" s="3373"/>
      <c r="J90" s="3373"/>
      <c r="K90" s="2342"/>
      <c r="L90" s="2342"/>
      <c r="M90" s="2342"/>
      <c r="N90" s="2342"/>
    </row>
    <row r="91" spans="1:37">
      <c r="A91" s="3375" t="s">
        <v>2789</v>
      </c>
      <c r="B91" s="3375" t="s">
        <v>2790</v>
      </c>
      <c r="C91" s="2296" t="s">
        <v>2791</v>
      </c>
      <c r="D91" s="2297"/>
      <c r="E91" s="2297"/>
      <c r="F91" s="2297"/>
      <c r="G91" s="2297"/>
      <c r="H91" s="2297"/>
      <c r="I91" s="2297"/>
      <c r="J91" s="2343"/>
      <c r="K91" s="2344"/>
      <c r="L91" s="2344"/>
      <c r="M91" s="2344"/>
      <c r="N91" s="2344"/>
    </row>
    <row r="92" spans="1:37">
      <c r="A92" s="3375"/>
      <c r="B92" s="3375"/>
      <c r="C92" s="878" t="s">
        <v>2658</v>
      </c>
      <c r="D92" s="878" t="s">
        <v>2659</v>
      </c>
      <c r="E92" s="878" t="s">
        <v>2660</v>
      </c>
      <c r="F92" s="878" t="s">
        <v>2661</v>
      </c>
      <c r="G92" s="878" t="s">
        <v>2662</v>
      </c>
      <c r="H92" s="878" t="s">
        <v>2663</v>
      </c>
      <c r="I92" s="878" t="s">
        <v>2664</v>
      </c>
      <c r="J92" s="878" t="s">
        <v>2665</v>
      </c>
      <c r="K92" s="878" t="s">
        <v>2666</v>
      </c>
      <c r="L92" s="878" t="s">
        <v>2667</v>
      </c>
      <c r="M92" s="878" t="s">
        <v>2668</v>
      </c>
      <c r="N92" s="878" t="s">
        <v>2669</v>
      </c>
    </row>
    <row r="93" spans="1:37">
      <c r="A93" s="3376" t="s">
        <v>2792</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7"/>
      <c r="B99" s="2345" t="s">
        <v>2674</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6" t="s">
        <v>2793</v>
      </c>
      <c r="B101" s="2349" t="s">
        <v>2794</v>
      </c>
      <c r="C101" s="2350">
        <f>$G$3</f>
        <v>0.8</v>
      </c>
      <c r="D101" s="2350">
        <f t="shared" ref="D101:N101" si="31">$G$3</f>
        <v>0.8</v>
      </c>
      <c r="E101" s="2350">
        <f t="shared" si="31"/>
        <v>0.8</v>
      </c>
      <c r="F101" s="2350">
        <f t="shared" si="31"/>
        <v>0.8</v>
      </c>
      <c r="G101" s="2350">
        <f t="shared" si="31"/>
        <v>0.8</v>
      </c>
      <c r="H101" s="2350">
        <f t="shared" si="31"/>
        <v>0.8</v>
      </c>
      <c r="I101" s="2350">
        <f t="shared" si="31"/>
        <v>0.8</v>
      </c>
      <c r="J101" s="2350">
        <f t="shared" si="31"/>
        <v>0.8</v>
      </c>
      <c r="K101" s="2350">
        <f t="shared" si="31"/>
        <v>0.8</v>
      </c>
      <c r="L101" s="2350">
        <f t="shared" si="31"/>
        <v>0.8</v>
      </c>
      <c r="M101" s="2350">
        <f t="shared" si="31"/>
        <v>0.8</v>
      </c>
      <c r="N101" s="2350">
        <f t="shared" si="31"/>
        <v>0.8</v>
      </c>
    </row>
    <row r="102" spans="1:14">
      <c r="A102" s="3377"/>
      <c r="B102" s="2345">
        <v>1</v>
      </c>
      <c r="C102" s="2346">
        <f>1.9362/C101</f>
        <v>2.4202499999999998</v>
      </c>
      <c r="D102" s="2346">
        <f>1.9362/D101</f>
        <v>2.4202499999999998</v>
      </c>
      <c r="E102" s="2346">
        <f>1.8629/E101</f>
        <v>2.3286249999999997</v>
      </c>
      <c r="F102" s="2346">
        <f>1.8629/F101</f>
        <v>2.3286249999999997</v>
      </c>
      <c r="G102" s="2346">
        <f>1.8629/G101</f>
        <v>2.3286249999999997</v>
      </c>
      <c r="H102" s="2346">
        <f>1.8629/H101</f>
        <v>2.3286249999999997</v>
      </c>
      <c r="I102" s="2346">
        <f>1.8629/I101</f>
        <v>2.3286249999999997</v>
      </c>
      <c r="J102" s="2346">
        <f>1.942/J101</f>
        <v>2.4274999999999998</v>
      </c>
      <c r="K102" s="2346">
        <f>1.942/K101</f>
        <v>2.4274999999999998</v>
      </c>
      <c r="L102" s="2346">
        <f>1.942/L101</f>
        <v>2.4274999999999998</v>
      </c>
      <c r="M102" s="2346">
        <f>1.942/M101</f>
        <v>2.4274999999999998</v>
      </c>
      <c r="N102" s="2346">
        <f>1.942/N101</f>
        <v>2.4274999999999998</v>
      </c>
    </row>
    <row r="103" spans="1:14">
      <c r="A103" s="3377"/>
      <c r="B103" s="2345">
        <v>2</v>
      </c>
      <c r="C103" s="2346">
        <f>1.4198/C101</f>
        <v>1.7747499999999998</v>
      </c>
      <c r="D103" s="2346">
        <f>1.4198/D101</f>
        <v>1.7747499999999998</v>
      </c>
      <c r="E103" s="2346">
        <f>1.3372/E101</f>
        <v>1.6714999999999998</v>
      </c>
      <c r="F103" s="2346">
        <f>1.3372/F101</f>
        <v>1.6714999999999998</v>
      </c>
      <c r="G103" s="2346">
        <f>1.3372/G101</f>
        <v>1.6714999999999998</v>
      </c>
      <c r="H103" s="2346">
        <f>1.3372/H101</f>
        <v>1.6714999999999998</v>
      </c>
      <c r="I103" s="2346">
        <f>1.3372/I101</f>
        <v>1.6714999999999998</v>
      </c>
      <c r="J103" s="2346">
        <f>1.2799/J101</f>
        <v>1.5998749999999999</v>
      </c>
      <c r="K103" s="2346">
        <f>1.2799/K101</f>
        <v>1.5998749999999999</v>
      </c>
      <c r="L103" s="2346">
        <f>1.2799/L101</f>
        <v>1.5998749999999999</v>
      </c>
      <c r="M103" s="2346">
        <f>1.2799/M101</f>
        <v>1.5998749999999999</v>
      </c>
      <c r="N103" s="2346">
        <f>1.2799/N101</f>
        <v>1.5998749999999999</v>
      </c>
    </row>
    <row r="104" spans="1:14">
      <c r="A104" s="3377"/>
      <c r="B104" s="2345">
        <v>3</v>
      </c>
      <c r="C104" s="2346">
        <f>1.1594/C101</f>
        <v>1.4492499999999999</v>
      </c>
      <c r="D104" s="2346">
        <f>1.1594/D101</f>
        <v>1.4492499999999999</v>
      </c>
      <c r="E104" s="2346">
        <f>1.0788/E101</f>
        <v>1.3484999999999998</v>
      </c>
      <c r="F104" s="2346">
        <f>1.0788/F101</f>
        <v>1.3484999999999998</v>
      </c>
      <c r="G104" s="2346">
        <f>1.0788/G101</f>
        <v>1.3484999999999998</v>
      </c>
      <c r="H104" s="2346">
        <f>1.0788/H101</f>
        <v>1.3484999999999998</v>
      </c>
      <c r="I104" s="2346">
        <f>1.0788/I101</f>
        <v>1.3484999999999998</v>
      </c>
      <c r="J104" s="2346">
        <f>1.0072/J101</f>
        <v>1.2590000000000001</v>
      </c>
      <c r="K104" s="2346">
        <f>1.0072/K101</f>
        <v>1.2590000000000001</v>
      </c>
      <c r="L104" s="2346">
        <f>1.0072/L101</f>
        <v>1.2590000000000001</v>
      </c>
      <c r="M104" s="2346">
        <f>1.0072/M101</f>
        <v>1.2590000000000001</v>
      </c>
      <c r="N104" s="2346">
        <f>1.0072/N101</f>
        <v>1.2590000000000001</v>
      </c>
    </row>
    <row r="105" spans="1:14">
      <c r="A105" s="3377"/>
      <c r="B105" s="2345">
        <v>4</v>
      </c>
      <c r="C105" s="2346">
        <f>0.9622/C101</f>
        <v>1.20275</v>
      </c>
      <c r="D105" s="2346">
        <f>0.9622/D101</f>
        <v>1.20275</v>
      </c>
      <c r="E105" s="2346">
        <f>0.8656/E101</f>
        <v>1.0820000000000001</v>
      </c>
      <c r="F105" s="2346">
        <f>0.8656/F101</f>
        <v>1.0820000000000001</v>
      </c>
      <c r="G105" s="2346">
        <f>0.8656/G101</f>
        <v>1.0820000000000001</v>
      </c>
      <c r="H105" s="2346">
        <f>0.8656/H101</f>
        <v>1.0820000000000001</v>
      </c>
      <c r="I105" s="2346">
        <f>0.8656/I101</f>
        <v>1.0820000000000001</v>
      </c>
      <c r="J105" s="2346">
        <f>0.7525/J101</f>
        <v>0.94062499999999993</v>
      </c>
      <c r="K105" s="2346">
        <f>0.7525/K101</f>
        <v>0.94062499999999993</v>
      </c>
      <c r="L105" s="2346">
        <f>0.7525/L101</f>
        <v>0.94062499999999993</v>
      </c>
      <c r="M105" s="2346">
        <f>0.7525/M101</f>
        <v>0.94062499999999993</v>
      </c>
      <c r="N105" s="2346">
        <f>0.7525/N101</f>
        <v>0.94062499999999993</v>
      </c>
    </row>
    <row r="106" spans="1:14">
      <c r="A106" s="3377"/>
      <c r="B106" s="2345">
        <v>5</v>
      </c>
      <c r="C106" s="2346">
        <f>0.8417/C101</f>
        <v>1.052125</v>
      </c>
      <c r="D106" s="2346">
        <f>0.8417/D101</f>
        <v>1.052125</v>
      </c>
      <c r="E106" s="2346">
        <f>0.7371/E101</f>
        <v>0.92137499999999994</v>
      </c>
      <c r="F106" s="2346">
        <f>0.7371/F101</f>
        <v>0.92137499999999994</v>
      </c>
      <c r="G106" s="2346">
        <f>0.7371/G101</f>
        <v>0.92137499999999994</v>
      </c>
      <c r="H106" s="2346">
        <f>0.7371/H101</f>
        <v>0.92137499999999994</v>
      </c>
      <c r="I106" s="2346">
        <f>0.7371/I101</f>
        <v>0.92137499999999994</v>
      </c>
      <c r="J106" s="2346">
        <f>0.5659/J101</f>
        <v>0.70737499999999986</v>
      </c>
      <c r="K106" s="2346">
        <f>0.5659/K101</f>
        <v>0.70737499999999986</v>
      </c>
      <c r="L106" s="2346">
        <f>0.5659/L101</f>
        <v>0.70737499999999986</v>
      </c>
      <c r="M106" s="2346">
        <f>0.5659/M101</f>
        <v>0.70737499999999986</v>
      </c>
      <c r="N106" s="2346">
        <f>0.5659/N101</f>
        <v>0.70737499999999986</v>
      </c>
    </row>
    <row r="107" spans="1:14">
      <c r="A107" s="3377"/>
      <c r="B107" s="2345">
        <v>6</v>
      </c>
      <c r="C107" s="2346">
        <f>0.7608/C101</f>
        <v>0.95099999999999996</v>
      </c>
      <c r="D107" s="2346">
        <f>0.7608/D101</f>
        <v>0.95099999999999996</v>
      </c>
      <c r="E107" s="2346">
        <f>0.6482/E101</f>
        <v>0.81024999999999991</v>
      </c>
      <c r="F107" s="2346">
        <f>0.6482/F101</f>
        <v>0.81024999999999991</v>
      </c>
      <c r="G107" s="2346">
        <f>0.6482/G101</f>
        <v>0.81024999999999991</v>
      </c>
      <c r="H107" s="2346">
        <f>0.6482/H101</f>
        <v>0.81024999999999991</v>
      </c>
      <c r="I107" s="2346">
        <f>0.6482/I101</f>
        <v>0.81024999999999991</v>
      </c>
      <c r="J107" s="2346">
        <f>0.4525/J101</f>
        <v>0.56562499999999993</v>
      </c>
      <c r="K107" s="2346">
        <f>0.4525/K101</f>
        <v>0.56562499999999993</v>
      </c>
      <c r="L107" s="2346">
        <f>0.4525/L101</f>
        <v>0.56562499999999993</v>
      </c>
      <c r="M107" s="2346">
        <f>0.4525/M101</f>
        <v>0.56562499999999993</v>
      </c>
      <c r="N107" s="2346">
        <f>0.4525/N101</f>
        <v>0.56562499999999993</v>
      </c>
    </row>
    <row r="108" spans="1:14">
      <c r="A108" s="3377"/>
      <c r="B108" s="3379" t="s">
        <v>2795</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8"/>
      <c r="B109" s="3380"/>
      <c r="C109" s="2348">
        <f>(-0.163*(C108^2)-0.59*C108+7617)*(10^(-4))/C101</f>
        <v>0.952125</v>
      </c>
      <c r="D109" s="2348">
        <f>(-0.163*(D108^2)-0.59*D108+7617)*(10^(-4))/D101</f>
        <v>0.952125</v>
      </c>
      <c r="E109" s="2348">
        <f>(-0.161*(E108^2)-7.509*E108+6533)*(10^(-4))/E101</f>
        <v>0.81662499999999993</v>
      </c>
      <c r="F109" s="2348">
        <f>(-0.161*(F108^2)-7.509*F108+6533)*(10^(-4))/F101</f>
        <v>0.81662499999999993</v>
      </c>
      <c r="G109" s="2348">
        <f>(-0.161*(G108^2)-7.509*G108+6533)*(10^(-4))/G101</f>
        <v>0.81662499999999993</v>
      </c>
      <c r="H109" s="2348">
        <f>(-0.161*(H108^2)-7.509*H108+6533)*(10^(-4))/H101</f>
        <v>0.81662499999999993</v>
      </c>
      <c r="I109" s="2348">
        <f>(-0.161*(I108^2)-7.509*I108+6533)*(10^(-4))/I101</f>
        <v>0.81662499999999993</v>
      </c>
      <c r="J109" s="2348">
        <f>(-0.214*(J108^2)-21.991*J108+4665)*(10^(-4))/J101</f>
        <v>0.583125</v>
      </c>
      <c r="K109" s="2348">
        <f>(-0.214*(K108^2)-21.991*K108+4665)*(10^(-4))/K101</f>
        <v>0.583125</v>
      </c>
      <c r="L109" s="2348">
        <f>(-0.214*(L108^2)-21.991*L108+4665)*(10^(-4))/L101</f>
        <v>0.583125</v>
      </c>
      <c r="M109" s="2348">
        <f>(-0.214*(M108^2)-21.991*M108+4665)*(10^(-4))/M101</f>
        <v>0.583125</v>
      </c>
      <c r="N109" s="2348">
        <f>(-0.214*(N108^2)-21.991*N108+4665)*(10^(-4))/N101</f>
        <v>0.583125</v>
      </c>
    </row>
    <row r="110" spans="1:14">
      <c r="A110" s="3374" t="s">
        <v>2796</v>
      </c>
      <c r="B110" s="3374"/>
      <c r="C110" s="3374"/>
      <c r="D110" s="3374"/>
      <c r="E110" s="3374"/>
      <c r="F110" s="3374"/>
      <c r="G110" s="3374"/>
      <c r="H110" s="3374"/>
      <c r="I110" s="3374"/>
      <c r="J110" s="3374"/>
      <c r="K110" s="2351"/>
      <c r="L110" s="2351"/>
      <c r="M110" s="2351"/>
      <c r="N110" s="2351"/>
    </row>
    <row r="112" spans="1:14" ht="13.5" thickBot="1"/>
    <row r="113" spans="1:13" ht="25.5" thickBot="1">
      <c r="A113" s="841" t="s">
        <v>2797</v>
      </c>
      <c r="B113" s="1196">
        <f>G3</f>
        <v>0.8</v>
      </c>
      <c r="C113" s="842" t="s">
        <v>2798</v>
      </c>
      <c r="D113" s="843">
        <f>SUMPRODUCT((A115:A118=F113)*(B114:M114=H113)*B115:M118)</f>
        <v>0</v>
      </c>
      <c r="E113" s="2187" t="s">
        <v>2631</v>
      </c>
      <c r="F113" s="2353">
        <f>E2</f>
        <v>0</v>
      </c>
      <c r="G113" s="2187" t="s">
        <v>2632</v>
      </c>
      <c r="H113" s="2353">
        <f>G2</f>
        <v>0</v>
      </c>
      <c r="I113" s="2187"/>
      <c r="J113" s="2354"/>
      <c r="K113" s="2354"/>
      <c r="L113" s="2354"/>
      <c r="M113" s="2354"/>
    </row>
    <row r="114" spans="1:13">
      <c r="A114" s="846"/>
      <c r="B114" s="2355" t="s">
        <v>2799</v>
      </c>
      <c r="C114" s="2355" t="s">
        <v>2800</v>
      </c>
      <c r="D114" s="2355" t="s">
        <v>2801</v>
      </c>
      <c r="E114" s="2356" t="s">
        <v>2802</v>
      </c>
      <c r="F114" s="2356" t="s">
        <v>2803</v>
      </c>
      <c r="G114" s="2356" t="s">
        <v>2804</v>
      </c>
      <c r="H114" s="2357" t="s">
        <v>2805</v>
      </c>
      <c r="I114" s="2357" t="s">
        <v>2806</v>
      </c>
      <c r="J114" s="2358" t="s">
        <v>2807</v>
      </c>
      <c r="K114" s="2358" t="s">
        <v>2808</v>
      </c>
      <c r="L114" s="2358" t="s">
        <v>2809</v>
      </c>
      <c r="M114" s="2359" t="s">
        <v>2810</v>
      </c>
    </row>
    <row r="115" spans="1:13">
      <c r="A115" s="847" t="s">
        <v>2696</v>
      </c>
      <c r="B115" s="848">
        <f>ROUND(0.9335-0.0094*B113,4)</f>
        <v>0.92600000000000005</v>
      </c>
      <c r="C115" s="848">
        <f>B115</f>
        <v>0.92600000000000005</v>
      </c>
      <c r="D115" s="848">
        <f>ROUND(0.8331-0.0109*B113,4)</f>
        <v>0.82440000000000002</v>
      </c>
      <c r="E115" s="848">
        <f>D115</f>
        <v>0.82440000000000002</v>
      </c>
      <c r="F115" s="848">
        <f>E115</f>
        <v>0.82440000000000002</v>
      </c>
      <c r="G115" s="848">
        <f>F115</f>
        <v>0.82440000000000002</v>
      </c>
      <c r="H115" s="848">
        <f>G115</f>
        <v>0.82440000000000002</v>
      </c>
      <c r="I115" s="848">
        <f>ROUND(0.689-0.0155*B113,4)</f>
        <v>0.67659999999999998</v>
      </c>
      <c r="J115" s="848">
        <f t="shared" ref="J115:M118" si="33">I115</f>
        <v>0.67659999999999998</v>
      </c>
      <c r="K115" s="848">
        <f t="shared" si="33"/>
        <v>0.67659999999999998</v>
      </c>
      <c r="L115" s="848">
        <f t="shared" si="33"/>
        <v>0.67659999999999998</v>
      </c>
      <c r="M115" s="849">
        <f t="shared" si="33"/>
        <v>0.67659999999999998</v>
      </c>
    </row>
    <row r="116" spans="1:13">
      <c r="A116" s="847" t="s">
        <v>2697</v>
      </c>
      <c r="B116" s="848">
        <f>ROUND(0.949-0.012*B113,4)</f>
        <v>0.93940000000000001</v>
      </c>
      <c r="C116" s="848">
        <f>B116</f>
        <v>0.93940000000000001</v>
      </c>
      <c r="D116" s="848">
        <f>ROUND(0.8567-0.013*B113,4)</f>
        <v>0.84630000000000005</v>
      </c>
      <c r="E116" s="848">
        <f t="shared" ref="E116:H117" si="34">D116</f>
        <v>0.84630000000000005</v>
      </c>
      <c r="F116" s="848">
        <f t="shared" si="34"/>
        <v>0.84630000000000005</v>
      </c>
      <c r="G116" s="848">
        <f t="shared" si="34"/>
        <v>0.84630000000000005</v>
      </c>
      <c r="H116" s="848">
        <f t="shared" si="34"/>
        <v>0.84630000000000005</v>
      </c>
      <c r="I116" s="848">
        <f>ROUND(0.7694-0.014*B113,4)</f>
        <v>0.75819999999999999</v>
      </c>
      <c r="J116" s="848">
        <f t="shared" si="33"/>
        <v>0.75819999999999999</v>
      </c>
      <c r="K116" s="848">
        <f t="shared" si="33"/>
        <v>0.75819999999999999</v>
      </c>
      <c r="L116" s="848">
        <f t="shared" si="33"/>
        <v>0.75819999999999999</v>
      </c>
      <c r="M116" s="849">
        <f t="shared" si="33"/>
        <v>0.75819999999999999</v>
      </c>
    </row>
    <row r="117" spans="1:13">
      <c r="A117" s="847" t="s">
        <v>2698</v>
      </c>
      <c r="B117" s="848">
        <f>ROUND(0.8808-0.006*B113,4)</f>
        <v>0.876</v>
      </c>
      <c r="C117" s="848">
        <f>B117</f>
        <v>0.876</v>
      </c>
      <c r="D117" s="848">
        <f>ROUND(0.8748-0.008*B113,4)</f>
        <v>0.86839999999999995</v>
      </c>
      <c r="E117" s="848">
        <f t="shared" si="34"/>
        <v>0.86839999999999995</v>
      </c>
      <c r="F117" s="848">
        <f t="shared" si="34"/>
        <v>0.86839999999999995</v>
      </c>
      <c r="G117" s="848">
        <f t="shared" si="34"/>
        <v>0.86839999999999995</v>
      </c>
      <c r="H117" s="848">
        <f t="shared" si="34"/>
        <v>0.86839999999999995</v>
      </c>
      <c r="I117" s="848">
        <f>ROUND(0.7412-0.0095*B113,4)</f>
        <v>0.73360000000000003</v>
      </c>
      <c r="J117" s="848">
        <f t="shared" si="33"/>
        <v>0.73360000000000003</v>
      </c>
      <c r="K117" s="848">
        <f t="shared" si="33"/>
        <v>0.73360000000000003</v>
      </c>
      <c r="L117" s="848">
        <f t="shared" si="33"/>
        <v>0.73360000000000003</v>
      </c>
      <c r="M117" s="849">
        <f t="shared" si="33"/>
        <v>0.73360000000000003</v>
      </c>
    </row>
    <row r="118" spans="1:13" ht="13.5" thickBot="1">
      <c r="A118" s="669" t="s">
        <v>2699</v>
      </c>
      <c r="B118" s="850">
        <f>ROUND(0.7275-0.01*B113,4)</f>
        <v>0.71950000000000003</v>
      </c>
      <c r="C118" s="850">
        <f>B118</f>
        <v>0.71950000000000003</v>
      </c>
      <c r="D118" s="850">
        <f>ROUND(0.7043-0.012*B113,4)</f>
        <v>0.69469999999999998</v>
      </c>
      <c r="E118" s="850">
        <f>D118</f>
        <v>0.69469999999999998</v>
      </c>
      <c r="F118" s="850">
        <f>E118</f>
        <v>0.69469999999999998</v>
      </c>
      <c r="G118" s="850">
        <f>ROUND(0.6299-0.0122*B113,4)</f>
        <v>0.62009999999999998</v>
      </c>
      <c r="H118" s="850">
        <f>G118</f>
        <v>0.62009999999999998</v>
      </c>
      <c r="I118" s="850">
        <f>ROUND(0.5667-0.0136*B113,4)</f>
        <v>0.55579999999999996</v>
      </c>
      <c r="J118" s="850">
        <f t="shared" si="33"/>
        <v>0.55579999999999996</v>
      </c>
      <c r="K118" s="850">
        <f t="shared" si="33"/>
        <v>0.55579999999999996</v>
      </c>
      <c r="L118" s="850">
        <f t="shared" si="33"/>
        <v>0.55579999999999996</v>
      </c>
      <c r="M118" s="851">
        <f t="shared" si="33"/>
        <v>0.55579999999999996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9" workbookViewId="0">
      <selection activeCell="E37" sqref="E37"/>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7" t="s">
        <v>183</v>
      </c>
      <c r="B18" s="820" t="s">
        <v>560</v>
      </c>
      <c r="C18" s="821" t="s">
        <v>561</v>
      </c>
      <c r="D18" s="822"/>
      <c r="E18" s="820">
        <v>1</v>
      </c>
      <c r="F18" s="823" t="s">
        <v>562</v>
      </c>
      <c r="G18" s="824"/>
      <c r="H18" s="816"/>
      <c r="I18" s="816"/>
    </row>
    <row r="19" spans="1:9" s="825" customFormat="1" ht="19.5" customHeight="1">
      <c r="A19" s="3387"/>
      <c r="B19" s="3387" t="s">
        <v>563</v>
      </c>
      <c r="C19" s="821" t="s">
        <v>564</v>
      </c>
      <c r="D19" s="822"/>
      <c r="E19" s="820">
        <v>0.9</v>
      </c>
      <c r="F19" s="823" t="s">
        <v>565</v>
      </c>
      <c r="G19" s="824"/>
      <c r="H19" s="816"/>
      <c r="I19" s="816"/>
    </row>
    <row r="20" spans="1:9" s="825" customFormat="1" ht="19.5" customHeight="1">
      <c r="A20" s="3387"/>
      <c r="B20" s="3387"/>
      <c r="C20" s="821" t="s">
        <v>566</v>
      </c>
      <c r="D20" s="822"/>
      <c r="E20" s="820">
        <v>1.1000000000000001</v>
      </c>
      <c r="F20" s="823" t="s">
        <v>567</v>
      </c>
      <c r="G20" s="824"/>
      <c r="H20" s="816"/>
      <c r="I20" s="816"/>
    </row>
    <row r="21" spans="1:9" s="825" customFormat="1" ht="19.5" customHeight="1">
      <c r="A21" s="3387"/>
      <c r="B21" s="3387"/>
      <c r="C21" s="821" t="s">
        <v>568</v>
      </c>
      <c r="D21" s="822"/>
      <c r="E21" s="820">
        <v>0.8</v>
      </c>
      <c r="F21" s="823" t="s">
        <v>569</v>
      </c>
      <c r="G21" s="824"/>
      <c r="H21" s="816"/>
      <c r="I21" s="816"/>
    </row>
    <row r="22" spans="1:9" s="825" customFormat="1" ht="19.5" customHeight="1">
      <c r="A22" s="3387"/>
      <c r="B22" s="3387"/>
      <c r="C22" s="821" t="s">
        <v>570</v>
      </c>
      <c r="D22" s="822"/>
      <c r="E22" s="820">
        <v>0.5</v>
      </c>
      <c r="F22" s="823"/>
      <c r="G22" s="824"/>
      <c r="H22" s="816"/>
      <c r="I22" s="816"/>
    </row>
    <row r="23" spans="1:9" s="825" customFormat="1" ht="19.5" customHeight="1">
      <c r="A23" s="3387" t="s">
        <v>184</v>
      </c>
      <c r="B23" s="820" t="s">
        <v>560</v>
      </c>
      <c r="C23" s="821" t="s">
        <v>571</v>
      </c>
      <c r="D23" s="822"/>
      <c r="E23" s="820">
        <v>1</v>
      </c>
      <c r="F23" s="823" t="s">
        <v>572</v>
      </c>
      <c r="G23" s="824"/>
      <c r="H23" s="816"/>
      <c r="I23" s="816"/>
    </row>
    <row r="24" spans="1:9" s="825" customFormat="1" ht="19.5" customHeight="1">
      <c r="A24" s="3387"/>
      <c r="B24" s="3387" t="s">
        <v>563</v>
      </c>
      <c r="C24" s="821" t="s">
        <v>573</v>
      </c>
      <c r="D24" s="822"/>
      <c r="E24" s="820">
        <v>0.5</v>
      </c>
      <c r="F24" s="823"/>
      <c r="G24" s="824"/>
      <c r="H24" s="816"/>
      <c r="I24" s="816"/>
    </row>
    <row r="25" spans="1:9" s="825" customFormat="1" ht="19.5" customHeight="1">
      <c r="A25" s="3387"/>
      <c r="B25" s="3387"/>
      <c r="C25" s="821" t="s">
        <v>574</v>
      </c>
      <c r="D25" s="822"/>
      <c r="E25" s="820">
        <v>1.1000000000000001</v>
      </c>
      <c r="F25" s="823"/>
      <c r="G25" s="824"/>
      <c r="H25" s="816"/>
      <c r="I25" s="816"/>
    </row>
    <row r="26" spans="1:9" s="825" customFormat="1" ht="19.5" customHeight="1">
      <c r="A26" s="3387"/>
      <c r="B26" s="3387"/>
      <c r="C26" s="821" t="s">
        <v>575</v>
      </c>
      <c r="D26" s="822"/>
      <c r="E26" s="820">
        <v>1.1000000000000001</v>
      </c>
      <c r="F26" s="823"/>
      <c r="G26" s="824"/>
      <c r="H26" s="816"/>
      <c r="I26" s="816"/>
    </row>
    <row r="27" spans="1:9" s="825" customFormat="1" ht="19.5" customHeight="1">
      <c r="A27" s="3387"/>
      <c r="B27" s="3387"/>
      <c r="C27" s="821" t="s">
        <v>576</v>
      </c>
      <c r="D27" s="822"/>
      <c r="E27" s="820">
        <v>0.9</v>
      </c>
      <c r="F27" s="823" t="s">
        <v>577</v>
      </c>
      <c r="G27" s="824"/>
      <c r="H27" s="816"/>
      <c r="I27" s="816"/>
    </row>
    <row r="28" spans="1:9" s="825" customFormat="1" ht="19.5" customHeight="1">
      <c r="A28" s="3387"/>
      <c r="B28" s="3387"/>
      <c r="C28" s="821" t="s">
        <v>578</v>
      </c>
      <c r="D28" s="822"/>
      <c r="E28" s="820">
        <v>0.9</v>
      </c>
      <c r="F28" s="823" t="s">
        <v>579</v>
      </c>
      <c r="G28" s="824"/>
      <c r="H28" s="816"/>
      <c r="I28" s="816"/>
    </row>
    <row r="29" spans="1:9" s="825" customFormat="1" ht="19.5" customHeight="1">
      <c r="A29" s="3387"/>
      <c r="B29" s="3387"/>
      <c r="C29" s="821" t="s">
        <v>580</v>
      </c>
      <c r="D29" s="822"/>
      <c r="E29" s="820">
        <v>0.9</v>
      </c>
      <c r="F29" s="823" t="s">
        <v>581</v>
      </c>
      <c r="G29" s="824"/>
      <c r="H29" s="816"/>
      <c r="I29" s="816"/>
    </row>
    <row r="30" spans="1:9" s="825" customFormat="1" ht="19.5" customHeight="1">
      <c r="A30" s="3387"/>
      <c r="B30" s="3387"/>
      <c r="C30" s="821" t="s">
        <v>582</v>
      </c>
      <c r="D30" s="822"/>
      <c r="E30" s="820">
        <v>0.9</v>
      </c>
      <c r="F30" s="823" t="s">
        <v>583</v>
      </c>
      <c r="G30" s="824"/>
      <c r="H30" s="816"/>
      <c r="I30" s="816"/>
    </row>
    <row r="31" spans="1:9" s="825" customFormat="1" ht="19.5" customHeight="1">
      <c r="A31" s="3387"/>
      <c r="B31" s="3387"/>
      <c r="C31" s="821" t="s">
        <v>584</v>
      </c>
      <c r="D31" s="822"/>
      <c r="E31" s="820">
        <v>0.8</v>
      </c>
      <c r="F31" s="823" t="s">
        <v>585</v>
      </c>
      <c r="G31" s="824"/>
      <c r="H31" s="816"/>
      <c r="I31" s="816"/>
    </row>
    <row r="32" spans="1:9" s="825" customFormat="1" ht="19.5" customHeight="1">
      <c r="A32" s="3387"/>
      <c r="B32" s="3387"/>
      <c r="C32" s="821" t="s">
        <v>586</v>
      </c>
      <c r="D32" s="822"/>
      <c r="E32" s="820">
        <v>0.8</v>
      </c>
      <c r="F32" s="823" t="s">
        <v>587</v>
      </c>
      <c r="G32" s="824"/>
      <c r="H32" s="816"/>
      <c r="I32" s="816"/>
    </row>
    <row r="33" spans="1:9" s="825" customFormat="1" ht="19.5" customHeight="1">
      <c r="A33" s="3387" t="s">
        <v>185</v>
      </c>
      <c r="B33" s="820" t="s">
        <v>560</v>
      </c>
      <c r="C33" s="821" t="s">
        <v>588</v>
      </c>
      <c r="D33" s="822"/>
      <c r="E33" s="820">
        <v>1</v>
      </c>
      <c r="F33" s="823" t="s">
        <v>589</v>
      </c>
      <c r="G33" s="824"/>
      <c r="H33" s="816"/>
      <c r="I33" s="816"/>
    </row>
    <row r="34" spans="1:9" s="825" customFormat="1" ht="19.5" customHeight="1">
      <c r="A34" s="3387"/>
      <c r="B34" s="820" t="s">
        <v>563</v>
      </c>
      <c r="C34" s="821" t="s">
        <v>590</v>
      </c>
      <c r="D34" s="822"/>
      <c r="E34" s="820">
        <v>1.5</v>
      </c>
      <c r="F34" s="823" t="s">
        <v>591</v>
      </c>
      <c r="G34" s="824"/>
      <c r="H34" s="816"/>
      <c r="I34" s="816"/>
    </row>
    <row r="35" spans="1:9" s="825" customFormat="1" ht="19.5" customHeight="1">
      <c r="A35" s="3387" t="s">
        <v>186</v>
      </c>
      <c r="B35" s="820" t="s">
        <v>560</v>
      </c>
      <c r="C35" s="821" t="s">
        <v>592</v>
      </c>
      <c r="D35" s="822"/>
      <c r="E35" s="820">
        <v>1</v>
      </c>
      <c r="F35" s="823" t="s">
        <v>593</v>
      </c>
      <c r="G35" s="824"/>
      <c r="H35" s="816"/>
      <c r="I35" s="816"/>
    </row>
    <row r="36" spans="1:9" s="825" customFormat="1" ht="19.5" customHeight="1">
      <c r="A36" s="3387"/>
      <c r="B36" s="3387" t="s">
        <v>563</v>
      </c>
      <c r="C36" s="821" t="s">
        <v>594</v>
      </c>
      <c r="D36" s="822"/>
      <c r="E36" s="820">
        <v>1</v>
      </c>
      <c r="F36" s="823" t="s">
        <v>595</v>
      </c>
      <c r="G36" s="824"/>
      <c r="H36" s="816"/>
      <c r="I36" s="816"/>
    </row>
    <row r="37" spans="1:9" s="825" customFormat="1" ht="19.5" customHeight="1">
      <c r="A37" s="3387"/>
      <c r="B37" s="3387"/>
      <c r="C37" s="821" t="s">
        <v>596</v>
      </c>
      <c r="D37" s="822"/>
      <c r="E37" s="820">
        <v>1.5</v>
      </c>
      <c r="F37" s="823" t="s">
        <v>597</v>
      </c>
      <c r="G37" s="824"/>
      <c r="H37" s="816"/>
      <c r="I37" s="816"/>
    </row>
    <row r="38" spans="1:9" s="825" customFormat="1" ht="19.5" customHeight="1">
      <c r="A38" s="3387"/>
      <c r="B38" s="3387"/>
      <c r="C38" s="821" t="s">
        <v>598</v>
      </c>
      <c r="D38" s="822"/>
      <c r="E38" s="820">
        <v>1</v>
      </c>
      <c r="F38" s="823" t="s">
        <v>599</v>
      </c>
      <c r="G38" s="824"/>
      <c r="H38" s="816"/>
      <c r="I38" s="816"/>
    </row>
    <row r="39" spans="1:9" s="825" customFormat="1" ht="19.5" customHeight="1">
      <c r="A39" s="3387"/>
      <c r="B39" s="338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7" t="s">
        <v>614</v>
      </c>
      <c r="C61" s="756" t="s">
        <v>615</v>
      </c>
      <c r="D61" s="756" t="s">
        <v>616</v>
      </c>
      <c r="E61" s="833">
        <v>0.5</v>
      </c>
      <c r="F61" s="820">
        <v>80</v>
      </c>
    </row>
    <row r="62" spans="1:8" s="816" customFormat="1" ht="24">
      <c r="A62" s="820">
        <v>2</v>
      </c>
      <c r="B62" s="3387"/>
      <c r="C62" s="756" t="s">
        <v>617</v>
      </c>
      <c r="D62" s="756" t="s">
        <v>618</v>
      </c>
      <c r="E62" s="833">
        <v>0.5</v>
      </c>
      <c r="F62" s="820">
        <v>80</v>
      </c>
    </row>
    <row r="63" spans="1:8" s="816" customFormat="1" ht="36">
      <c r="A63" s="820">
        <v>3</v>
      </c>
      <c r="B63" s="3387"/>
      <c r="C63" s="756" t="s">
        <v>619</v>
      </c>
      <c r="D63" s="756" t="s">
        <v>620</v>
      </c>
      <c r="E63" s="833">
        <v>0.5</v>
      </c>
      <c r="F63" s="820">
        <v>80</v>
      </c>
    </row>
    <row r="64" spans="1:8" s="816" customFormat="1" ht="36">
      <c r="A64" s="820">
        <v>4</v>
      </c>
      <c r="B64" s="3387"/>
      <c r="C64" s="756" t="s">
        <v>621</v>
      </c>
      <c r="D64" s="756" t="s">
        <v>622</v>
      </c>
      <c r="E64" s="833">
        <v>0.4</v>
      </c>
      <c r="F64" s="820">
        <v>60</v>
      </c>
    </row>
    <row r="65" spans="1:6" s="816" customFormat="1" ht="36">
      <c r="A65" s="820">
        <v>5</v>
      </c>
      <c r="B65" s="3387"/>
      <c r="C65" s="756" t="s">
        <v>623</v>
      </c>
      <c r="D65" s="756" t="s">
        <v>624</v>
      </c>
      <c r="E65" s="833">
        <v>0.2</v>
      </c>
      <c r="F65" s="820">
        <v>30</v>
      </c>
    </row>
    <row r="66" spans="1:6" s="816" customFormat="1" ht="36">
      <c r="A66" s="820">
        <v>6</v>
      </c>
      <c r="B66" s="3387"/>
      <c r="C66" s="756" t="s">
        <v>625</v>
      </c>
      <c r="D66" s="756" t="s">
        <v>626</v>
      </c>
      <c r="E66" s="833">
        <v>0.3</v>
      </c>
      <c r="F66" s="820">
        <v>50</v>
      </c>
    </row>
    <row r="67" spans="1:6" s="816" customFormat="1" ht="36">
      <c r="A67" s="820">
        <v>7</v>
      </c>
      <c r="B67" s="3387"/>
      <c r="C67" s="756" t="s">
        <v>627</v>
      </c>
      <c r="D67" s="756" t="s">
        <v>628</v>
      </c>
      <c r="E67" s="833">
        <v>0.2</v>
      </c>
      <c r="F67" s="820">
        <v>30</v>
      </c>
    </row>
    <row r="68" spans="1:6" s="816" customFormat="1" ht="36">
      <c r="A68" s="820">
        <v>8</v>
      </c>
      <c r="B68" s="3387"/>
      <c r="C68" s="756" t="s">
        <v>629</v>
      </c>
      <c r="D68" s="756" t="s">
        <v>630</v>
      </c>
      <c r="E68" s="833">
        <v>0.2</v>
      </c>
      <c r="F68" s="820">
        <v>30</v>
      </c>
    </row>
    <row r="69" spans="1:6" s="816" customFormat="1" ht="36">
      <c r="A69" s="820">
        <v>9</v>
      </c>
      <c r="B69" s="3387"/>
      <c r="C69" s="756" t="s">
        <v>631</v>
      </c>
      <c r="D69" s="756" t="s">
        <v>632</v>
      </c>
      <c r="E69" s="833">
        <v>0.2</v>
      </c>
      <c r="F69" s="820">
        <v>30</v>
      </c>
    </row>
    <row r="70" spans="1:6" s="816" customFormat="1" ht="48">
      <c r="A70" s="820">
        <v>10</v>
      </c>
      <c r="B70" s="3387"/>
      <c r="C70" s="756" t="s">
        <v>633</v>
      </c>
      <c r="D70" s="756" t="s">
        <v>634</v>
      </c>
      <c r="E70" s="833">
        <v>0.2</v>
      </c>
      <c r="F70" s="820">
        <v>30</v>
      </c>
    </row>
    <row r="71" spans="1:6" s="816" customFormat="1" ht="48">
      <c r="A71" s="820">
        <v>11</v>
      </c>
      <c r="B71" s="3387"/>
      <c r="C71" s="756" t="s">
        <v>635</v>
      </c>
      <c r="D71" s="756" t="s">
        <v>636</v>
      </c>
      <c r="E71" s="833">
        <v>0.2</v>
      </c>
      <c r="F71" s="820">
        <v>30</v>
      </c>
    </row>
    <row r="72" spans="1:6" s="816" customFormat="1" ht="36">
      <c r="A72" s="820">
        <v>12</v>
      </c>
      <c r="B72" s="3387"/>
      <c r="C72" s="756" t="s">
        <v>637</v>
      </c>
      <c r="D72" s="756" t="s">
        <v>638</v>
      </c>
      <c r="E72" s="833">
        <v>0.5</v>
      </c>
      <c r="F72" s="820">
        <v>80</v>
      </c>
    </row>
    <row r="73" spans="1:6" s="816" customFormat="1" ht="24">
      <c r="A73" s="820">
        <v>13</v>
      </c>
      <c r="B73" s="3387"/>
      <c r="C73" s="756" t="s">
        <v>639</v>
      </c>
      <c r="D73" s="756" t="s">
        <v>640</v>
      </c>
      <c r="E73" s="833">
        <v>0.4</v>
      </c>
      <c r="F73" s="820">
        <v>60</v>
      </c>
    </row>
    <row r="74" spans="1:6" s="816" customFormat="1" ht="24">
      <c r="A74" s="820">
        <v>14</v>
      </c>
      <c r="B74" s="3387"/>
      <c r="C74" s="756" t="s">
        <v>641</v>
      </c>
      <c r="D74" s="756" t="s">
        <v>642</v>
      </c>
      <c r="E74" s="833">
        <v>0.2</v>
      </c>
      <c r="F74" s="820">
        <v>30</v>
      </c>
    </row>
    <row r="75" spans="1:6" s="816" customFormat="1" ht="24">
      <c r="A75" s="820">
        <v>15</v>
      </c>
      <c r="B75" s="3387"/>
      <c r="C75" s="756" t="s">
        <v>643</v>
      </c>
      <c r="D75" s="756" t="s">
        <v>644</v>
      </c>
      <c r="E75" s="833">
        <v>0.2</v>
      </c>
      <c r="F75" s="820">
        <v>30</v>
      </c>
    </row>
    <row r="76" spans="1:6" s="816" customFormat="1" ht="24">
      <c r="A76" s="820">
        <v>16</v>
      </c>
      <c r="B76" s="3387" t="s">
        <v>645</v>
      </c>
      <c r="C76" s="756" t="s">
        <v>646</v>
      </c>
      <c r="D76" s="756" t="s">
        <v>647</v>
      </c>
      <c r="E76" s="833">
        <v>0.5</v>
      </c>
      <c r="F76" s="820">
        <v>80</v>
      </c>
    </row>
    <row r="77" spans="1:6" s="816" customFormat="1" ht="24">
      <c r="A77" s="820">
        <v>17</v>
      </c>
      <c r="B77" s="3387"/>
      <c r="C77" s="756" t="s">
        <v>648</v>
      </c>
      <c r="D77" s="756" t="s">
        <v>649</v>
      </c>
      <c r="E77" s="833">
        <v>0.5</v>
      </c>
      <c r="F77" s="820">
        <v>80</v>
      </c>
    </row>
    <row r="78" spans="1:6" s="816" customFormat="1" ht="24">
      <c r="A78" s="820">
        <v>18</v>
      </c>
      <c r="B78" s="3387"/>
      <c r="C78" s="756" t="s">
        <v>650</v>
      </c>
      <c r="D78" s="756" t="s">
        <v>651</v>
      </c>
      <c r="E78" s="833">
        <v>0.2</v>
      </c>
      <c r="F78" s="820">
        <v>30</v>
      </c>
    </row>
    <row r="79" spans="1:6" s="816" customFormat="1" ht="24">
      <c r="A79" s="820">
        <v>19</v>
      </c>
      <c r="B79" s="3387"/>
      <c r="C79" s="756" t="s">
        <v>652</v>
      </c>
      <c r="D79" s="756" t="s">
        <v>653</v>
      </c>
      <c r="E79" s="833">
        <v>0.5</v>
      </c>
      <c r="F79" s="820">
        <v>80</v>
      </c>
    </row>
    <row r="80" spans="1:6" s="816" customFormat="1" ht="36">
      <c r="A80" s="820">
        <v>20</v>
      </c>
      <c r="B80" s="3387"/>
      <c r="C80" s="756" t="s">
        <v>654</v>
      </c>
      <c r="D80" s="756" t="s">
        <v>655</v>
      </c>
      <c r="E80" s="833">
        <v>0.2</v>
      </c>
      <c r="F80" s="820">
        <v>30</v>
      </c>
    </row>
    <row r="81" spans="1:6" s="816" customFormat="1" ht="36">
      <c r="A81" s="820">
        <v>21</v>
      </c>
      <c r="B81" s="3387"/>
      <c r="C81" s="756" t="s">
        <v>656</v>
      </c>
      <c r="D81" s="756" t="s">
        <v>657</v>
      </c>
      <c r="E81" s="833">
        <v>0.2</v>
      </c>
      <c r="F81" s="820">
        <v>30</v>
      </c>
    </row>
    <row r="82" spans="1:6" s="816" customFormat="1" ht="48">
      <c r="A82" s="820">
        <v>22</v>
      </c>
      <c r="B82" s="3387"/>
      <c r="C82" s="756" t="s">
        <v>658</v>
      </c>
      <c r="D82" s="756" t="s">
        <v>659</v>
      </c>
      <c r="E82" s="833">
        <v>0.2</v>
      </c>
      <c r="F82" s="820">
        <v>30</v>
      </c>
    </row>
    <row r="83" spans="1:6" s="816" customFormat="1" ht="48">
      <c r="A83" s="820">
        <v>23</v>
      </c>
      <c r="B83" s="3387"/>
      <c r="C83" s="756" t="s">
        <v>660</v>
      </c>
      <c r="D83" s="756" t="s">
        <v>661</v>
      </c>
      <c r="E83" s="833">
        <v>0.2</v>
      </c>
      <c r="F83" s="820">
        <v>30</v>
      </c>
    </row>
    <row r="84" spans="1:6" s="816" customFormat="1" ht="36">
      <c r="A84" s="820">
        <v>24</v>
      </c>
      <c r="B84" s="3387"/>
      <c r="C84" s="756" t="s">
        <v>662</v>
      </c>
      <c r="D84" s="756" t="s">
        <v>663</v>
      </c>
      <c r="E84" s="833">
        <v>0.2</v>
      </c>
      <c r="F84" s="820">
        <v>30</v>
      </c>
    </row>
    <row r="85" spans="1:6" s="816" customFormat="1" ht="36">
      <c r="A85" s="820">
        <v>25</v>
      </c>
      <c r="B85" s="3387"/>
      <c r="C85" s="756" t="s">
        <v>664</v>
      </c>
      <c r="D85" s="756" t="s">
        <v>665</v>
      </c>
      <c r="E85" s="833">
        <v>0.5</v>
      </c>
      <c r="F85" s="820">
        <v>80</v>
      </c>
    </row>
    <row r="86" spans="1:6" s="816" customFormat="1" ht="36">
      <c r="A86" s="820">
        <v>26</v>
      </c>
      <c r="B86" s="3387"/>
      <c r="C86" s="756" t="s">
        <v>666</v>
      </c>
      <c r="D86" s="756" t="s">
        <v>667</v>
      </c>
      <c r="E86" s="833">
        <v>0.2</v>
      </c>
      <c r="F86" s="820">
        <v>30</v>
      </c>
    </row>
    <row r="87" spans="1:6" s="816" customFormat="1" ht="36">
      <c r="A87" s="820">
        <v>27</v>
      </c>
      <c r="B87" s="3387"/>
      <c r="C87" s="756" t="s">
        <v>668</v>
      </c>
      <c r="D87" s="756" t="s">
        <v>669</v>
      </c>
      <c r="E87" s="833">
        <v>0.2</v>
      </c>
      <c r="F87" s="820">
        <v>30</v>
      </c>
    </row>
    <row r="88" spans="1:6" s="816" customFormat="1" ht="36">
      <c r="A88" s="820">
        <v>28</v>
      </c>
      <c r="B88" s="3387"/>
      <c r="C88" s="756" t="s">
        <v>670</v>
      </c>
      <c r="D88" s="756" t="s">
        <v>671</v>
      </c>
      <c r="E88" s="833">
        <v>0.2</v>
      </c>
      <c r="F88" s="820">
        <v>30</v>
      </c>
    </row>
    <row r="89" spans="1:6" s="816" customFormat="1" ht="24">
      <c r="A89" s="820">
        <v>29</v>
      </c>
      <c r="B89" s="3387"/>
      <c r="C89" s="756" t="s">
        <v>672</v>
      </c>
      <c r="D89" s="756" t="s">
        <v>673</v>
      </c>
      <c r="E89" s="833">
        <v>0.2</v>
      </c>
      <c r="F89" s="820">
        <v>30</v>
      </c>
    </row>
    <row r="90" spans="1:6" s="816" customFormat="1" ht="24">
      <c r="A90" s="820">
        <v>30</v>
      </c>
      <c r="B90" s="3387"/>
      <c r="C90" s="756" t="s">
        <v>674</v>
      </c>
      <c r="D90" s="756" t="s">
        <v>675</v>
      </c>
      <c r="E90" s="833">
        <v>0.2</v>
      </c>
      <c r="F90" s="820">
        <v>30</v>
      </c>
    </row>
    <row r="91" spans="1:6" s="816" customFormat="1" ht="36">
      <c r="A91" s="820">
        <v>31</v>
      </c>
      <c r="B91" s="3387"/>
      <c r="C91" s="756" t="s">
        <v>676</v>
      </c>
      <c r="D91" s="756" t="s">
        <v>677</v>
      </c>
      <c r="E91" s="833">
        <v>0.2</v>
      </c>
      <c r="F91" s="820">
        <v>30</v>
      </c>
    </row>
    <row r="92" spans="1:6" s="816" customFormat="1" ht="24">
      <c r="A92" s="820">
        <v>32</v>
      </c>
      <c r="B92" s="3387" t="s">
        <v>678</v>
      </c>
      <c r="C92" s="820" t="s">
        <v>679</v>
      </c>
      <c r="D92" s="756" t="s">
        <v>680</v>
      </c>
      <c r="E92" s="833">
        <v>0.2</v>
      </c>
      <c r="F92" s="820">
        <v>30</v>
      </c>
    </row>
    <row r="93" spans="1:6" s="816" customFormat="1" ht="36">
      <c r="A93" s="820">
        <v>33</v>
      </c>
      <c r="B93" s="3387"/>
      <c r="C93" s="820" t="s">
        <v>681</v>
      </c>
      <c r="D93" s="756" t="s">
        <v>682</v>
      </c>
      <c r="E93" s="833">
        <v>0.2</v>
      </c>
      <c r="F93" s="820">
        <v>30</v>
      </c>
    </row>
    <row r="94" spans="1:6" s="816" customFormat="1" ht="48">
      <c r="A94" s="820">
        <v>34</v>
      </c>
      <c r="B94" s="3387"/>
      <c r="C94" s="820" t="s">
        <v>683</v>
      </c>
      <c r="D94" s="756" t="s">
        <v>684</v>
      </c>
      <c r="E94" s="833">
        <v>0.2</v>
      </c>
      <c r="F94" s="820">
        <v>30</v>
      </c>
    </row>
    <row r="95" spans="1:6" s="816" customFormat="1" ht="36">
      <c r="A95" s="820">
        <v>35</v>
      </c>
      <c r="B95" s="3387"/>
      <c r="C95" s="820" t="s">
        <v>685</v>
      </c>
      <c r="D95" s="756" t="s">
        <v>686</v>
      </c>
      <c r="E95" s="833">
        <v>0.2</v>
      </c>
      <c r="F95" s="820">
        <v>30</v>
      </c>
    </row>
    <row r="96" spans="1:6" s="816" customFormat="1" ht="48">
      <c r="A96" s="820">
        <v>36</v>
      </c>
      <c r="B96" s="3387"/>
      <c r="C96" s="756" t="s">
        <v>687</v>
      </c>
      <c r="D96" s="756" t="s">
        <v>688</v>
      </c>
      <c r="E96" s="833">
        <v>0.2</v>
      </c>
      <c r="F96" s="820">
        <v>30</v>
      </c>
    </row>
    <row r="97" spans="1:6" s="816" customFormat="1" ht="36">
      <c r="A97" s="820">
        <v>37</v>
      </c>
      <c r="B97" s="3387"/>
      <c r="C97" s="820" t="s">
        <v>689</v>
      </c>
      <c r="D97" s="756" t="s">
        <v>690</v>
      </c>
      <c r="E97" s="833">
        <v>0.2</v>
      </c>
      <c r="F97" s="820">
        <v>30</v>
      </c>
    </row>
    <row r="98" spans="1:6" s="816" customFormat="1" ht="36">
      <c r="A98" s="820">
        <v>38</v>
      </c>
      <c r="B98" s="3387"/>
      <c r="C98" s="820" t="s">
        <v>691</v>
      </c>
      <c r="D98" s="756" t="s">
        <v>692</v>
      </c>
      <c r="E98" s="833">
        <v>0.2</v>
      </c>
      <c r="F98" s="820">
        <v>30</v>
      </c>
    </row>
    <row r="99" spans="1:6" s="816" customFormat="1" ht="36">
      <c r="A99" s="820">
        <v>39</v>
      </c>
      <c r="B99" s="3387" t="s">
        <v>693</v>
      </c>
      <c r="C99" s="820" t="s">
        <v>694</v>
      </c>
      <c r="D99" s="756" t="s">
        <v>695</v>
      </c>
      <c r="E99" s="833">
        <v>0.3</v>
      </c>
      <c r="F99" s="820">
        <v>50</v>
      </c>
    </row>
    <row r="100" spans="1:6" s="816" customFormat="1" ht="24">
      <c r="A100" s="820">
        <v>40</v>
      </c>
      <c r="B100" s="3387"/>
      <c r="C100" s="820" t="s">
        <v>696</v>
      </c>
      <c r="D100" s="756" t="s">
        <v>697</v>
      </c>
      <c r="E100" s="833">
        <v>0.2</v>
      </c>
      <c r="F100" s="820">
        <v>30</v>
      </c>
    </row>
    <row r="101" spans="1:6" s="816" customFormat="1" ht="36">
      <c r="A101" s="820">
        <v>41</v>
      </c>
      <c r="B101" s="338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7" t="s">
        <v>708</v>
      </c>
      <c r="C105" s="820" t="s">
        <v>709</v>
      </c>
      <c r="D105" s="756" t="s">
        <v>710</v>
      </c>
      <c r="E105" s="833">
        <v>0.2</v>
      </c>
      <c r="F105" s="820">
        <v>30</v>
      </c>
    </row>
    <row r="106" spans="1:6" s="816" customFormat="1" ht="36">
      <c r="A106" s="820">
        <v>46</v>
      </c>
      <c r="B106" s="3387"/>
      <c r="C106" s="820" t="s">
        <v>711</v>
      </c>
      <c r="D106" s="756" t="s">
        <v>712</v>
      </c>
      <c r="E106" s="833">
        <v>0.2</v>
      </c>
      <c r="F106" s="820">
        <v>30</v>
      </c>
    </row>
    <row r="107" spans="1:6" s="816" customFormat="1" ht="36">
      <c r="A107" s="820">
        <v>47</v>
      </c>
      <c r="B107" s="3387" t="s">
        <v>713</v>
      </c>
      <c r="C107" s="820" t="s">
        <v>714</v>
      </c>
      <c r="D107" s="756" t="s">
        <v>715</v>
      </c>
      <c r="E107" s="833">
        <v>0.3</v>
      </c>
      <c r="F107" s="820">
        <v>50</v>
      </c>
    </row>
    <row r="108" spans="1:6" s="816" customFormat="1" ht="36">
      <c r="A108" s="820">
        <v>48</v>
      </c>
      <c r="B108" s="338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7" t="s">
        <v>724</v>
      </c>
      <c r="C111" s="820" t="s">
        <v>725</v>
      </c>
      <c r="D111" s="756" t="s">
        <v>726</v>
      </c>
      <c r="E111" s="833">
        <v>0.2</v>
      </c>
      <c r="F111" s="820">
        <v>30</v>
      </c>
    </row>
    <row r="112" spans="1:6" s="816" customFormat="1" ht="24">
      <c r="A112" s="820">
        <v>52</v>
      </c>
      <c r="B112" s="3387"/>
      <c r="C112" s="820" t="s">
        <v>727</v>
      </c>
      <c r="D112" s="756" t="s">
        <v>728</v>
      </c>
      <c r="E112" s="833">
        <v>0.2</v>
      </c>
      <c r="F112" s="820">
        <v>30</v>
      </c>
    </row>
    <row r="113" spans="1:6" s="816" customFormat="1" ht="24">
      <c r="A113" s="820">
        <v>53</v>
      </c>
      <c r="B113" s="338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7" t="s">
        <v>737</v>
      </c>
      <c r="C116" s="820" t="s">
        <v>738</v>
      </c>
      <c r="D116" s="756" t="s">
        <v>739</v>
      </c>
      <c r="E116" s="833">
        <v>0.2</v>
      </c>
      <c r="F116" s="820">
        <v>30</v>
      </c>
    </row>
    <row r="117" spans="1:6" ht="36">
      <c r="A117" s="820">
        <v>57</v>
      </c>
      <c r="B117" s="338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2819</v>
      </c>
      <c r="B1" s="2362"/>
      <c r="C1" s="2362"/>
      <c r="D1" s="2362"/>
      <c r="E1" s="2362"/>
      <c r="F1" s="3019"/>
      <c r="G1" s="3019"/>
      <c r="H1" s="3019"/>
      <c r="I1" s="3019"/>
      <c r="J1" s="3019"/>
      <c r="K1" s="3019"/>
      <c r="L1" s="3019"/>
      <c r="M1" s="3019"/>
      <c r="N1" s="3019"/>
      <c r="O1" s="3019"/>
      <c r="P1" s="3019"/>
    </row>
    <row r="2" spans="1:16" ht="15.75">
      <c r="A2" s="2360" t="s">
        <v>2811</v>
      </c>
      <c r="B2" s="2824" t="e">
        <f ca="1">SUMIF(B6:B13,"&lt;&gt;#ref!",B6:B13)</f>
        <v>#DIV/0!</v>
      </c>
      <c r="C2" s="2360" t="s">
        <v>2812</v>
      </c>
      <c r="D2" s="2360" t="s">
        <v>2813</v>
      </c>
      <c r="E2" s="2834">
        <f ca="1">SUMIF(E6:E13,"&lt;&gt;#ref!",E6:E13)</f>
        <v>0</v>
      </c>
      <c r="F2" s="3019"/>
      <c r="G2" s="3019"/>
      <c r="H2" s="3019"/>
      <c r="I2" s="3019"/>
      <c r="J2" s="3019"/>
      <c r="K2" s="3019"/>
      <c r="L2" s="3019"/>
      <c r="M2" s="3019"/>
      <c r="N2" s="3019"/>
      <c r="O2" s="3019"/>
      <c r="P2" s="3019"/>
    </row>
    <row r="3" spans="1:16" ht="15.75">
      <c r="A3" s="2360" t="s">
        <v>2814</v>
      </c>
      <c r="B3" s="2824" t="e">
        <f ca="1">ROUND(B2*10000/E2,0)</f>
        <v>#DIV/0!</v>
      </c>
      <c r="C3" s="2360" t="s">
        <v>2820</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2815</v>
      </c>
      <c r="B5" s="2832" t="s">
        <v>2816</v>
      </c>
      <c r="C5" s="2361"/>
      <c r="D5" s="3019"/>
      <c r="E5" s="2833" t="s">
        <v>2817</v>
      </c>
      <c r="F5" s="3019"/>
      <c r="G5" s="3019"/>
      <c r="H5" s="3019"/>
      <c r="I5" s="3019"/>
      <c r="J5" s="3019"/>
      <c r="K5" s="3019"/>
      <c r="L5" s="3019"/>
      <c r="M5" s="3019"/>
      <c r="N5" s="3019"/>
      <c r="O5" s="3019"/>
      <c r="P5" s="3019"/>
    </row>
    <row r="6" spans="1:16" ht="15.75">
      <c r="A6" s="2831" t="s">
        <v>2818</v>
      </c>
      <c r="B6" s="2824" t="e">
        <f ca="1">SUMIF(INDIRECT("'"&amp;A6&amp;"'"&amp;"!A:A"),"总价",INDIRECT("'"&amp;A6&amp;"'"&amp;"!B:B"))</f>
        <v>#DIV/0!</v>
      </c>
      <c r="C6" s="2360" t="s">
        <v>2812</v>
      </c>
      <c r="D6" s="3019"/>
      <c r="E6" s="2834">
        <f ca="1">SUMIF(INDIRECT("'"&amp;A6&amp;"'"&amp;"!C:C"),"建筑面积",INDIRECT("'"&amp;A6&amp;"'"&amp;"!D:D"))</f>
        <v>0</v>
      </c>
      <c r="F6" s="3019"/>
      <c r="G6" s="3019"/>
      <c r="H6" s="3019"/>
      <c r="I6" s="3019"/>
      <c r="J6" s="3019"/>
      <c r="K6" s="3019"/>
      <c r="L6" s="3019"/>
      <c r="M6" s="3019"/>
      <c r="N6" s="3019"/>
      <c r="O6" s="3019"/>
      <c r="P6" s="3019"/>
    </row>
    <row r="7" spans="1:16" ht="15.75">
      <c r="A7" s="2831"/>
      <c r="B7" s="2824" t="e">
        <f ca="1">SUMIF(INDIRECT("'"&amp;A7&amp;"'"&amp;"!A:A"),"总价",INDIRECT("'"&amp;A7&amp;"'"&amp;"!B:B"))</f>
        <v>#REF!</v>
      </c>
      <c r="C7" s="2360" t="s">
        <v>2812</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0" t="s">
        <v>2812</v>
      </c>
      <c r="D8" s="3019"/>
      <c r="E8" s="2834" t="e">
        <f t="shared" ca="1" si="0"/>
        <v>#REF!</v>
      </c>
      <c r="F8" s="3019"/>
      <c r="G8" s="3019"/>
      <c r="H8" s="3019"/>
      <c r="I8" s="3019"/>
      <c r="J8" s="3019"/>
      <c r="K8" s="3019"/>
      <c r="L8" s="3019"/>
      <c r="M8" s="3019"/>
      <c r="N8" s="3019"/>
      <c r="O8" s="3019"/>
      <c r="P8" s="3019"/>
    </row>
    <row r="9" spans="1:16" ht="15.75">
      <c r="A9" s="2831"/>
      <c r="B9" s="2824" t="e">
        <f t="shared" ca="1" si="1"/>
        <v>#REF!</v>
      </c>
      <c r="C9" s="2360" t="s">
        <v>2812</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0" t="s">
        <v>2812</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0" t="s">
        <v>2812</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0" t="s">
        <v>2812</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0" t="s">
        <v>2812</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估价结果一览表（市场价值不需“结果表-1”）</v>
      </c>
      <c r="B3" s="3076"/>
      <c r="C3" s="3076"/>
      <c r="D3" s="3076"/>
      <c r="E3" s="3076"/>
    </row>
    <row r="4" spans="1:5" ht="19.5" thickBot="1">
      <c r="A4" s="1677"/>
      <c r="B4" s="3074" t="s">
        <v>1595</v>
      </c>
      <c r="C4" s="3074"/>
      <c r="D4" s="3074"/>
      <c r="E4" s="1677"/>
    </row>
    <row r="5" spans="1:5" ht="16.5" thickTop="1">
      <c r="A5" s="1675"/>
      <c r="B5" s="3072" t="s">
        <v>1587</v>
      </c>
      <c r="C5" s="1678" t="s">
        <v>1588</v>
      </c>
      <c r="D5" s="958">
        <f ca="1">结果表!H101</f>
        <v>764</v>
      </c>
      <c r="E5" s="1675"/>
    </row>
    <row r="6" spans="1:5" ht="15.75">
      <c r="A6" s="1675"/>
      <c r="B6" s="3072"/>
      <c r="C6" s="1678" t="s">
        <v>1589</v>
      </c>
      <c r="D6" s="958" t="str">
        <f ca="1">NUMBERSTRING(INT(D5*10000),2)&amp;"元整"</f>
        <v>柒佰陆拾肆万元整</v>
      </c>
      <c r="E6" s="1675"/>
    </row>
    <row r="7" spans="1:5" ht="15.75">
      <c r="A7" s="1675"/>
      <c r="B7" s="3077"/>
      <c r="C7" s="1679" t="s">
        <v>1590</v>
      </c>
      <c r="D7" s="959">
        <f ca="1">结果表!H102</f>
        <v>219</v>
      </c>
      <c r="E7" s="1675"/>
    </row>
    <row r="8" spans="1:5" ht="15.75">
      <c r="A8" s="1675"/>
      <c r="B8" s="3078" t="str">
        <f>结果表!E103</f>
        <v>2.估价师知悉的法定优先受偿款</v>
      </c>
      <c r="C8" s="1680" t="s">
        <v>1591</v>
      </c>
      <c r="D8" s="959">
        <f>结果表!H103</f>
        <v>0</v>
      </c>
      <c r="E8" s="1675"/>
    </row>
    <row r="9" spans="1:5" ht="15.75">
      <c r="A9" s="1675"/>
      <c r="B9" s="3080"/>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1" t="str">
        <f>结果表!E107</f>
        <v>3.房地产抵押价值</v>
      </c>
      <c r="C13" s="1683" t="s">
        <v>1588</v>
      </c>
      <c r="D13" s="961">
        <f ca="1">结果表!H107</f>
        <v>764</v>
      </c>
      <c r="E13" s="1675"/>
    </row>
    <row r="14" spans="1:5" ht="15.75">
      <c r="A14" s="1675"/>
      <c r="B14" s="3072"/>
      <c r="C14" s="1678" t="s">
        <v>1589</v>
      </c>
      <c r="D14" s="958" t="str">
        <f ca="1">NUMBERSTRING(INT(D13*10000),2)&amp;"元整"</f>
        <v>柒佰陆拾肆万元整</v>
      </c>
      <c r="E14" s="1675"/>
    </row>
    <row r="15" spans="1:5" ht="15">
      <c r="A15" s="1675"/>
      <c r="B15" s="3077"/>
      <c r="C15" s="1679" t="s">
        <v>1599</v>
      </c>
      <c r="D15" s="967">
        <f ca="1">结果表!H108</f>
        <v>219</v>
      </c>
      <c r="E15" s="1675"/>
    </row>
    <row r="16" spans="1:5" ht="15">
      <c r="A16" s="1675"/>
      <c r="B16" s="3078" t="str">
        <f>结果表!E109</f>
        <v>——</v>
      </c>
      <c r="C16" s="1683" t="s">
        <v>1600</v>
      </c>
      <c r="D16" s="1684" t="str">
        <f>结果表!H109</f>
        <v>——</v>
      </c>
      <c r="E16" s="1675"/>
    </row>
    <row r="17" spans="1:5" ht="15.75">
      <c r="A17" s="1675"/>
      <c r="B17" s="3079"/>
      <c r="C17" s="1678" t="s">
        <v>1601</v>
      </c>
      <c r="D17" s="958" t="e">
        <f>NUMBERSTRING(INT(D16*10000),2)&amp;"元整"</f>
        <v>#VALUE!</v>
      </c>
      <c r="E17" s="1675"/>
    </row>
    <row r="18" spans="1:5" ht="15">
      <c r="A18" s="1675"/>
      <c r="B18" s="3080"/>
      <c r="C18" s="1679" t="s">
        <v>1590</v>
      </c>
      <c r="D18" s="967" t="str">
        <f>结果表!H110</f>
        <v>——</v>
      </c>
      <c r="E18" s="1675"/>
    </row>
    <row r="19" spans="1:5" ht="15.75">
      <c r="A19" s="1675"/>
      <c r="B19" s="3071" t="str">
        <f>结果表!E111</f>
        <v>——</v>
      </c>
      <c r="C19" s="1683" t="s">
        <v>1588</v>
      </c>
      <c r="D19" s="959" t="str">
        <f>结果表!H111</f>
        <v>——</v>
      </c>
      <c r="E19" s="1675"/>
    </row>
    <row r="20" spans="1:5" ht="15.75">
      <c r="A20" s="1675"/>
      <c r="B20" s="3072"/>
      <c r="C20" s="1678" t="s">
        <v>1601</v>
      </c>
      <c r="D20" s="958" t="e">
        <f>NUMBERSTRING(INT(D19*10000),2)&amp;"元整"</f>
        <v>#VALUE!</v>
      </c>
      <c r="E20" s="1675"/>
    </row>
    <row r="21" spans="1:5" ht="15.75" thickBot="1">
      <c r="A21" s="1675"/>
      <c r="B21" s="3073"/>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1" sqref="E21"/>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3" t="s">
        <v>1117</v>
      </c>
      <c r="C1" s="3393"/>
      <c r="D1" s="3393"/>
      <c r="E1" s="3393"/>
      <c r="F1" s="3393"/>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2852</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39">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2853</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3058</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39">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3056</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38">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3055</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5">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2869</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2867</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2866</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2865</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2863</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2861</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2864</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9">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2859</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9"/>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2858</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9"/>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2851</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8"/>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2849</v>
      </c>
      <c r="B19" s="2437">
        <v>439</v>
      </c>
      <c r="C19" s="2437">
        <v>327</v>
      </c>
      <c r="D19" s="2437">
        <f>C19</f>
        <v>327</v>
      </c>
      <c r="E19" s="2437">
        <v>627</v>
      </c>
      <c r="F19" s="2438">
        <v>283</v>
      </c>
      <c r="G19" s="3394">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2850</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9"/>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9"/>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8"/>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94">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9"/>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9"/>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0"/>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8">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9"/>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9"/>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0"/>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8">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9"/>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9"/>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0"/>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95">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96"/>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96"/>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97"/>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8">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9"/>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9"/>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90"/>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8">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9">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9">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0">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8">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9">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9">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0">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8">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9">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9">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0">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8">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9">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9">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0">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8">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9">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9">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0">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8">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9">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9">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0">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8">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9">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9">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0">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8">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9">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9">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0">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8">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9">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9">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90">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8">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9">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9">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90">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2821</v>
      </c>
      <c r="C1" s="3402" t="s">
        <v>2822</v>
      </c>
      <c r="D1" s="3403"/>
      <c r="E1" s="3403"/>
      <c r="F1" s="3403"/>
      <c r="G1" s="3403"/>
      <c r="H1" s="3403"/>
      <c r="I1" s="3403"/>
      <c r="J1" s="3403"/>
      <c r="K1" s="3403"/>
      <c r="L1" s="3403"/>
      <c r="M1" s="3403"/>
      <c r="N1" s="3403"/>
      <c r="O1" s="3403"/>
      <c r="P1" s="3403"/>
      <c r="Q1" s="3403"/>
      <c r="R1" s="3403"/>
      <c r="S1" s="3404"/>
      <c r="T1" s="1113" t="s">
        <v>2823</v>
      </c>
    </row>
    <row r="2" spans="1:45" s="662" customFormat="1">
      <c r="A2" s="1114"/>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2825</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2826</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2827</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2831</v>
      </c>
      <c r="B17" s="2364"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5" t="s">
        <v>2833</v>
      </c>
      <c r="E19" s="1523"/>
      <c r="F19" s="1523"/>
      <c r="G19" s="1523"/>
      <c r="H19" s="1189"/>
      <c r="I19" s="163"/>
      <c r="J19" s="163"/>
      <c r="K19" s="163"/>
      <c r="L19" s="163"/>
      <c r="M19" s="163"/>
      <c r="N19" s="163"/>
      <c r="O19" s="163"/>
      <c r="P19" s="163"/>
      <c r="Q19" s="163"/>
      <c r="R19" s="726"/>
      <c r="S19" s="133"/>
    </row>
    <row r="20" spans="1:45" ht="16.5" thickBot="1">
      <c r="A20" s="670" t="s">
        <v>2834</v>
      </c>
      <c r="B20" s="299" t="e">
        <f ca="1">IF(D20="——",S22,S22-F20)</f>
        <v>#REF!</v>
      </c>
      <c r="C20" s="163"/>
      <c r="D20" s="2366"/>
      <c r="E20" s="1524"/>
      <c r="F20" s="1113" t="e">
        <f ca="1">SUMIF(INDIRECT("'"&amp;H20&amp;"'"&amp;"!A:A"),"承租人权益价值",INDIRECT("'"&amp;H20&amp;"'"&amp;"!c:c"))</f>
        <v>#REF!</v>
      </c>
      <c r="G20" s="1113" t="s">
        <v>2835</v>
      </c>
      <c r="H20" s="2367"/>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399" t="s">
        <v>33</v>
      </c>
      <c r="D22" s="3400"/>
      <c r="E22" s="3400"/>
      <c r="F22" s="3400"/>
      <c r="G22" s="3400"/>
      <c r="H22" s="3400"/>
      <c r="I22" s="3400"/>
      <c r="J22" s="3400"/>
      <c r="K22" s="3400"/>
      <c r="L22" s="3400"/>
      <c r="M22" s="3400"/>
      <c r="N22" s="3400"/>
      <c r="O22" s="3400"/>
      <c r="P22" s="3400"/>
      <c r="Q22" s="3401"/>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25175</v>
      </c>
      <c r="C2" s="2" t="s">
        <v>133</v>
      </c>
      <c r="D2" s="204"/>
      <c r="E2" s="204"/>
      <c r="F2" s="204"/>
      <c r="G2" s="204"/>
    </row>
    <row r="3" spans="1:7" s="205" customFormat="1" ht="18" customHeight="1" thickBot="1">
      <c r="A3" s="208" t="s">
        <v>85</v>
      </c>
      <c r="B3" s="209">
        <f ca="1">ROUND(B2*10000/'数据-汇总表'!E3,0)</f>
        <v>7211</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34910.400000000001</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524</v>
      </c>
      <c r="D19" s="957">
        <f>'数据-汇总表'!E3</f>
        <v>34910.400000000001</v>
      </c>
      <c r="E19" s="216">
        <f>'数据-取费表'!B31</f>
        <v>150</v>
      </c>
      <c r="F19" s="236"/>
      <c r="G19" s="1" t="s">
        <v>1042</v>
      </c>
    </row>
    <row r="20" spans="1:7" s="219" customFormat="1" ht="13.5" customHeight="1">
      <c r="A20" s="884" t="s">
        <v>1025</v>
      </c>
      <c r="B20" s="215" t="s">
        <v>104</v>
      </c>
      <c r="C20" s="237">
        <f>ROUND((C5+C19)*F20,0)</f>
        <v>317</v>
      </c>
      <c r="D20" s="237"/>
      <c r="E20" s="237"/>
      <c r="F20" s="238">
        <f>'数据-取费表'!B37</f>
        <v>1.4999999999999999E-2</v>
      </c>
      <c r="G20" s="1198" t="s">
        <v>1036</v>
      </c>
    </row>
    <row r="21" spans="1:7" s="219" customFormat="1" ht="13.5" customHeight="1">
      <c r="A21" s="884" t="s">
        <v>1027</v>
      </c>
      <c r="B21" s="215" t="s">
        <v>105</v>
      </c>
      <c r="C21" s="240">
        <f>F21</f>
        <v>1.4999999999999999E-2</v>
      </c>
      <c r="D21" s="241" t="s">
        <v>126</v>
      </c>
      <c r="E21" s="237"/>
      <c r="F21" s="238">
        <f>'数据-取费表'!B38</f>
        <v>1.4999999999999999E-2</v>
      </c>
      <c r="G21" s="239" t="s">
        <v>106</v>
      </c>
    </row>
    <row r="22" spans="1:7" s="219" customFormat="1" ht="13.5" customHeight="1">
      <c r="A22" s="884" t="s">
        <v>786</v>
      </c>
      <c r="B22" s="215" t="s">
        <v>107</v>
      </c>
      <c r="C22" s="1263">
        <f ca="1">ROUND(SUM(C23:C25),0)</f>
        <v>927</v>
      </c>
      <c r="D22" s="240">
        <f ca="1">C26</f>
        <v>2.9999999999999997E-4</v>
      </c>
      <c r="E22" s="241" t="s">
        <v>126</v>
      </c>
      <c r="F22" s="242">
        <f ca="1">'数据-取费表'!B40</f>
        <v>4.3499999999999997E-2</v>
      </c>
      <c r="G22" s="1198" t="str">
        <f>IF('数据-取费表'!B22&lt;=1,"单利计息","复利计息")</f>
        <v>单利计息</v>
      </c>
    </row>
    <row r="23" spans="1:7" s="219" customFormat="1" ht="13.5" customHeight="1">
      <c r="A23" s="887" t="s">
        <v>794</v>
      </c>
      <c r="B23" s="220" t="s">
        <v>1029</v>
      </c>
      <c r="C23" s="1264">
        <f ca="1">ROUND(IF('数据-取费表'!B22&lt;=1,C5*F22*'数据-取费表'!B23,C5*(POWER((1+F22),'数据-取费表'!B23)-1)),0)</f>
        <v>897</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23</v>
      </c>
      <c r="D24" s="243"/>
      <c r="E24" s="243"/>
      <c r="F24" s="244"/>
      <c r="G24" s="245" t="s">
        <v>109</v>
      </c>
    </row>
    <row r="25" spans="1:7" s="219" customFormat="1" ht="24">
      <c r="A25" s="887" t="s">
        <v>793</v>
      </c>
      <c r="B25" s="220" t="s">
        <v>1026</v>
      </c>
      <c r="C25" s="1264">
        <f ca="1">ROUND(IF('数据-取费表'!B22&lt;=1,C20*F22*'数据-取费表'!B23/2,C20*(POWER((1+F22),'数据-取费表'!B23/2)-1)),0)</f>
        <v>7</v>
      </c>
      <c r="D25" s="243"/>
      <c r="E25" s="246"/>
      <c r="F25" s="244"/>
      <c r="G25" s="247" t="s">
        <v>110</v>
      </c>
    </row>
    <row r="26" spans="1:7" s="219" customFormat="1">
      <c r="A26" s="887" t="s">
        <v>795</v>
      </c>
      <c r="B26" s="220" t="s">
        <v>1028</v>
      </c>
      <c r="C26" s="243">
        <f ca="1">ROUND(IF('数据-取费表'!B22&lt;=1,F21*F22*'数据-取费表'!B23/2,F21*(POWER((1+F22),'数据-取费表'!B23/2)-1)),4)</f>
        <v>2.9999999999999997E-4</v>
      </c>
      <c r="D26" s="243"/>
      <c r="E26" s="246"/>
      <c r="F26" s="244"/>
      <c r="G26" s="248"/>
    </row>
    <row r="27" spans="1:7" s="219" customFormat="1" ht="24.75">
      <c r="A27" s="884" t="s">
        <v>787</v>
      </c>
      <c r="B27" s="249" t="s">
        <v>112</v>
      </c>
      <c r="C27" s="250">
        <f>C28</f>
        <v>1073</v>
      </c>
      <c r="D27" s="240">
        <f>C29</f>
        <v>8.0000000000000004E-4</v>
      </c>
      <c r="E27" s="241" t="s">
        <v>126</v>
      </c>
      <c r="F27" s="251">
        <f>'数据-取费表'!Q16</f>
        <v>0.05</v>
      </c>
      <c r="G27" s="252" t="s">
        <v>1037</v>
      </c>
    </row>
    <row r="28" spans="1:7" s="219" customFormat="1" ht="13.5" customHeight="1">
      <c r="A28" s="887" t="s">
        <v>794</v>
      </c>
      <c r="B28" s="253" t="s">
        <v>1030</v>
      </c>
      <c r="C28" s="254">
        <f>ROUND((C5+C19+C20)*F27*'数据-取费表'!B21/'数据-取费表'!B20,0)</f>
        <v>1073</v>
      </c>
      <c r="D28" s="240"/>
      <c r="E28" s="241"/>
      <c r="F28" s="251"/>
      <c r="G28" s="252"/>
    </row>
    <row r="29" spans="1:7" s="219" customFormat="1" ht="13.5" customHeight="1">
      <c r="A29" s="887" t="s">
        <v>792</v>
      </c>
      <c r="B29" s="253" t="s">
        <v>1031</v>
      </c>
      <c r="C29" s="243">
        <f>ROUND(C21*F27*'数据-取费表'!B21/'数据-取费表'!B20,4)</f>
        <v>8.0000000000000004E-4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25175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4172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3491</v>
      </c>
      <c r="D34" s="222"/>
      <c r="E34" s="225"/>
      <c r="F34" s="262">
        <f>IF('数据-取费表'!B24=0,1,'数据-取费表'!N16)</f>
        <v>1</v>
      </c>
      <c r="G34" s="224" t="s">
        <v>116</v>
      </c>
    </row>
    <row r="35" spans="1:7" ht="13.5" customHeight="1">
      <c r="A35" s="887" t="s">
        <v>796</v>
      </c>
      <c r="B35" s="220" t="s">
        <v>60</v>
      </c>
      <c r="C35" s="225">
        <f>ROUND(C34*F35,0)</f>
        <v>105</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524</v>
      </c>
      <c r="D37" s="222">
        <f>'数据-汇总表'!E3</f>
        <v>34910.400000000001</v>
      </c>
      <c r="E37" s="254">
        <f>'数据-取费表'!B35</f>
        <v>150</v>
      </c>
      <c r="F37" s="264"/>
      <c r="G37" s="266" t="s">
        <v>119</v>
      </c>
    </row>
    <row r="38" spans="1:7" ht="13.5" customHeight="1">
      <c r="A38" s="887" t="s">
        <v>799</v>
      </c>
      <c r="B38" s="220" t="s">
        <v>63</v>
      </c>
      <c r="C38" s="225">
        <f>ROUND(C34*F38,0)</f>
        <v>52</v>
      </c>
      <c r="D38" s="225"/>
      <c r="E38" s="225"/>
      <c r="F38" s="264">
        <f>'数据-取费表'!B36</f>
        <v>1.4999999999999999E-2</v>
      </c>
      <c r="G38" s="224" t="s">
        <v>117</v>
      </c>
    </row>
    <row r="39" spans="1:7" s="219" customFormat="1" ht="13.5" customHeight="1">
      <c r="A39" s="884" t="s">
        <v>783</v>
      </c>
      <c r="B39" s="215" t="s">
        <v>104</v>
      </c>
      <c r="C39" s="237">
        <f>ROUND(C33*F20,0)</f>
        <v>63</v>
      </c>
      <c r="D39" s="237"/>
      <c r="E39" s="237"/>
      <c r="F39" s="238"/>
      <c r="G39" s="1198" t="s">
        <v>1039</v>
      </c>
    </row>
    <row r="40" spans="1:7" s="219" customFormat="1" ht="13.5" customHeight="1">
      <c r="A40" s="884" t="s">
        <v>784</v>
      </c>
      <c r="B40" s="215" t="s">
        <v>105</v>
      </c>
      <c r="C40" s="267">
        <f>F21</f>
        <v>1.4999999999999999E-2</v>
      </c>
      <c r="D40" s="241" t="s">
        <v>129</v>
      </c>
      <c r="E40" s="237"/>
      <c r="F40" s="238"/>
      <c r="G40" s="239" t="s">
        <v>120</v>
      </c>
    </row>
    <row r="41" spans="1:7" s="219" customFormat="1" ht="13.5" customHeight="1">
      <c r="A41" s="884" t="s">
        <v>785</v>
      </c>
      <c r="B41" s="215" t="s">
        <v>107</v>
      </c>
      <c r="C41" s="237">
        <f ca="1">ROUND(SUM(C42:C43),0)</f>
        <v>92</v>
      </c>
      <c r="D41" s="240">
        <f ca="1">C44</f>
        <v>2.9999999999999997E-4</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91</v>
      </c>
      <c r="D42" s="243"/>
      <c r="E42" s="243"/>
      <c r="F42" s="244"/>
      <c r="G42" s="3259" t="s">
        <v>121</v>
      </c>
    </row>
    <row r="43" spans="1:7" ht="13.5" customHeight="1">
      <c r="A43" s="887" t="s">
        <v>792</v>
      </c>
      <c r="B43" s="220" t="s">
        <v>1032</v>
      </c>
      <c r="C43" s="243">
        <f ca="1">ROUND(IF('数据-取费表'!B22&lt;=1,C39*F22*'数据-取费表'!B21/2,C39*(POWER((1+F22),'数据-取费表'!B21/2)-1)),0)</f>
        <v>1</v>
      </c>
      <c r="D43" s="243"/>
      <c r="E43" s="243"/>
      <c r="F43" s="244"/>
      <c r="G43" s="3260"/>
    </row>
    <row r="44" spans="1:7" ht="13.5" customHeight="1">
      <c r="A44" s="887" t="s">
        <v>793</v>
      </c>
      <c r="B44" s="220" t="s">
        <v>1034</v>
      </c>
      <c r="C44" s="243">
        <f ca="1">ROUND(IF('数据-取费表'!B22&lt;=1,C40*F22*'数据-取费表'!B21/2,C40*(POWER((1+F22),'数据-取费表'!B21/2)-1)),4)</f>
        <v>2.9999999999999997E-4</v>
      </c>
      <c r="D44" s="243"/>
      <c r="E44" s="243"/>
      <c r="F44" s="244"/>
      <c r="G44" s="3261"/>
    </row>
    <row r="45" spans="1:7" s="219" customFormat="1" ht="13.5" customHeight="1">
      <c r="A45" s="884" t="s">
        <v>786</v>
      </c>
      <c r="B45" s="249" t="s">
        <v>112</v>
      </c>
      <c r="C45" s="250">
        <f>C46</f>
        <v>212</v>
      </c>
      <c r="D45" s="240">
        <f>C47</f>
        <v>8.0000000000000004E-4</v>
      </c>
      <c r="E45" s="241" t="s">
        <v>129</v>
      </c>
      <c r="F45" s="251"/>
      <c r="G45" s="252" t="s">
        <v>1040</v>
      </c>
    </row>
    <row r="46" spans="1:7" s="219" customFormat="1" ht="13.5" customHeight="1">
      <c r="A46" s="887" t="s">
        <v>794</v>
      </c>
      <c r="B46" s="253" t="s">
        <v>1033</v>
      </c>
      <c r="C46" s="254">
        <f>ROUND((C33+C39)*F27,0)</f>
        <v>212</v>
      </c>
      <c r="D46" s="268"/>
      <c r="E46" s="241"/>
      <c r="F46" s="251"/>
      <c r="G46" s="252"/>
    </row>
    <row r="47" spans="1:7" s="219" customFormat="1" ht="13.5" customHeight="1">
      <c r="A47" s="887" t="s">
        <v>792</v>
      </c>
      <c r="B47" s="253" t="s">
        <v>1035</v>
      </c>
      <c r="C47" s="243">
        <f>ROUND(C40*F27,4)</f>
        <v>8.0000000000000004E-4</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4873</v>
      </c>
      <c r="D49" s="237"/>
      <c r="E49" s="237"/>
      <c r="F49" s="269"/>
      <c r="G49" s="239" t="s">
        <v>1041</v>
      </c>
    </row>
    <row r="50" spans="1:7" s="263" customFormat="1" ht="24">
      <c r="A50" s="884" t="s">
        <v>789</v>
      </c>
      <c r="B50" s="215" t="s">
        <v>124</v>
      </c>
      <c r="C50" s="237"/>
      <c r="D50" s="237"/>
      <c r="E50" s="237"/>
      <c r="F50" s="269">
        <f>IF('数据-取费表'!B24=0,'数据-取费表'!N16,1)</f>
        <v>0</v>
      </c>
      <c r="G50" s="252" t="s">
        <v>125</v>
      </c>
    </row>
    <row r="51" spans="1:7" ht="16.5" customHeight="1">
      <c r="A51" s="884" t="s">
        <v>790</v>
      </c>
      <c r="B51" s="215" t="s">
        <v>132</v>
      </c>
      <c r="C51" s="237">
        <f ca="1">ROUND(C49*F50,0)</f>
        <v>0</v>
      </c>
      <c r="D51" s="237"/>
      <c r="E51" s="237"/>
      <c r="F51" s="269"/>
      <c r="G51" s="239" t="s">
        <v>64</v>
      </c>
    </row>
    <row r="52" spans="1:7" s="213" customFormat="1" ht="16.5" thickBot="1">
      <c r="A52" s="270" t="s">
        <v>65</v>
      </c>
      <c r="B52" s="271"/>
      <c r="C52" s="272">
        <f ca="1">C31+C51</f>
        <v>25175</v>
      </c>
      <c r="D52" s="271"/>
      <c r="E52" s="271"/>
      <c r="F52" s="271"/>
      <c r="G52" s="273"/>
    </row>
    <row r="55" spans="1:7" ht="15">
      <c r="B55" s="275" t="s">
        <v>66</v>
      </c>
      <c r="C55" s="276"/>
    </row>
    <row r="56" spans="1:7">
      <c r="B56" s="278" t="s">
        <v>67</v>
      </c>
      <c r="C56" s="279">
        <f ca="1">ROUND(C51/C52,3)</f>
        <v>0</v>
      </c>
    </row>
    <row r="57" spans="1:7">
      <c r="B57" s="278" t="s">
        <v>68</v>
      </c>
      <c r="C57" s="280">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5" t="s">
        <v>156</v>
      </c>
      <c r="B1" s="3405"/>
      <c r="C1" s="3405"/>
      <c r="D1" s="3405"/>
      <c r="E1" s="3405"/>
      <c r="F1" s="340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6" t="s">
        <v>169</v>
      </c>
      <c r="B2" s="3406"/>
      <c r="C2" s="3406"/>
      <c r="D2" s="3406"/>
      <c r="E2" s="3406"/>
      <c r="F2" s="340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5" t="s">
        <v>839</v>
      </c>
      <c r="B1" s="340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44332</v>
      </c>
      <c r="D1" s="1469" t="s">
        <v>1268</v>
      </c>
      <c r="E1" s="1464">
        <f>'数据-取费表'!B22</f>
        <v>1</v>
      </c>
      <c r="F1" s="1469" t="s">
        <v>1269</v>
      </c>
      <c r="G1" s="1465">
        <f ca="1">INDIRECT("d"&amp;$K$1)/100</f>
        <v>3.85E-2</v>
      </c>
      <c r="H1" s="1469" t="s">
        <v>1299</v>
      </c>
      <c r="I1" s="1465">
        <f ca="1">F4/100</f>
        <v>1.4999999999999999E-2</v>
      </c>
      <c r="J1" s="1470">
        <f>IF(C1&gt;C13,0,MATCH(C1,C$13:C$105,-1))+IF(SUMIF(C13:C105,C1,D13:D105)=0,13,12)</f>
        <v>13</v>
      </c>
      <c r="K1" s="1470">
        <f ca="1">MATCH(E1,C3:C7,1)+IF(SUMIF(C3:C7,E1,D3:D7)=0,2,1)</f>
        <v>4</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7">
        <v>43941</v>
      </c>
      <c r="D13" s="3048">
        <v>3.85</v>
      </c>
      <c r="E13" s="3048">
        <v>3.85</v>
      </c>
      <c r="F13" s="3048">
        <v>3.85</v>
      </c>
      <c r="G13" s="3048">
        <v>3.85</v>
      </c>
      <c r="H13" s="3048">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3"/>
      <c r="C14" s="3044">
        <v>43881</v>
      </c>
      <c r="D14" s="3043">
        <v>4.05</v>
      </c>
      <c r="E14" s="3043">
        <v>4.05</v>
      </c>
      <c r="F14" s="3043">
        <v>4.05</v>
      </c>
      <c r="G14" s="3043">
        <v>4.05</v>
      </c>
      <c r="H14" s="3043">
        <v>4.75</v>
      </c>
      <c r="I14" s="3043"/>
      <c r="J14" s="3043"/>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3"/>
      <c r="C15" s="3044">
        <v>43789</v>
      </c>
      <c r="D15" s="3043">
        <v>4.1500000000000004</v>
      </c>
      <c r="E15" s="3043">
        <v>4.1500000000000004</v>
      </c>
      <c r="F15" s="3043">
        <v>4.1500000000000004</v>
      </c>
      <c r="G15" s="3043">
        <v>4.1500000000000004</v>
      </c>
      <c r="H15" s="3043">
        <v>4.8</v>
      </c>
      <c r="I15" s="3043"/>
      <c r="J15" s="3043"/>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3"/>
      <c r="C16" s="3044">
        <v>43728</v>
      </c>
      <c r="D16" s="3043">
        <v>4.2</v>
      </c>
      <c r="E16" s="3043">
        <v>4.2</v>
      </c>
      <c r="F16" s="3043">
        <v>4.2</v>
      </c>
      <c r="G16" s="3043">
        <v>4.2</v>
      </c>
      <c r="H16" s="3043">
        <v>4.8499999999999996</v>
      </c>
      <c r="I16" s="3043"/>
      <c r="J16" s="3043"/>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2" t="s">
        <v>3057</v>
      </c>
      <c r="C17" s="3045">
        <v>43697</v>
      </c>
      <c r="D17" s="3046">
        <v>4.25</v>
      </c>
      <c r="E17" s="3046">
        <v>4.25</v>
      </c>
      <c r="F17" s="3046">
        <v>4.25</v>
      </c>
      <c r="G17" s="3046">
        <v>4.25</v>
      </c>
      <c r="H17" s="3046">
        <v>4.8499999999999996</v>
      </c>
      <c r="I17" s="3046"/>
      <c r="J17" s="3046"/>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5"/>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在建建筑物价值</v>
      </c>
      <c r="G2" s="3091"/>
      <c r="H2" s="3091" t="str">
        <f>IF(项目基本情况!B9="房地产市场价值","房地产市场价值","房地产价值")</f>
        <v>房地产市场价值</v>
      </c>
      <c r="I2" s="3091"/>
    </row>
    <row r="3" spans="1:9" ht="15">
      <c r="A3" s="3085"/>
      <c r="B3" s="3085"/>
      <c r="C3" s="3085"/>
      <c r="D3" s="962" t="s">
        <v>1603</v>
      </c>
      <c r="E3" s="962" t="s">
        <v>1609</v>
      </c>
      <c r="F3" s="962" t="s">
        <v>1603</v>
      </c>
      <c r="G3" s="962" t="s">
        <v>1604</v>
      </c>
      <c r="H3" s="962" t="s">
        <v>1603</v>
      </c>
      <c r="I3" s="962" t="s">
        <v>1604</v>
      </c>
    </row>
    <row r="4" spans="1:9" ht="30">
      <c r="A4" s="1689" t="str">
        <f>项目基本情况!S2</f>
        <v>吉林省辽源市沙河镇沙河村二组房地产</v>
      </c>
      <c r="B4" s="962">
        <f>项目基本情况!C17</f>
        <v>34910.400000000001</v>
      </c>
      <c r="C4" s="962">
        <f>项目基本情况!C18</f>
        <v>43638</v>
      </c>
      <c r="D4" s="962">
        <f>结果表!D118</f>
        <v>0</v>
      </c>
      <c r="E4" s="962">
        <f>结果表!E118</f>
        <v>0</v>
      </c>
      <c r="F4" s="962">
        <f>结果表!F118</f>
        <v>0</v>
      </c>
      <c r="G4" s="962">
        <f>结果表!G118</f>
        <v>0</v>
      </c>
      <c r="H4" s="962">
        <f ca="1">结果表!H118</f>
        <v>764</v>
      </c>
      <c r="I4" s="962">
        <f ca="1">结果表!I118</f>
        <v>219</v>
      </c>
    </row>
    <row r="5" spans="1:9" ht="30" customHeight="1">
      <c r="A5" s="3085" t="s">
        <v>1605</v>
      </c>
      <c r="B5" s="3085"/>
      <c r="C5" s="3085"/>
      <c r="D5" s="3086" t="str">
        <f>结果表!D119</f>
        <v>零元整</v>
      </c>
      <c r="E5" s="3086"/>
      <c r="F5" s="3086" t="str">
        <f>结果表!F119</f>
        <v>零元整</v>
      </c>
      <c r="G5" s="3086"/>
      <c r="H5" s="3086" t="str">
        <f ca="1">结果表!H119</f>
        <v>柒佰陆拾肆万元整</v>
      </c>
      <c r="I5" s="3086"/>
    </row>
    <row r="6" spans="1:9" ht="15.75">
      <c r="A6" s="3084" t="str">
        <f>结果表!A120</f>
        <v/>
      </c>
      <c r="B6" s="3084"/>
      <c r="C6" s="3084"/>
      <c r="D6" s="3084">
        <f>结果表!D120</f>
        <v>0</v>
      </c>
      <c r="E6" s="3084"/>
      <c r="F6" s="3084"/>
      <c r="G6" s="3084"/>
      <c r="H6" s="3084"/>
      <c r="I6" s="3084"/>
    </row>
    <row r="7" spans="1:9" ht="15">
      <c r="A7" s="3085" t="s">
        <v>1605</v>
      </c>
      <c r="B7" s="3085"/>
      <c r="C7" s="3085"/>
      <c r="D7" s="3087" t="str">
        <f>结果表!D121</f>
        <v>零元整</v>
      </c>
      <c r="E7" s="3088"/>
      <c r="F7" s="3088"/>
      <c r="G7" s="3088"/>
      <c r="H7" s="3088"/>
      <c r="I7" s="3089"/>
    </row>
    <row r="8" spans="1:9" ht="15.75">
      <c r="A8" s="3084" t="str">
        <f>结果表!A122</f>
        <v/>
      </c>
      <c r="B8" s="3084"/>
      <c r="C8" s="3084"/>
      <c r="D8" s="3084">
        <f ca="1">结果表!D122</f>
        <v>764</v>
      </c>
      <c r="E8" s="3084"/>
      <c r="F8" s="3084"/>
      <c r="G8" s="3084"/>
      <c r="H8" s="3084"/>
      <c r="I8" s="3084"/>
    </row>
    <row r="9" spans="1:9" ht="15">
      <c r="A9" s="3085" t="s">
        <v>1605</v>
      </c>
      <c r="B9" s="3085"/>
      <c r="C9" s="3085"/>
      <c r="D9" s="3086" t="str">
        <f ca="1">结果表!D123</f>
        <v>柒佰陆拾肆万元整</v>
      </c>
      <c r="E9" s="3086"/>
      <c r="F9" s="3086"/>
      <c r="G9" s="3086"/>
      <c r="H9" s="3086"/>
      <c r="I9" s="3086"/>
    </row>
    <row r="10" spans="1:9" ht="15.75">
      <c r="A10" s="3084" t="str">
        <f>结果表!A124</f>
        <v/>
      </c>
      <c r="B10" s="3084"/>
      <c r="C10" s="3084"/>
      <c r="D10" s="3084" t="str">
        <f>结果表!D124</f>
        <v>——</v>
      </c>
      <c r="E10" s="3084"/>
      <c r="F10" s="3084"/>
      <c r="G10" s="3084"/>
      <c r="H10" s="3084"/>
      <c r="I10" s="3084"/>
    </row>
    <row r="11" spans="1:9" ht="15">
      <c r="A11" s="3085" t="s">
        <v>1605</v>
      </c>
      <c r="B11" s="3085"/>
      <c r="C11" s="3085"/>
      <c r="D11" s="3086" t="e">
        <f>结果表!D125</f>
        <v>#VALUE!</v>
      </c>
      <c r="E11" s="3086"/>
      <c r="F11" s="3086"/>
      <c r="G11" s="3086"/>
      <c r="H11" s="3086"/>
      <c r="I11" s="3086"/>
    </row>
    <row r="12" spans="1:9" ht="15.75">
      <c r="A12" s="3084" t="str">
        <f>结果表!A126</f>
        <v/>
      </c>
      <c r="B12" s="3084"/>
      <c r="C12" s="3084"/>
      <c r="D12" s="3084" t="str">
        <f>结果表!D126</f>
        <v>——</v>
      </c>
      <c r="E12" s="3084"/>
      <c r="F12" s="3084"/>
      <c r="G12" s="3084"/>
      <c r="H12" s="3084"/>
      <c r="I12" s="3084"/>
    </row>
    <row r="13" spans="1:9" ht="15.75"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8" t="s">
        <v>1627</v>
      </c>
      <c r="B1" s="3098"/>
      <c r="C1" s="3098"/>
      <c r="D1" s="3098"/>
    </row>
    <row r="2" spans="1:4" ht="18">
      <c r="A2" s="3099" t="s">
        <v>1611</v>
      </c>
      <c r="B2" s="3099"/>
      <c r="C2" s="3099"/>
      <c r="D2" s="309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9" t="s">
        <v>1617</v>
      </c>
      <c r="B6" s="3099"/>
      <c r="C6" s="3099"/>
      <c r="D6" s="3099"/>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0" t="s">
        <v>1620</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7"/>
      <c r="C12" s="3097"/>
      <c r="D12" s="3097"/>
    </row>
    <row r="13" spans="1:4" ht="30" customHeight="1">
      <c r="A13" s="3092" t="str">
        <f>IF(项目基本情况!B8="抵押","3.抵押双方在办理抵押登记手续时，应使用本公司出具的正式《房地产评估报告》，特提醒报告使用者注意。","——")</f>
        <v>——</v>
      </c>
      <c r="B13" s="3097"/>
      <c r="C13" s="3097"/>
      <c r="D13" s="3097"/>
    </row>
    <row r="14" spans="1:4" ht="15.75" customHeight="1">
      <c r="A14" s="3092" t="str">
        <f>IF(项目基本情况!B8="抵押","4.本次评估估价师所知悉的法定优先受偿款情况说明如下：","——")</f>
        <v>——</v>
      </c>
      <c r="B14" s="3097"/>
      <c r="C14" s="3097"/>
      <c r="D14" s="3097"/>
    </row>
    <row r="15" spans="1:4" ht="42" customHeight="1">
      <c r="A15" s="3092" t="str">
        <f>IF(项目基本情况!B8="抵押","（1）"&amp;CONCATENATE(项目基本情况!L20,项目基本情况!L21,项目基本情况!L22),"——")</f>
        <v>——</v>
      </c>
      <c r="B15" s="3092"/>
      <c r="C15" s="3092"/>
      <c r="D15" s="3092"/>
    </row>
    <row r="16" spans="1:4" ht="30" customHeight="1">
      <c r="A16" s="3094" t="s">
        <v>1621</v>
      </c>
      <c r="B16" s="3094"/>
      <c r="C16" s="3094"/>
      <c r="D16" s="3094"/>
    </row>
    <row r="17" spans="1:4" ht="144" customHeight="1">
      <c r="A17" s="3094" t="s">
        <v>1622</v>
      </c>
      <c r="B17" s="3094"/>
      <c r="C17" s="3094"/>
      <c r="D17" s="3094"/>
    </row>
    <row r="18" spans="1:4" ht="15.75" customHeight="1">
      <c r="A18" s="3092" t="str">
        <f>IF(项目基本情况!B8="抵押",结果表!K120,"——")</f>
        <v>——</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2"/>
      <c r="C20" s="3092"/>
      <c r="D20" s="3092"/>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1623</v>
      </c>
      <c r="B22" s="3096"/>
      <c r="C22" s="3096"/>
      <c r="D22" s="309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3">
        <v>42551</v>
      </c>
      <c r="D31" s="30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6" t="s">
        <v>1634</v>
      </c>
      <c r="B15" s="3101" t="s">
        <v>136</v>
      </c>
      <c r="C15" s="3102"/>
    </row>
    <row r="16" spans="1:7" ht="13.5">
      <c r="A16" s="3107"/>
      <c r="B16" s="3101" t="s">
        <v>69</v>
      </c>
      <c r="C16" s="3102"/>
    </row>
    <row r="17" spans="1:3" ht="13.5">
      <c r="A17" s="3107"/>
      <c r="B17" s="3104" t="s">
        <v>1635</v>
      </c>
      <c r="C17" s="1716" t="s">
        <v>1634</v>
      </c>
    </row>
    <row r="18" spans="1:3" ht="13.5">
      <c r="A18" s="3107"/>
      <c r="B18" s="3104"/>
      <c r="C18" s="1716" t="s">
        <v>1636</v>
      </c>
    </row>
    <row r="19" spans="1:3" ht="13.5">
      <c r="A19" s="3107"/>
      <c r="B19" s="3104"/>
      <c r="C19" s="1716" t="s">
        <v>1637</v>
      </c>
    </row>
    <row r="20" spans="1:3" ht="13.5">
      <c r="A20" s="3108"/>
      <c r="B20" s="3103" t="s">
        <v>1638</v>
      </c>
      <c r="C20" s="3102"/>
    </row>
    <row r="21" spans="1:3" ht="13.5">
      <c r="A21" s="1717" t="s">
        <v>1639</v>
      </c>
      <c r="B21" s="1718"/>
      <c r="C21" s="1719"/>
    </row>
    <row r="22" spans="1:3" ht="13.5">
      <c r="A22" s="3105" t="s">
        <v>1640</v>
      </c>
      <c r="B22" s="3103" t="s">
        <v>1641</v>
      </c>
      <c r="C22" s="3102"/>
    </row>
    <row r="23" spans="1:3" ht="13.5">
      <c r="A23" s="3105"/>
      <c r="B23" s="3103" t="s">
        <v>1642</v>
      </c>
      <c r="C23" s="3102"/>
    </row>
    <row r="24" spans="1:3" ht="13.5">
      <c r="A24" s="3105"/>
      <c r="B24" s="3103" t="s">
        <v>1643</v>
      </c>
      <c r="C24" s="3102"/>
    </row>
    <row r="25" spans="1:3" ht="13.5">
      <c r="A25" s="3105"/>
      <c r="B25" s="3104" t="s">
        <v>1644</v>
      </c>
      <c r="C25" s="1716" t="s">
        <v>1645</v>
      </c>
    </row>
    <row r="26" spans="1:3" ht="13.5">
      <c r="A26" s="3105"/>
      <c r="B26" s="3104"/>
      <c r="C26" s="1716" t="s">
        <v>1646</v>
      </c>
    </row>
    <row r="27" spans="1:3" ht="13.5">
      <c r="A27" s="3105"/>
      <c r="B27" s="3104"/>
      <c r="C27" s="1716" t="s">
        <v>1647</v>
      </c>
    </row>
    <row r="28" spans="1:3" ht="13.5">
      <c r="A28" s="3105"/>
      <c r="B28" s="3104"/>
      <c r="C28" s="1716" t="s">
        <v>1648</v>
      </c>
    </row>
    <row r="29" spans="1:3" ht="13.5">
      <c r="A29" s="3105"/>
      <c r="B29" s="3104"/>
      <c r="C29" s="1716" t="s">
        <v>1649</v>
      </c>
    </row>
    <row r="30" spans="1:3" ht="13.5">
      <c r="A30" s="3105"/>
      <c r="B30" s="3104"/>
      <c r="C30" s="1716" t="s">
        <v>1650</v>
      </c>
    </row>
    <row r="31" spans="1:3" ht="13.5">
      <c r="A31" s="3105"/>
      <c r="B31" s="3104"/>
      <c r="C31" s="1716" t="s">
        <v>1651</v>
      </c>
    </row>
    <row r="32" spans="1:3" ht="13.5">
      <c r="A32" s="3105"/>
      <c r="B32" s="3104"/>
      <c r="C32" s="1716" t="s">
        <v>1652</v>
      </c>
    </row>
    <row r="33" spans="1:3" ht="13.5">
      <c r="A33" s="3105"/>
      <c r="B33" s="310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2878</v>
      </c>
      <c r="B2" s="2561">
        <f ca="1">TODAY()</f>
        <v>44342</v>
      </c>
      <c r="C2" s="2562" t="s">
        <v>2879</v>
      </c>
      <c r="D2" s="2562"/>
      <c r="E2" s="2562"/>
      <c r="F2" s="2558"/>
      <c r="G2" s="2558"/>
      <c r="H2" s="2558"/>
    </row>
    <row r="3" spans="1:8" ht="24" customHeight="1">
      <c r="A3" s="2563" t="s">
        <v>2880</v>
      </c>
      <c r="B3" s="2564" t="s">
        <v>2881</v>
      </c>
      <c r="C3" s="2564" t="s">
        <v>2882</v>
      </c>
      <c r="D3" s="2565" t="s">
        <v>2883</v>
      </c>
      <c r="E3" s="2566" t="s">
        <v>2884</v>
      </c>
      <c r="F3" s="1471" t="s">
        <v>2885</v>
      </c>
      <c r="G3" s="2564" t="s">
        <v>2882</v>
      </c>
      <c r="H3" s="2565" t="s">
        <v>2886</v>
      </c>
    </row>
    <row r="4" spans="1:8" ht="24" customHeight="1">
      <c r="A4" s="1471" t="s">
        <v>2887</v>
      </c>
      <c r="B4" s="1471">
        <f ca="1">IF(C4&lt;B2,"已过期",1119970066)</f>
        <v>1119970066</v>
      </c>
      <c r="C4" s="2567">
        <v>44876</v>
      </c>
      <c r="D4" s="2568" t="str">
        <f ca="1">A4&amp;"（注册号："&amp;B4&amp;"）"</f>
        <v>梁津（注册号：1119970066）</v>
      </c>
      <c r="E4" s="2569" t="s">
        <v>2887</v>
      </c>
      <c r="F4" s="1471">
        <f ca="1">IF(G4&lt;B2,"已过期",96010014)</f>
        <v>96010014</v>
      </c>
      <c r="G4" s="2570">
        <v>47118</v>
      </c>
      <c r="H4" s="2571" t="str">
        <f ca="1">E4&amp;"（注册号："&amp;F4&amp;"）"</f>
        <v>梁津（注册号：96010014）</v>
      </c>
    </row>
    <row r="5" spans="1:8" ht="24" customHeight="1">
      <c r="A5" s="1471" t="s">
        <v>2888</v>
      </c>
      <c r="B5" s="1471">
        <f ca="1">IF(C5&lt;B2,"已过期",1119970111)</f>
        <v>1119970111</v>
      </c>
      <c r="C5" s="2567">
        <v>44876</v>
      </c>
      <c r="D5" s="2568" t="str">
        <f t="shared" ref="D5:D15" ca="1" si="0">A5&amp;"（注册号："&amp;B5&amp;"）"</f>
        <v>叶凌（注册号：1119970111）</v>
      </c>
      <c r="E5" s="2569" t="s">
        <v>2888</v>
      </c>
      <c r="F5" s="1471">
        <f ca="1">IF(G5&lt;B2,"已过期",94010078)</f>
        <v>94010078</v>
      </c>
      <c r="G5" s="2570">
        <v>46387</v>
      </c>
      <c r="H5" s="2571" t="str">
        <f t="shared" ref="H5:H16" ca="1" si="1">E5&amp;"（注册号："&amp;F5&amp;"）"</f>
        <v>叶凌（注册号：94010078）</v>
      </c>
    </row>
    <row r="6" spans="1:8" ht="24" customHeight="1">
      <c r="A6" s="1471" t="s">
        <v>2889</v>
      </c>
      <c r="B6" s="1471">
        <f ca="1">IF(C6&lt;B2,"已过期",1120050019)</f>
        <v>1120050019</v>
      </c>
      <c r="C6" s="2567">
        <v>44395</v>
      </c>
      <c r="D6" s="2568" t="str">
        <f t="shared" ca="1" si="0"/>
        <v>王鹏（注册号：1120050019）</v>
      </c>
      <c r="E6" s="2569" t="s">
        <v>2889</v>
      </c>
      <c r="F6" s="1471">
        <f ca="1">IF(G6&lt;B2,"已过期",2002110030)</f>
        <v>2002110030</v>
      </c>
      <c r="G6" s="2570">
        <v>46387</v>
      </c>
      <c r="H6" s="2571" t="str">
        <f t="shared" ca="1" si="1"/>
        <v>王鹏（注册号：2002110030）</v>
      </c>
    </row>
    <row r="7" spans="1:8" ht="24" customHeight="1">
      <c r="A7" s="1471" t="s">
        <v>2890</v>
      </c>
      <c r="B7" s="1471">
        <f ca="1">IF(C7&lt;B2,"已过期",1120000080)</f>
        <v>1120000080</v>
      </c>
      <c r="C7" s="2567">
        <v>44876</v>
      </c>
      <c r="D7" s="2568" t="str">
        <f t="shared" ca="1" si="0"/>
        <v>欧红伟（注册号：1120000080）</v>
      </c>
      <c r="E7" s="2569" t="s">
        <v>2890</v>
      </c>
      <c r="F7" s="1471">
        <f ca="1">IF(G7&lt;B2,"已过期",2000110082)</f>
        <v>2000110082</v>
      </c>
      <c r="G7" s="2570">
        <v>46387</v>
      </c>
      <c r="H7" s="2571" t="str">
        <f t="shared" ca="1" si="1"/>
        <v>欧红伟（注册号：2000110082）</v>
      </c>
    </row>
    <row r="8" spans="1:8" ht="24" customHeight="1">
      <c r="A8" s="1471" t="s">
        <v>2891</v>
      </c>
      <c r="B8" s="1471">
        <f ca="1">IF(C8&lt;B2,"已过期",1419970001)</f>
        <v>1419970001</v>
      </c>
      <c r="C8" s="2567">
        <v>44899</v>
      </c>
      <c r="D8" s="2568" t="str">
        <f t="shared" ca="1" si="0"/>
        <v>吴薇（注册号：1419970001）</v>
      </c>
      <c r="E8" s="2569" t="s">
        <v>2891</v>
      </c>
      <c r="F8" s="1471">
        <f ca="1">IF(G8&lt;B2,"已过期",2002110125)</f>
        <v>2002110125</v>
      </c>
      <c r="G8" s="2570">
        <v>47118</v>
      </c>
      <c r="H8" s="2571" t="str">
        <f t="shared" ca="1" si="1"/>
        <v>吴薇（注册号：2002110125）</v>
      </c>
    </row>
    <row r="9" spans="1:8" ht="24" customHeight="1">
      <c r="A9" s="1471" t="s">
        <v>2892</v>
      </c>
      <c r="B9" s="1471">
        <f ca="1">IF(C9&lt;B2,"已过期",1120060040)</f>
        <v>1120060040</v>
      </c>
      <c r="C9" s="2572">
        <v>44554</v>
      </c>
      <c r="D9" s="2568" t="str">
        <f t="shared" ca="1" si="0"/>
        <v>陈颖（注册号：1120060040）</v>
      </c>
      <c r="E9" s="2569" t="s">
        <v>2892</v>
      </c>
      <c r="F9" s="1471">
        <f ca="1">IF(G9&lt;B2,"已过期",2004110096)</f>
        <v>2004110096</v>
      </c>
      <c r="G9" s="2570">
        <v>47118</v>
      </c>
      <c r="H9" s="2571" t="str">
        <f t="shared" ca="1" si="1"/>
        <v>陈颖（注册号：2004110096）</v>
      </c>
    </row>
    <row r="10" spans="1:8" ht="24" customHeight="1">
      <c r="A10" s="1471" t="s">
        <v>2893</v>
      </c>
      <c r="B10" s="1471">
        <f ca="1">IF(C10&lt;B2,"已过期",1120100036)</f>
        <v>1120100036</v>
      </c>
      <c r="C10" s="2572">
        <v>44675</v>
      </c>
      <c r="D10" s="2568" t="str">
        <f t="shared" ca="1" si="0"/>
        <v>崔锴（注册号：1120100036）</v>
      </c>
      <c r="E10" s="2569" t="s">
        <v>2893</v>
      </c>
      <c r="F10" s="1471">
        <f ca="1">IF(G10&lt;B2,"已过期",2010110070)</f>
        <v>2010110070</v>
      </c>
      <c r="G10" s="2570">
        <v>47907</v>
      </c>
      <c r="H10" s="2571" t="str">
        <f t="shared" ca="1" si="1"/>
        <v>崔锴（注册号：2010110070）</v>
      </c>
    </row>
    <row r="11" spans="1:8" ht="24" customHeight="1">
      <c r="A11" s="1471" t="s">
        <v>2894</v>
      </c>
      <c r="B11" s="1471">
        <f ca="1">IF(C11&lt;B2,"已过期",1120070131)</f>
        <v>1120070131</v>
      </c>
      <c r="C11" s="2567">
        <v>44849</v>
      </c>
      <c r="D11" s="2568" t="str">
        <f t="shared" ca="1" si="0"/>
        <v>郑燚（注册号：1120070131）</v>
      </c>
      <c r="E11" s="2569" t="s">
        <v>2894</v>
      </c>
      <c r="F11" s="1471">
        <f ca="1">IF(G11&lt;B2,"已过期",2014110011)</f>
        <v>2014110011</v>
      </c>
      <c r="G11" s="2570">
        <v>49302</v>
      </c>
      <c r="H11" s="2571" t="str">
        <f t="shared" ca="1" si="1"/>
        <v>郑燚（注册号：2014110011）</v>
      </c>
    </row>
    <row r="12" spans="1:8" ht="24" customHeight="1">
      <c r="A12" s="1471" t="s">
        <v>2895</v>
      </c>
      <c r="B12" s="1471">
        <f ca="1">IF(C12&lt;B2,"已过期",1120040230)</f>
        <v>1120040230</v>
      </c>
      <c r="C12" s="2572">
        <v>44864</v>
      </c>
      <c r="D12" s="2568" t="str">
        <f t="shared" ca="1" si="0"/>
        <v>苏海（注册号：1120040230）</v>
      </c>
      <c r="E12" s="2569" t="s">
        <v>2895</v>
      </c>
      <c r="F12" s="1471">
        <f ca="1">IF(G12&lt;B2,"已过期",98030020)</f>
        <v>98030020</v>
      </c>
      <c r="G12" s="2570">
        <v>47118</v>
      </c>
      <c r="H12" s="2571" t="str">
        <f t="shared" ca="1" si="1"/>
        <v>苏海（注册号：98030020）</v>
      </c>
    </row>
    <row r="13" spans="1:8" ht="24" customHeight="1">
      <c r="A13" s="1471" t="s">
        <v>2896</v>
      </c>
      <c r="B13" s="1471" t="str">
        <f ca="1">IF(C13&lt;B2,"已过期",1120020033)</f>
        <v>已过期</v>
      </c>
      <c r="C13" s="2567">
        <v>44339</v>
      </c>
      <c r="D13" s="2568" t="str">
        <f t="shared" ca="1" si="0"/>
        <v>刘敬东（注册号：已过期）</v>
      </c>
      <c r="E13" s="2569" t="s">
        <v>2896</v>
      </c>
      <c r="F13" s="1471">
        <f ca="1">IF(G13&lt;B2,"已过期",2000110137)</f>
        <v>2000110137</v>
      </c>
      <c r="G13" s="2570">
        <v>46387</v>
      </c>
      <c r="H13" s="2571" t="str">
        <f t="shared" ca="1" si="1"/>
        <v>刘敬东（注册号：2000110137）</v>
      </c>
    </row>
    <row r="14" spans="1:8" ht="24" customHeight="1">
      <c r="A14" s="1471" t="s">
        <v>2897</v>
      </c>
      <c r="B14" s="1471">
        <f ca="1">IF(C14&lt;B2,"已过期",1119980106)</f>
        <v>1119980106</v>
      </c>
      <c r="C14" s="2572">
        <v>44969</v>
      </c>
      <c r="D14" s="2568" t="str">
        <f t="shared" ca="1" si="0"/>
        <v>刘俊财（注册号：1119980106）</v>
      </c>
      <c r="E14" s="2569" t="s">
        <v>2897</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2898</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9" t="s">
        <v>2899</v>
      </c>
      <c r="B17" s="3109"/>
      <c r="C17" s="3109"/>
      <c r="D17" s="3109"/>
      <c r="E17" s="3109"/>
      <c r="F17" s="3109"/>
      <c r="G17" s="3109"/>
      <c r="H17" s="3109"/>
    </row>
    <row r="18" spans="1:8" ht="24" customHeight="1">
      <c r="A18" s="3110" t="s">
        <v>2900</v>
      </c>
      <c r="B18" s="3110"/>
      <c r="C18" s="3110"/>
      <c r="D18" s="2565"/>
      <c r="E18" s="3111" t="s">
        <v>2901</v>
      </c>
      <c r="F18" s="3110"/>
      <c r="G18" s="3110"/>
    </row>
    <row r="19" spans="1:8" s="2576" customFormat="1" ht="24" customHeight="1">
      <c r="A19" s="2575" t="s">
        <v>2902</v>
      </c>
      <c r="B19" s="2564" t="s">
        <v>2903</v>
      </c>
      <c r="C19" s="2564" t="s">
        <v>2882</v>
      </c>
      <c r="D19" s="2565"/>
      <c r="E19" s="2569" t="s">
        <v>2902</v>
      </c>
      <c r="F19" s="2564" t="s">
        <v>2903</v>
      </c>
      <c r="G19" s="2564" t="s">
        <v>2882</v>
      </c>
    </row>
    <row r="20" spans="1:8" s="2576" customFormat="1" ht="24" customHeight="1">
      <c r="A20" s="2577" t="s">
        <v>2904</v>
      </c>
      <c r="B20" s="2577" t="s">
        <v>2905</v>
      </c>
      <c r="C20" s="2570">
        <v>44820</v>
      </c>
      <c r="D20" s="2578"/>
      <c r="E20" s="2579" t="s">
        <v>2906</v>
      </c>
      <c r="F20" s="2577" t="s">
        <v>2907</v>
      </c>
      <c r="G20" s="2580">
        <v>44377</v>
      </c>
    </row>
    <row r="21" spans="1:8" s="2576" customFormat="1" ht="24" customHeight="1">
      <c r="A21" s="2577"/>
      <c r="B21" s="2577"/>
      <c r="C21" s="2581"/>
      <c r="D21" s="2582"/>
      <c r="E21" s="2579" t="s">
        <v>2908</v>
      </c>
      <c r="F21" s="2583" t="s">
        <v>2909</v>
      </c>
      <c r="G21" s="2584">
        <v>44012</v>
      </c>
    </row>
    <row r="22" spans="1:8" ht="24" customHeight="1">
      <c r="C22" s="2585"/>
      <c r="D22" s="2585"/>
      <c r="E22" s="2586"/>
      <c r="F22" s="2587"/>
      <c r="G22" s="2588"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明细表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2021-05-26T09:29:21Z</dcterms:modified>
</cp:coreProperties>
</file>