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r:id="rId24"/>
    <sheet name="结果表-车位" sheetId="81" r:id="rId25"/>
    <sheet name="比较法-车位" sheetId="35" r:id="rId26"/>
    <sheet name="收益法 (元)" sheetId="67"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8" r:id="rId46"/>
    <sheet name="面积" sheetId="77" r:id="rId47"/>
    <sheet name="案例" sheetId="79" r:id="rId48"/>
    <sheet name="Sheet1" sheetId="80" r:id="rId49"/>
    <sheet name="Sheet2" sheetId="82" r:id="rId50"/>
  </sheets>
  <definedNames>
    <definedName name="_xlnm._FilterDatabase" localSheetId="30" hidden="1">'比较法-办公'!$A$1:$L$50</definedName>
    <definedName name="_xlnm._FilterDatabase" localSheetId="32" hidden="1">'比较法-仓储'!$A$1:$L$37</definedName>
    <definedName name="_xlnm._FilterDatabase" localSheetId="25" hidden="1">'比较法-车位'!$A$1:$L$39</definedName>
    <definedName name="_xlnm._FilterDatabase" localSheetId="31" hidden="1">'比较法-工业'!$A$1:$L$43</definedName>
    <definedName name="_xlnm._FilterDatabase" localSheetId="21"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4">'结果表-车位'!$A$1:$I$142</definedName>
    <definedName name="_xlnm.Print_Area" localSheetId="23">收益法!$A$1:$AK$69</definedName>
    <definedName name="_xlnm.Print_Area" localSheetId="26">'收益法 (元)'!$A$1:$AK$69</definedName>
    <definedName name="_xlnm.Print_Area" localSheetId="13">'数据-汇总表'!$A$1:$P$32</definedName>
    <definedName name="_xlnm.Print_Area" localSheetId="11">'数据-基础表'!$A$1:$L$15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5" i="82" l="1"/>
  <c r="D4" i="82"/>
  <c r="D2" i="82"/>
  <c r="I36" i="33" l="1"/>
  <c r="G36" i="33"/>
  <c r="E36" i="33"/>
  <c r="F24" i="78" l="1"/>
  <c r="E24" i="78" s="1"/>
  <c r="D24" i="78"/>
  <c r="E23" i="78"/>
  <c r="D23" i="78"/>
  <c r="E22" i="78"/>
  <c r="D22" i="78"/>
  <c r="E21" i="78"/>
  <c r="D21" i="78"/>
  <c r="E20" i="78"/>
  <c r="D20" i="78"/>
  <c r="D19" i="78"/>
  <c r="D14" i="81"/>
  <c r="C14" i="81"/>
  <c r="D25" i="78" l="1"/>
  <c r="E25" i="78" s="1"/>
  <c r="D5" i="78" l="1"/>
  <c r="D7" i="78"/>
  <c r="E6" i="78" s="1"/>
  <c r="E7" i="78" s="1"/>
  <c r="D2" i="78"/>
  <c r="D4" i="78"/>
  <c r="J7" i="78"/>
  <c r="L9" i="78"/>
  <c r="H18" i="31"/>
  <c r="N7" i="1"/>
  <c r="D6" i="78" l="1"/>
  <c r="J9" i="78"/>
  <c r="Z6" i="1" s="1"/>
  <c r="AF7" i="1"/>
  <c r="AD7" i="1"/>
  <c r="L14" i="78"/>
  <c r="J15" i="78" s="1"/>
  <c r="Z7" i="1" s="1"/>
  <c r="AD12" i="78"/>
  <c r="AB12" i="78"/>
  <c r="Z12" i="78"/>
  <c r="X12" i="78"/>
  <c r="V12" i="78"/>
  <c r="T12" i="78"/>
  <c r="R12" i="78"/>
  <c r="P12" i="78"/>
  <c r="N12" i="78"/>
  <c r="L12" i="78"/>
  <c r="AD6" i="1"/>
  <c r="AF6" i="1"/>
  <c r="L13" i="78" l="1"/>
  <c r="L15" i="78" s="1"/>
  <c r="AD2" i="78"/>
  <c r="AD3" i="78"/>
  <c r="AD4" i="78"/>
  <c r="AD5" i="78"/>
  <c r="AB2" i="78"/>
  <c r="AB3" i="78"/>
  <c r="AB4" i="78"/>
  <c r="AB5" i="78"/>
  <c r="Z2" i="78"/>
  <c r="Z3" i="78"/>
  <c r="Z4" i="78"/>
  <c r="Z5" i="78"/>
  <c r="X2" i="78"/>
  <c r="X3" i="78"/>
  <c r="X4" i="78"/>
  <c r="X5" i="78"/>
  <c r="V2" i="78"/>
  <c r="V3" i="78"/>
  <c r="V7" i="78" s="1"/>
  <c r="V4" i="78"/>
  <c r="V5" i="78"/>
  <c r="T2" i="78"/>
  <c r="T3" i="78"/>
  <c r="T4" i="78"/>
  <c r="T5" i="78"/>
  <c r="R2" i="78"/>
  <c r="R3" i="78"/>
  <c r="R4" i="78"/>
  <c r="R5" i="78"/>
  <c r="P3" i="78"/>
  <c r="P4" i="78"/>
  <c r="P5" i="78"/>
  <c r="P2" i="78"/>
  <c r="N5" i="78"/>
  <c r="N4" i="78"/>
  <c r="N2" i="78"/>
  <c r="L4" i="78"/>
  <c r="N3" i="78"/>
  <c r="L5" i="78"/>
  <c r="L3" i="78"/>
  <c r="L7" i="78" s="1"/>
  <c r="L2" i="78"/>
  <c r="R7" i="78" l="1"/>
  <c r="T7" i="78"/>
  <c r="Z7" i="78"/>
  <c r="L16" i="78"/>
  <c r="L17" i="78"/>
  <c r="U7" i="1" s="1"/>
  <c r="P7" i="78"/>
  <c r="X7" i="78"/>
  <c r="AB7" i="78"/>
  <c r="AD7" i="78"/>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D59" i="81"/>
  <c r="F56" i="81"/>
  <c r="O55" i="81"/>
  <c r="N55" i="81"/>
  <c r="M55" i="81"/>
  <c r="K55" i="81"/>
  <c r="J55" i="81"/>
  <c r="I55" i="81"/>
  <c r="F55" i="81"/>
  <c r="O53" i="81" s="1"/>
  <c r="O54" i="81"/>
  <c r="N54" i="81"/>
  <c r="F54" i="81"/>
  <c r="N53" i="81"/>
  <c r="F53" i="81"/>
  <c r="F52" i="81"/>
  <c r="K49" i="81"/>
  <c r="F48" i="81"/>
  <c r="O52" i="81" s="1"/>
  <c r="E48" i="81"/>
  <c r="N52" i="81" s="1"/>
  <c r="D48" i="81"/>
  <c r="M52" i="81" s="1"/>
  <c r="M47" i="81"/>
  <c r="F33" i="81"/>
  <c r="D27" i="81"/>
  <c r="C25" i="81"/>
  <c r="C24" i="81"/>
  <c r="D17" i="81"/>
  <c r="C17" i="81"/>
  <c r="L4" i="81"/>
  <c r="K4" i="81"/>
  <c r="H1" i="81"/>
  <c r="I29" i="35"/>
  <c r="G29" i="35"/>
  <c r="E29" i="35"/>
  <c r="C29" i="35"/>
  <c r="F4" i="80"/>
  <c r="F5" i="80"/>
  <c r="F6" i="80"/>
  <c r="F7" i="80"/>
  <c r="F8" i="80"/>
  <c r="F9" i="80"/>
  <c r="F10" i="80"/>
  <c r="F11" i="80"/>
  <c r="F12" i="80"/>
  <c r="F13" i="80"/>
  <c r="F14" i="80"/>
  <c r="F15" i="80"/>
  <c r="F16" i="80"/>
  <c r="F17" i="80"/>
  <c r="F18" i="80"/>
  <c r="F3" i="80"/>
  <c r="F2" i="80"/>
  <c r="F19" i="80"/>
  <c r="D19" i="80"/>
  <c r="E19" i="80"/>
  <c r="C18" i="81" l="1"/>
  <c r="D18" i="81" s="1"/>
  <c r="K120" i="81"/>
  <c r="D121" i="81"/>
  <c r="C74" i="81"/>
  <c r="C92" i="81"/>
  <c r="C94" i="81"/>
  <c r="H109" i="81"/>
  <c r="D124" i="81" l="1"/>
  <c r="D125" i="81" s="1"/>
  <c r="H110" i="8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D77" i="33"/>
  <c r="E77" i="33" s="1"/>
  <c r="D79" i="33"/>
  <c r="E79" i="33" s="1"/>
  <c r="B24" i="31"/>
  <c r="A24" i="31"/>
  <c r="C33" i="33"/>
  <c r="F18" i="77"/>
  <c r="N7" i="78"/>
  <c r="L8" i="78" s="1"/>
  <c r="L10" i="78" s="1"/>
  <c r="L11" i="78" s="1"/>
  <c r="U6" i="1" s="1"/>
  <c r="Y7" i="1"/>
  <c r="Y6" i="1"/>
  <c r="C36" i="33" s="1"/>
  <c r="G20" i="6"/>
  <c r="K15" i="3"/>
  <c r="I14" i="3"/>
  <c r="I5" i="3" s="1"/>
  <c r="I4" i="6" s="1"/>
  <c r="G3" i="43" s="1"/>
  <c r="I13" i="3"/>
  <c r="F19" i="6" s="1"/>
  <c r="E19" i="6" s="1"/>
  <c r="E20"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M47" i="67"/>
  <c r="J50" i="67"/>
  <c r="J51" i="67"/>
  <c r="M47" i="15"/>
  <c r="J50" i="15"/>
  <c r="J51" i="15"/>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A15" i="3" s="1"/>
  <c r="BD15" i="3"/>
  <c r="BE15" i="3"/>
  <c r="BF15" i="3"/>
  <c r="BG15" i="3"/>
  <c r="BH15" i="3"/>
  <c r="BI15" i="3"/>
  <c r="BJ15" i="3"/>
  <c r="BK15" i="3"/>
  <c r="BM15" i="3"/>
  <c r="BN15" i="3"/>
  <c r="BO15" i="3"/>
  <c r="BP15" i="3"/>
  <c r="BQ15" i="3"/>
  <c r="BR15" i="3"/>
  <c r="BS15" i="3"/>
  <c r="BT15" i="3"/>
  <c r="BL15" i="3"/>
  <c r="H13" i="3"/>
  <c r="G13" i="3" s="1"/>
  <c r="H14" i="3"/>
  <c r="G14" i="3" s="1"/>
  <c r="H15" i="3"/>
  <c r="G15" i="3" s="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Q9" i="71"/>
  <c r="P9" i="71"/>
  <c r="O9" i="71"/>
  <c r="N9" i="71"/>
  <c r="D5" i="43"/>
  <c r="C36" i="43" s="1"/>
  <c r="A15" i="51"/>
  <c r="C76" i="9"/>
  <c r="I107" i="40"/>
  <c r="K6" i="4"/>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H18" i="35"/>
  <c r="AB18" i="35" s="1"/>
  <c r="J18" i="35"/>
  <c r="AC18" i="35" s="1"/>
  <c r="F77" i="37"/>
  <c r="H21" i="37"/>
  <c r="F21" i="37"/>
  <c r="F84" i="34"/>
  <c r="H21" i="34"/>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G77" i="37"/>
  <c r="J21" i="37"/>
  <c r="G84" i="34"/>
  <c r="J21" i="34"/>
  <c r="J21" i="33"/>
  <c r="W21" i="33" s="1"/>
  <c r="F83" i="21"/>
  <c r="H21" i="21"/>
  <c r="F38" i="69"/>
  <c r="E37" i="69"/>
  <c r="F36" i="69"/>
  <c r="F35" i="69"/>
  <c r="F21" i="69"/>
  <c r="C21" i="69"/>
  <c r="F20" i="69"/>
  <c r="E10" i="69"/>
  <c r="E9" i="69"/>
  <c r="F7" i="69"/>
  <c r="C7" i="69"/>
  <c r="AC21" i="37"/>
  <c r="W21" i="37"/>
  <c r="AC21" i="34"/>
  <c r="W21" i="34"/>
  <c r="AC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S501" i="31" s="1"/>
  <c r="R502" i="31"/>
  <c r="S502" i="31" s="1"/>
  <c r="R503" i="3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S521" i="31" s="1"/>
  <c r="R522" i="31"/>
  <c r="R523" i="31"/>
  <c r="S523" i="31" s="1"/>
  <c r="R524" i="31"/>
  <c r="C25" i="31"/>
  <c r="Q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A15" i="62" s="1"/>
  <c r="B61" i="72" s="1"/>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0" i="6"/>
  <c r="E21" i="6"/>
  <c r="K8" i="1"/>
  <c r="M8" i="1" s="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220" i="31"/>
  <c r="S212" i="31"/>
  <c r="S204" i="31"/>
  <c r="S196" i="31"/>
  <c r="S188" i="31"/>
  <c r="S180" i="31"/>
  <c r="S172" i="31"/>
  <c r="S164" i="31"/>
  <c r="S156" i="31"/>
  <c r="S148" i="31"/>
  <c r="S140" i="31"/>
  <c r="S132" i="31"/>
  <c r="S124" i="31"/>
  <c r="S492" i="31"/>
  <c r="S488" i="31"/>
  <c r="S484" i="31"/>
  <c r="S482" i="31"/>
  <c r="S480" i="31"/>
  <c r="S478" i="31"/>
  <c r="S476" i="31"/>
  <c r="S474" i="31"/>
  <c r="S472" i="31"/>
  <c r="S470" i="31"/>
  <c r="S468" i="31"/>
  <c r="S442" i="31"/>
  <c r="S438" i="31"/>
  <c r="S434" i="31"/>
  <c r="S430" i="31"/>
  <c r="S120" i="31"/>
  <c r="S116" i="31"/>
  <c r="S112" i="31"/>
  <c r="S504" i="31"/>
  <c r="S500" i="31"/>
  <c r="S466" i="31"/>
  <c r="S462" i="31"/>
  <c r="S458" i="31"/>
  <c r="S454" i="31"/>
  <c r="S450" i="31"/>
  <c r="S51" i="31"/>
  <c r="S47" i="31"/>
  <c r="S43" i="31"/>
  <c r="S74" i="31"/>
  <c r="S70" i="31"/>
  <c r="S66" i="31"/>
  <c r="S62" i="31"/>
  <c r="S58" i="31"/>
  <c r="S95" i="31"/>
  <c r="S91" i="31"/>
  <c r="S87" i="31"/>
  <c r="S83" i="31"/>
  <c r="S79" i="31"/>
  <c r="S98" i="31"/>
  <c r="S102" i="31"/>
  <c r="S106" i="31"/>
  <c r="S110" i="31"/>
  <c r="S446" i="31"/>
  <c r="S448"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H111" i="33" s="1"/>
  <c r="I111" i="33" s="1"/>
  <c r="J111" i="33" s="1"/>
  <c r="K111" i="33" s="1"/>
  <c r="L111" i="33" s="1"/>
  <c r="M111" i="33" s="1"/>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F81" i="33" s="1"/>
  <c r="G81"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U31" i="35"/>
  <c r="S34" i="35"/>
  <c r="W34" i="35"/>
  <c r="W36" i="35"/>
  <c r="S31" i="35"/>
  <c r="U34" i="35"/>
  <c r="F36" i="34"/>
  <c r="J35" i="34"/>
  <c r="W9" i="34"/>
  <c r="S34" i="34"/>
  <c r="U34" i="34"/>
  <c r="H39" i="33"/>
  <c r="AB39" i="33" s="1"/>
  <c r="F26" i="33"/>
  <c r="AA26" i="33"/>
  <c r="S9" i="33"/>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s="1"/>
  <c r="J32" i="35"/>
  <c r="AC32" i="35" s="1"/>
  <c r="J16" i="35"/>
  <c r="AC16" i="35" s="1"/>
  <c r="H16" i="35"/>
  <c r="U16" i="35" s="1"/>
  <c r="F16" i="35"/>
  <c r="S16" i="35" s="1"/>
  <c r="J29" i="35"/>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s="1"/>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2" i="35"/>
  <c r="AC10"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U42" i="33"/>
  <c r="G108" i="33"/>
  <c r="H108" i="33"/>
  <c r="I108" i="33"/>
  <c r="J108" i="33"/>
  <c r="K108" i="33"/>
  <c r="L108" i="33"/>
  <c r="M108" i="33"/>
  <c r="J35" i="33"/>
  <c r="S37" i="33"/>
  <c r="AA37" i="33"/>
  <c r="S39" i="33"/>
  <c r="J32" i="33"/>
  <c r="AC32" i="33" s="1"/>
  <c r="S46" i="33"/>
  <c r="W43" i="33"/>
  <c r="S43" i="33"/>
  <c r="F87" i="33"/>
  <c r="H25" i="33"/>
  <c r="F25" i="33"/>
  <c r="F19" i="33"/>
  <c r="S19" i="33" s="1"/>
  <c r="W19" i="33"/>
  <c r="U9"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c r="E10" i="6"/>
  <c r="E11" i="6"/>
  <c r="E61" i="39"/>
  <c r="BL17" i="3"/>
  <c r="AZ17" i="3"/>
  <c r="G30" i="6"/>
  <c r="G31" i="6"/>
  <c r="J56" i="9"/>
  <c r="J57" i="9" s="1"/>
  <c r="J59" i="9" s="1"/>
  <c r="J61" i="9" s="1"/>
  <c r="A24" i="51"/>
  <c r="B18" i="72"/>
  <c r="U29" i="34"/>
  <c r="E14" i="6"/>
  <c r="E64" i="39"/>
  <c r="E5" i="6"/>
  <c r="D9" i="11"/>
  <c r="C9" i="11" s="1"/>
  <c r="P10" i="1"/>
  <c r="E32" i="6"/>
  <c r="L19" i="6"/>
  <c r="G1" i="68"/>
  <c r="K1" i="12"/>
  <c r="F30" i="6"/>
  <c r="E28" i="6"/>
  <c r="E57" i="40"/>
  <c r="E56" i="40"/>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R11" i="1"/>
  <c r="E59" i="40"/>
  <c r="D68" i="39"/>
  <c r="D70" i="39"/>
  <c r="C28" i="15"/>
  <c r="E30" i="6"/>
  <c r="K15" i="1"/>
  <c r="T13" i="1"/>
  <c r="C48" i="68"/>
  <c r="C77" i="9"/>
  <c r="C74" i="9"/>
  <c r="C30" i="69"/>
  <c r="D9" i="68"/>
  <c r="C9" i="68" s="1"/>
  <c r="C24" i="12"/>
  <c r="AA39" i="40"/>
  <c r="S39" i="40"/>
  <c r="S12" i="33"/>
  <c r="AA12" i="33"/>
  <c r="C16" i="43"/>
  <c r="D68" i="9"/>
  <c r="F54" i="9"/>
  <c r="J32" i="39"/>
  <c r="H107" i="39"/>
  <c r="I107" i="39"/>
  <c r="J107" i="39"/>
  <c r="K107" i="39"/>
  <c r="L107" i="39"/>
  <c r="M107" i="39"/>
  <c r="H32" i="39"/>
  <c r="AA32" i="39"/>
  <c r="S32" i="39"/>
  <c r="AB21" i="39"/>
  <c r="U21" i="39"/>
  <c r="AA21" i="39"/>
  <c r="S21" i="39"/>
  <c r="AC21" i="39"/>
  <c r="W21" i="39"/>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5" i="33"/>
  <c r="AB25" i="33"/>
  <c r="S25" i="33"/>
  <c r="AA25" i="33"/>
  <c r="G87" i="33"/>
  <c r="H87" i="33"/>
  <c r="I87" i="33"/>
  <c r="J87" i="33"/>
  <c r="K87" i="33"/>
  <c r="L87" i="33"/>
  <c r="M87" i="33"/>
  <c r="J25" i="33"/>
  <c r="H19" i="33"/>
  <c r="U19" i="33" s="1"/>
  <c r="AC10" i="33"/>
  <c r="W10" i="33"/>
  <c r="AC37" i="21"/>
  <c r="U33" i="21"/>
  <c r="S37" i="21"/>
  <c r="AA23" i="21"/>
  <c r="AB15" i="21"/>
  <c r="J23" i="21"/>
  <c r="F85" i="21"/>
  <c r="G85" i="21"/>
  <c r="H23" i="21"/>
  <c r="S13" i="21"/>
  <c r="D121" i="9"/>
  <c r="D7" i="52" s="1"/>
  <c r="K120" i="9"/>
  <c r="A18" i="62" s="1"/>
  <c r="B64" i="72" s="1"/>
  <c r="J22" i="43"/>
  <c r="K14" i="1"/>
  <c r="M14" i="1" s="1"/>
  <c r="O14" i="1"/>
  <c r="P14" i="1"/>
  <c r="BL5" i="3"/>
  <c r="AR8" i="1"/>
  <c r="AQ8" i="1"/>
  <c r="T8" i="1"/>
  <c r="O19" i="43"/>
  <c r="C5" i="43"/>
  <c r="C39" i="43" s="1"/>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M7" i="1"/>
  <c r="O7"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C25" i="33"/>
  <c r="U23" i="21"/>
  <c r="AB23" i="21"/>
  <c r="AC23" i="21"/>
  <c r="W23" i="21"/>
  <c r="F7" i="36"/>
  <c r="S7" i="36"/>
  <c r="H7" i="37"/>
  <c r="U7" i="37"/>
  <c r="P7" i="1"/>
  <c r="O16" i="1"/>
  <c r="T11" i="43"/>
  <c r="V11" i="43" s="1"/>
  <c r="T16" i="43"/>
  <c r="V16" i="43" s="1"/>
  <c r="T14" i="43"/>
  <c r="V14" i="43" s="1"/>
  <c r="T12" i="43"/>
  <c r="V12" i="43" s="1"/>
  <c r="T9" i="43"/>
  <c r="V9" i="43" s="1"/>
  <c r="T8" i="43"/>
  <c r="V8" i="43" s="1"/>
  <c r="T15" i="43"/>
  <c r="V15" i="43" s="1"/>
  <c r="T13" i="43"/>
  <c r="V13" i="43" s="1"/>
  <c r="T10" i="43"/>
  <c r="V10" i="43" s="1"/>
  <c r="H7" i="35"/>
  <c r="F7" i="37"/>
  <c r="J7" i="35"/>
  <c r="W7" i="35" s="1"/>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T42" i="37"/>
  <c r="G42" i="37"/>
  <c r="G46" i="37"/>
  <c r="H46" i="37"/>
  <c r="W11" i="34"/>
  <c r="AC11" i="34"/>
  <c r="AB7" i="36"/>
  <c r="T36" i="36"/>
  <c r="C13" i="12"/>
  <c r="P16" i="1"/>
  <c r="C11" i="12" s="1"/>
  <c r="C12" i="12" s="1"/>
  <c r="F34" i="11"/>
  <c r="F11" i="12"/>
  <c r="C23" i="12" s="1"/>
  <c r="F34" i="68"/>
  <c r="C36" i="68" s="1"/>
  <c r="J7" i="21"/>
  <c r="AC7" i="21"/>
  <c r="V48" i="21"/>
  <c r="I48" i="21"/>
  <c r="F7" i="34"/>
  <c r="S7" i="34"/>
  <c r="AB7" i="35"/>
  <c r="U7" i="35"/>
  <c r="S7" i="37"/>
  <c r="AA7" i="37"/>
  <c r="R42" i="37"/>
  <c r="F7" i="21"/>
  <c r="S7" i="21"/>
  <c r="AA7" i="35"/>
  <c r="S7" i="35"/>
  <c r="W7" i="36"/>
  <c r="AC7" i="36"/>
  <c r="V36" i="36"/>
  <c r="I36" i="36"/>
  <c r="I41" i="36"/>
  <c r="J41" i="36"/>
  <c r="AC7" i="35"/>
  <c r="H7" i="21"/>
  <c r="AB7" i="21"/>
  <c r="T48" i="21"/>
  <c r="H7" i="34"/>
  <c r="U7" i="34"/>
  <c r="W7" i="37"/>
  <c r="AC7" i="37"/>
  <c r="V42" i="37"/>
  <c r="I42" i="37"/>
  <c r="W7" i="34"/>
  <c r="AC7" i="34"/>
  <c r="V49" i="34"/>
  <c r="I49" i="34"/>
  <c r="I53" i="34"/>
  <c r="J53" i="34"/>
  <c r="AA7" i="34"/>
  <c r="R49" i="34"/>
  <c r="F63" i="40"/>
  <c r="E65" i="40"/>
  <c r="E70" i="39"/>
  <c r="F70" i="39"/>
  <c r="C36" i="11"/>
  <c r="G36" i="36"/>
  <c r="R37" i="36"/>
  <c r="AB7" i="34"/>
  <c r="T49" i="34"/>
  <c r="G49" i="34"/>
  <c r="G53" i="34"/>
  <c r="H53" i="34"/>
  <c r="W7" i="21"/>
  <c r="AA7" i="21"/>
  <c r="R48" i="21"/>
  <c r="E48" i="21"/>
  <c r="E52" i="21"/>
  <c r="F52" i="21"/>
  <c r="R8" i="1"/>
  <c r="U7" i="21"/>
  <c r="I52" i="21"/>
  <c r="J52" i="21"/>
  <c r="I40" i="36"/>
  <c r="J40" i="36"/>
  <c r="R43" i="37"/>
  <c r="E42" i="37"/>
  <c r="I47" i="37"/>
  <c r="J47" i="37"/>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s="1"/>
  <c r="U7" i="40"/>
  <c r="AA7" i="40"/>
  <c r="R42" i="40"/>
  <c r="R43" i="40" s="1"/>
  <c r="S7" i="40"/>
  <c r="E42" i="40"/>
  <c r="E46" i="40" s="1"/>
  <c r="F46" i="40" s="1"/>
  <c r="AE8" i="1"/>
  <c r="H109" i="9"/>
  <c r="H110" i="9" s="1"/>
  <c r="D18" i="53" s="1"/>
  <c r="B35" i="72" s="1"/>
  <c r="J7" i="33"/>
  <c r="W7" i="33" s="1"/>
  <c r="F7" i="33"/>
  <c r="S7" i="33"/>
  <c r="H7" i="33"/>
  <c r="AB7" i="33"/>
  <c r="AA7" i="33"/>
  <c r="U7" i="33"/>
  <c r="AC7" i="33"/>
  <c r="J7" i="39"/>
  <c r="AC7" i="39"/>
  <c r="V47" i="39"/>
  <c r="I47" i="39" s="1"/>
  <c r="F7" i="39"/>
  <c r="S7" i="39"/>
  <c r="H7" i="39"/>
  <c r="AB7" i="39"/>
  <c r="T47" i="39"/>
  <c r="G47" i="39" s="1"/>
  <c r="W7" i="39"/>
  <c r="U7" i="39"/>
  <c r="AA7" i="39"/>
  <c r="R47" i="39"/>
  <c r="R48" i="39" s="1"/>
  <c r="E47" i="39"/>
  <c r="E51" i="39"/>
  <c r="F51" i="39" s="1"/>
  <c r="H112" i="9"/>
  <c r="D21" i="53" s="1"/>
  <c r="B39" i="72" s="1"/>
  <c r="H111" i="9"/>
  <c r="D126" i="9"/>
  <c r="I14" i="74" s="1"/>
  <c r="B8" i="74" s="1"/>
  <c r="D19" i="53"/>
  <c r="D59" i="9"/>
  <c r="M55" i="9"/>
  <c r="B38" i="72"/>
  <c r="D20" i="53"/>
  <c r="B40" i="72"/>
  <c r="AD3" i="71"/>
  <c r="P21" i="43"/>
  <c r="P22" i="43"/>
  <c r="P23" i="43"/>
  <c r="B71" i="39"/>
  <c r="P24" i="43"/>
  <c r="B66" i="40"/>
  <c r="P25" i="43"/>
  <c r="F5" i="73"/>
  <c r="F8" i="15"/>
  <c r="AO13" i="1"/>
  <c r="M23" i="67"/>
  <c r="L47" i="15"/>
  <c r="B10" i="76"/>
  <c r="C76" i="15"/>
  <c r="AO8" i="1"/>
  <c r="B11" i="76"/>
  <c r="D2" i="37"/>
  <c r="F36" i="15"/>
  <c r="F4" i="73"/>
  <c r="B13" i="76"/>
  <c r="M22" i="67"/>
  <c r="E12" i="76"/>
  <c r="L47" i="67"/>
  <c r="M9" i="15"/>
  <c r="M29" i="67"/>
  <c r="M8" i="15"/>
  <c r="M26" i="67"/>
  <c r="F3" i="73"/>
  <c r="D2" i="33"/>
  <c r="F6" i="15"/>
  <c r="M8" i="67"/>
  <c r="M28" i="67"/>
  <c r="F36" i="67"/>
  <c r="M26" i="15"/>
  <c r="M24" i="15"/>
  <c r="AO10" i="1"/>
  <c r="F43" i="67"/>
  <c r="F6" i="73"/>
  <c r="E7" i="76"/>
  <c r="M6" i="67"/>
  <c r="F16" i="15"/>
  <c r="D7" i="73"/>
  <c r="D2" i="34"/>
  <c r="C76" i="67"/>
  <c r="F7" i="67"/>
  <c r="M23" i="15"/>
  <c r="E2" i="68"/>
  <c r="F7" i="73"/>
  <c r="E10" i="76"/>
  <c r="J15" i="67"/>
  <c r="J15" i="15"/>
  <c r="D2" i="35"/>
  <c r="E9" i="76"/>
  <c r="F9" i="67"/>
  <c r="F6" i="67"/>
  <c r="D6" i="73"/>
  <c r="D5" i="73"/>
  <c r="F26" i="67"/>
  <c r="M9" i="67"/>
  <c r="F38" i="67"/>
  <c r="F37" i="67"/>
  <c r="E13" i="76"/>
  <c r="D2" i="36"/>
  <c r="E2" i="69"/>
  <c r="B12" i="76"/>
  <c r="F37" i="15"/>
  <c r="M22" i="15"/>
  <c r="F40" i="67"/>
  <c r="M24" i="67"/>
  <c r="M28" i="15"/>
  <c r="D3" i="73"/>
  <c r="F40" i="15"/>
  <c r="AO12" i="1"/>
  <c r="F13" i="15"/>
  <c r="E8" i="76"/>
  <c r="AO11" i="1"/>
  <c r="D2" i="21"/>
  <c r="F26" i="15"/>
  <c r="AO9" i="1"/>
  <c r="L48" i="15"/>
  <c r="F9" i="15"/>
  <c r="F42" i="67"/>
  <c r="E11" i="76"/>
  <c r="F8" i="67"/>
  <c r="F42" i="15"/>
  <c r="F38" i="15"/>
  <c r="L48" i="67"/>
  <c r="B9" i="76"/>
  <c r="F16" i="67"/>
  <c r="D4" i="73"/>
  <c r="B7" i="76"/>
  <c r="F13" i="67"/>
  <c r="B8" i="76"/>
  <c r="A118" i="81" l="1"/>
  <c r="A2" i="81"/>
  <c r="C51" i="10"/>
  <c r="S38" i="33"/>
  <c r="W39" i="33"/>
  <c r="S42" i="33"/>
  <c r="B11" i="49"/>
  <c r="B8" i="49"/>
  <c r="B14" i="49"/>
  <c r="E9" i="49"/>
  <c r="B5" i="49"/>
  <c r="B22" i="49"/>
  <c r="T35" i="4"/>
  <c r="A19" i="51" s="1"/>
  <c r="B14" i="72" s="1"/>
  <c r="J56" i="81"/>
  <c r="J57" i="81" s="1"/>
  <c r="J59" i="81" s="1"/>
  <c r="J61" i="81" s="1"/>
  <c r="N56" i="81"/>
  <c r="K56" i="81"/>
  <c r="M56" i="81"/>
  <c r="M56" i="9"/>
  <c r="U10" i="33"/>
  <c r="J23" i="33"/>
  <c r="F85" i="33"/>
  <c r="G85" i="33" s="1"/>
  <c r="F23" i="33"/>
  <c r="H23" i="33"/>
  <c r="AB19" i="33"/>
  <c r="AA19" i="33"/>
  <c r="F79" i="33"/>
  <c r="G79" i="33" s="1"/>
  <c r="F17" i="33"/>
  <c r="J17" i="33"/>
  <c r="H17" i="33"/>
  <c r="F15" i="33"/>
  <c r="H15" i="33"/>
  <c r="J15" i="33"/>
  <c r="F77" i="33"/>
  <c r="G77" i="33" s="1"/>
  <c r="F27" i="33"/>
  <c r="H27" i="33"/>
  <c r="F91" i="33"/>
  <c r="G91" i="33" s="1"/>
  <c r="H91" i="33" s="1"/>
  <c r="I91" i="33" s="1"/>
  <c r="J91" i="33" s="1"/>
  <c r="K91" i="33" s="1"/>
  <c r="L91" i="33" s="1"/>
  <c r="M91" i="33" s="1"/>
  <c r="J27" i="33"/>
  <c r="U32" i="33"/>
  <c r="W32" i="33"/>
  <c r="C47" i="39"/>
  <c r="C48" i="39"/>
  <c r="I47" i="40"/>
  <c r="J47" i="40" s="1"/>
  <c r="I46" i="40"/>
  <c r="J46" i="40" s="1"/>
  <c r="K6" i="1"/>
  <c r="M18" i="9"/>
  <c r="B118" i="9" s="1"/>
  <c r="B14" i="74" s="1"/>
  <c r="AR9" i="1"/>
  <c r="AQ9" i="1"/>
  <c r="T9" i="1"/>
  <c r="E56" i="39"/>
  <c r="F27" i="6"/>
  <c r="F31" i="6" s="1"/>
  <c r="G5" i="3"/>
  <c r="B3" i="3" s="1"/>
  <c r="AZ15" i="3"/>
  <c r="AZ5" i="3" s="1"/>
  <c r="BA5" i="3"/>
  <c r="E27" i="6" s="1"/>
  <c r="AQ13" i="1"/>
  <c r="E15" i="6"/>
  <c r="M18" i="81"/>
  <c r="B118" i="81" s="1"/>
  <c r="B15" i="74" s="1"/>
  <c r="I51" i="39"/>
  <c r="J51" i="39" s="1"/>
  <c r="I52" i="39"/>
  <c r="J52" i="39" s="1"/>
  <c r="C43" i="40"/>
  <c r="C42" i="40"/>
  <c r="G52" i="39"/>
  <c r="H52" i="39" s="1"/>
  <c r="G51" i="39"/>
  <c r="H51" i="39" s="1"/>
  <c r="E52" i="39"/>
  <c r="F52" i="39" s="1"/>
  <c r="G47" i="40"/>
  <c r="H47" i="40" s="1"/>
  <c r="G46" i="40"/>
  <c r="H46" i="40" s="1"/>
  <c r="E47" i="40"/>
  <c r="F47" i="40" s="1"/>
  <c r="E22"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101" i="43"/>
  <c r="B113" i="43"/>
  <c r="G22" i="43"/>
  <c r="D101" i="43"/>
  <c r="K101" i="43"/>
  <c r="F101" i="43"/>
  <c r="N101" i="43"/>
  <c r="G101" i="43"/>
  <c r="J101" i="43"/>
  <c r="N104" i="46"/>
  <c r="H22" i="43"/>
  <c r="M101" i="43"/>
  <c r="I101" i="43"/>
  <c r="E101" i="43"/>
  <c r="J36" i="33"/>
  <c r="F36" i="33"/>
  <c r="H36" i="33"/>
  <c r="E11" i="49"/>
  <c r="B6" i="49"/>
  <c r="E21" i="49"/>
  <c r="B9" i="49"/>
  <c r="E22" i="49"/>
  <c r="B7" i="49"/>
  <c r="C4" i="4" s="1"/>
  <c r="B4" i="62" s="1"/>
  <c r="B71" i="72" s="1"/>
  <c r="E4" i="49"/>
  <c r="B4" i="49"/>
  <c r="E5" i="49"/>
  <c r="E10" i="49"/>
  <c r="E8" i="49"/>
  <c r="E16" i="49"/>
  <c r="B13" i="49"/>
  <c r="E4" i="4" s="1"/>
  <c r="B5" i="62" s="1"/>
  <c r="B73" i="72" s="1"/>
  <c r="E6" i="49"/>
  <c r="E7" i="49"/>
  <c r="B16" i="49"/>
  <c r="B10" i="49"/>
  <c r="E39" i="43"/>
  <c r="G39" i="43"/>
  <c r="I39" i="43" s="1"/>
  <c r="E36" i="43"/>
  <c r="G36" i="43"/>
  <c r="I36" i="43" s="1"/>
  <c r="C33" i="43"/>
  <c r="C34" i="43"/>
  <c r="C35" i="43"/>
  <c r="C37" i="43"/>
  <c r="C38" i="43"/>
  <c r="F70" i="35"/>
  <c r="G70" i="35" s="1"/>
  <c r="H20" i="35"/>
  <c r="J20" i="35"/>
  <c r="F20" i="35"/>
  <c r="W18" i="35"/>
  <c r="F64" i="35"/>
  <c r="G64" i="35" s="1"/>
  <c r="J14" i="35"/>
  <c r="F14" i="35"/>
  <c r="AA14" i="35" s="1"/>
  <c r="H14" i="35"/>
  <c r="S14" i="35"/>
  <c r="U8" i="35"/>
  <c r="S9" i="35"/>
  <c r="W28" i="35"/>
  <c r="U33" i="35"/>
  <c r="U30" i="35"/>
  <c r="AC27" i="35"/>
  <c r="W22" i="35"/>
  <c r="U23" i="35"/>
  <c r="AB23" i="35"/>
  <c r="S18" i="35"/>
  <c r="W16" i="35"/>
  <c r="AA13" i="35"/>
  <c r="C15" i="12"/>
  <c r="H26" i="35"/>
  <c r="F26" i="35"/>
  <c r="J26" i="35"/>
  <c r="D9" i="53"/>
  <c r="B25" i="72" s="1"/>
  <c r="B24" i="72"/>
  <c r="D124" i="9"/>
  <c r="D12" i="52"/>
  <c r="D127" i="9"/>
  <c r="D13" i="52" s="1"/>
  <c r="D16" i="53"/>
  <c r="B2" i="36"/>
  <c r="B3" i="36" s="1"/>
  <c r="B8" i="70"/>
  <c r="F71" i="67"/>
  <c r="Q71" i="67"/>
  <c r="B12" i="70"/>
  <c r="B9" i="70"/>
  <c r="J53" i="67"/>
  <c r="J57" i="67"/>
  <c r="J55" i="67" s="1"/>
  <c r="J58" i="67" s="1"/>
  <c r="Q50" i="67" s="1"/>
  <c r="I54" i="67"/>
  <c r="L60" i="67"/>
  <c r="L56" i="67"/>
  <c r="L57" i="67"/>
  <c r="F68" i="67"/>
  <c r="Q71" i="15"/>
  <c r="C27" i="67"/>
  <c r="B13" i="70"/>
  <c r="E20" i="43"/>
  <c r="F70" i="67"/>
  <c r="F64" i="67"/>
  <c r="F65" i="67"/>
  <c r="F66" i="67"/>
  <c r="C27" i="15"/>
  <c r="L58" i="67"/>
  <c r="L59" i="67"/>
  <c r="N59" i="67"/>
  <c r="M59" i="67"/>
  <c r="F51" i="15"/>
  <c r="F68" i="15"/>
  <c r="M59" i="15"/>
  <c r="N59" i="15"/>
  <c r="L59" i="15"/>
  <c r="L58" i="15"/>
  <c r="F64" i="15"/>
  <c r="F65" i="15"/>
  <c r="M7" i="67"/>
  <c r="J6" i="67" s="1"/>
  <c r="F50" i="67"/>
  <c r="F66" i="15"/>
  <c r="F51" i="67"/>
  <c r="C6" i="67"/>
  <c r="B10" i="70"/>
  <c r="B11" i="70"/>
  <c r="I1" i="73"/>
  <c r="B39" i="1" s="1"/>
  <c r="L56" i="15"/>
  <c r="J57" i="15"/>
  <c r="J55" i="15" s="1"/>
  <c r="J58" i="15" s="1"/>
  <c r="Q50" i="15" s="1"/>
  <c r="L60" i="15"/>
  <c r="J53" i="15"/>
  <c r="I54" i="15"/>
  <c r="L57" i="15"/>
  <c r="F43" i="15"/>
  <c r="F7" i="15"/>
  <c r="M6" i="15"/>
  <c r="M29" i="15"/>
  <c r="G1" i="73"/>
  <c r="C16" i="67"/>
  <c r="C49" i="67" l="1"/>
  <c r="U23" i="33"/>
  <c r="AB23" i="33"/>
  <c r="AA23" i="33"/>
  <c r="S23" i="33"/>
  <c r="W23" i="33"/>
  <c r="AC23" i="33"/>
  <c r="AB17" i="33"/>
  <c r="U17" i="33"/>
  <c r="AA17" i="33"/>
  <c r="S17" i="33"/>
  <c r="AC17" i="33"/>
  <c r="W17" i="33"/>
  <c r="AB15" i="33"/>
  <c r="U15" i="33"/>
  <c r="AC15" i="33"/>
  <c r="W15" i="33"/>
  <c r="AA15" i="33"/>
  <c r="S15" i="33"/>
  <c r="W27" i="33"/>
  <c r="AC27" i="33"/>
  <c r="U27" i="33"/>
  <c r="AB27" i="33"/>
  <c r="AA27" i="33"/>
  <c r="S27" i="33"/>
  <c r="B40" i="1"/>
  <c r="F22" i="11" s="1"/>
  <c r="F71" i="15"/>
  <c r="M7" i="15"/>
  <c r="J6" i="15" s="1"/>
  <c r="F50" i="15"/>
  <c r="C49" i="15" s="1"/>
  <c r="C6" i="15"/>
  <c r="E65" i="39"/>
  <c r="E60" i="40"/>
  <c r="K21" i="6"/>
  <c r="M21" i="6" s="1"/>
  <c r="I21" i="6" s="1"/>
  <c r="S21" i="6" s="1"/>
  <c r="K20" i="6"/>
  <c r="E31" i="6"/>
  <c r="K24" i="6"/>
  <c r="M24" i="6" s="1"/>
  <c r="I24" i="6" s="1"/>
  <c r="S24" i="6" s="1"/>
  <c r="K26" i="6"/>
  <c r="M26" i="6" s="1"/>
  <c r="I26" i="6" s="1"/>
  <c r="S26" i="6" s="1"/>
  <c r="K19" i="6"/>
  <c r="K22" i="6"/>
  <c r="M22" i="6" s="1"/>
  <c r="I22" i="6" s="1"/>
  <c r="S22" i="6" s="1"/>
  <c r="K25" i="6"/>
  <c r="M25" i="6" s="1"/>
  <c r="I25" i="6" s="1"/>
  <c r="S25" i="6" s="1"/>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14" i="3"/>
  <c r="E415" i="3"/>
  <c r="E395" i="3"/>
  <c r="E260" i="3"/>
  <c r="E550" i="3"/>
  <c r="E539" i="3"/>
  <c r="E567" i="3"/>
  <c r="E461" i="3"/>
  <c r="E227" i="3"/>
  <c r="E165" i="3"/>
  <c r="E314" i="3"/>
  <c r="E511" i="3"/>
  <c r="E16" i="3"/>
  <c r="E536" i="3"/>
  <c r="AK6" i="3"/>
  <c r="E549" i="3"/>
  <c r="E434" i="3"/>
  <c r="E453" i="3"/>
  <c r="E306" i="3"/>
  <c r="E368" i="3"/>
  <c r="E296" i="3"/>
  <c r="E244" i="3"/>
  <c r="E262" i="3"/>
  <c r="E196" i="3"/>
  <c r="E136" i="3"/>
  <c r="E156" i="3"/>
  <c r="E236" i="3"/>
  <c r="E148" i="3"/>
  <c r="E269" i="3"/>
  <c r="E122" i="3"/>
  <c r="E89" i="3"/>
  <c r="E120" i="3"/>
  <c r="E45" i="3"/>
  <c r="E277" i="3"/>
  <c r="E224" i="3"/>
  <c r="E177"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69" i="3"/>
  <c r="E278" i="3"/>
  <c r="E563" i="3"/>
  <c r="E172" i="3"/>
  <c r="E445" i="3"/>
  <c r="E535" i="3"/>
  <c r="E329" i="3"/>
  <c r="E545" i="3"/>
  <c r="E510" i="3"/>
  <c r="E352" i="3"/>
  <c r="E205" i="3"/>
  <c r="E128" i="3"/>
  <c r="E397" i="3"/>
  <c r="E568" i="3"/>
  <c r="I6" i="3"/>
  <c r="AI6" i="3"/>
  <c r="E586" i="3"/>
  <c r="E578" i="3"/>
  <c r="E402" i="3"/>
  <c r="E423" i="3"/>
  <c r="E350" i="3"/>
  <c r="E382" i="3"/>
  <c r="E303" i="3"/>
  <c r="E263" i="3"/>
  <c r="E301" i="3"/>
  <c r="E245" i="3"/>
  <c r="E159" i="3"/>
  <c r="E191" i="3"/>
  <c r="E99" i="3"/>
  <c r="E188" i="3"/>
  <c r="E228" i="3"/>
  <c r="E181" i="3"/>
  <c r="E157" i="3"/>
  <c r="E140" i="3"/>
  <c r="E85" i="3"/>
  <c r="E223" i="3"/>
  <c r="E238" i="3"/>
  <c r="E19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56" i="3"/>
  <c r="E372"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94" i="3"/>
  <c r="E318" i="3"/>
  <c r="E362" i="3"/>
  <c r="E14" i="3"/>
  <c r="E580"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6"/>
  <c r="M6" i="1"/>
  <c r="Q16" i="1"/>
  <c r="H16" i="1"/>
  <c r="G16" i="1"/>
  <c r="K16" i="1"/>
  <c r="B29" i="1" s="1"/>
  <c r="C8" i="68" s="1"/>
  <c r="C5" i="68" s="1"/>
  <c r="C34" i="69"/>
  <c r="B61" i="39"/>
  <c r="F61" i="39" s="1"/>
  <c r="B56" i="39"/>
  <c r="F56" i="39" s="1"/>
  <c r="F66" i="39" s="1"/>
  <c r="B2" i="39" s="1"/>
  <c r="B59" i="39"/>
  <c r="F59" i="39" s="1"/>
  <c r="B65" i="39"/>
  <c r="F65" i="39" s="1"/>
  <c r="B63" i="39"/>
  <c r="F63" i="39" s="1"/>
  <c r="B60" i="39"/>
  <c r="F60" i="39" s="1"/>
  <c r="B58" i="39"/>
  <c r="F58" i="39" s="1"/>
  <c r="B64" i="39"/>
  <c r="F64" i="39" s="1"/>
  <c r="B57" i="39"/>
  <c r="F57" i="39" s="1"/>
  <c r="B62" i="39"/>
  <c r="F62" i="39" s="1"/>
  <c r="AY6" i="3"/>
  <c r="E3" i="6"/>
  <c r="E66" i="39"/>
  <c r="B1" i="74"/>
  <c r="C8" i="74" s="1"/>
  <c r="B57" i="40"/>
  <c r="F57" i="40" s="1"/>
  <c r="B58" i="40"/>
  <c r="F58" i="40" s="1"/>
  <c r="B59" i="40"/>
  <c r="F59" i="40" s="1"/>
  <c r="B52" i="40"/>
  <c r="F52" i="40" s="1"/>
  <c r="B56" i="40"/>
  <c r="F56" i="40" s="1"/>
  <c r="B51" i="40"/>
  <c r="F51" i="40" s="1"/>
  <c r="B54" i="40"/>
  <c r="F54" i="40" s="1"/>
  <c r="B55" i="40"/>
  <c r="F55" i="40" s="1"/>
  <c r="B53" i="40"/>
  <c r="F53" i="40" s="1"/>
  <c r="B60" i="40"/>
  <c r="F60" i="40" s="1"/>
  <c r="I109" i="43"/>
  <c r="I102" i="43"/>
  <c r="I106" i="43"/>
  <c r="I103" i="43"/>
  <c r="I104" i="43"/>
  <c r="I107" i="43"/>
  <c r="I105" i="43"/>
  <c r="J104" i="43"/>
  <c r="J107" i="43"/>
  <c r="J102" i="43"/>
  <c r="J106" i="43"/>
  <c r="J105" i="43"/>
  <c r="J103" i="43"/>
  <c r="J109" i="43"/>
  <c r="N102" i="43"/>
  <c r="N105" i="43"/>
  <c r="N107" i="43"/>
  <c r="N103" i="43"/>
  <c r="N106" i="43"/>
  <c r="N104" i="43"/>
  <c r="N109" i="43"/>
  <c r="K103" i="43"/>
  <c r="K107" i="43"/>
  <c r="K104" i="43"/>
  <c r="K105" i="43"/>
  <c r="K102" i="43"/>
  <c r="K106" i="43"/>
  <c r="K109" i="43"/>
  <c r="C102" i="43"/>
  <c r="C104" i="43"/>
  <c r="C106" i="43"/>
  <c r="C109" i="43"/>
  <c r="C103" i="43"/>
  <c r="C105" i="43"/>
  <c r="C107" i="43"/>
  <c r="L109" i="43"/>
  <c r="L102" i="43"/>
  <c r="L105" i="43"/>
  <c r="L104" i="43"/>
  <c r="L106" i="43"/>
  <c r="L107" i="43"/>
  <c r="L103" i="43"/>
  <c r="D22" i="43"/>
  <c r="E102" i="43"/>
  <c r="E106" i="43"/>
  <c r="E103" i="43"/>
  <c r="E107" i="43"/>
  <c r="E104" i="43"/>
  <c r="E105" i="43"/>
  <c r="E109" i="43"/>
  <c r="M109" i="43"/>
  <c r="M102" i="43"/>
  <c r="M106" i="43"/>
  <c r="M103" i="43"/>
  <c r="M104" i="43"/>
  <c r="M105" i="43"/>
  <c r="M107" i="43"/>
  <c r="G105" i="43"/>
  <c r="G103" i="43"/>
  <c r="G106" i="43"/>
  <c r="G109" i="43"/>
  <c r="G102" i="43"/>
  <c r="G107" i="43"/>
  <c r="G104" i="43"/>
  <c r="F104" i="43"/>
  <c r="F102" i="43"/>
  <c r="F103" i="43"/>
  <c r="F107" i="43"/>
  <c r="F106" i="43"/>
  <c r="F105" i="43"/>
  <c r="F109"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H102" i="43"/>
  <c r="H103" i="43"/>
  <c r="H104" i="43"/>
  <c r="H109" i="43"/>
  <c r="H106" i="43"/>
  <c r="H107" i="43"/>
  <c r="H105" i="43"/>
  <c r="S36" i="33"/>
  <c r="AA36" i="33"/>
  <c r="R48" i="33" s="1"/>
  <c r="E48" i="33" s="1"/>
  <c r="E52" i="33" s="1"/>
  <c r="F52" i="33" s="1"/>
  <c r="U36" i="33"/>
  <c r="AB36" i="33"/>
  <c r="T48" i="33" s="1"/>
  <c r="AC36" i="33"/>
  <c r="V48" i="33" s="1"/>
  <c r="I48" i="33" s="1"/>
  <c r="W36" i="33"/>
  <c r="K4" i="4"/>
  <c r="B46" i="48" s="1"/>
  <c r="B4" i="72" s="1"/>
  <c r="E38" i="43"/>
  <c r="G38" i="43"/>
  <c r="I38" i="43" s="1"/>
  <c r="E35" i="43"/>
  <c r="G35" i="43"/>
  <c r="I35" i="43" s="1"/>
  <c r="G33" i="43"/>
  <c r="I33" i="43" s="1"/>
  <c r="E33" i="43"/>
  <c r="G37" i="43"/>
  <c r="I37" i="43" s="1"/>
  <c r="E37" i="43"/>
  <c r="G34" i="43"/>
  <c r="I34" i="43" s="1"/>
  <c r="E34" i="43"/>
  <c r="AA20" i="35"/>
  <c r="S20" i="35"/>
  <c r="U20" i="35"/>
  <c r="AB20" i="35"/>
  <c r="W20" i="35"/>
  <c r="AC20" i="35"/>
  <c r="AB14" i="35"/>
  <c r="U14" i="35"/>
  <c r="W14" i="35"/>
  <c r="AC14" i="35"/>
  <c r="AA26" i="35"/>
  <c r="S26" i="35"/>
  <c r="W26" i="35"/>
  <c r="AC26" i="35"/>
  <c r="U26" i="35"/>
  <c r="AB26" i="35"/>
  <c r="D17" i="53"/>
  <c r="B36" i="72" s="1"/>
  <c r="B34" i="72"/>
  <c r="D10" i="52"/>
  <c r="D125" i="9"/>
  <c r="D11" i="52" s="1"/>
  <c r="H14" i="74"/>
  <c r="B7" i="74" s="1"/>
  <c r="Q57" i="15"/>
  <c r="Q66" i="15"/>
  <c r="F11" i="67"/>
  <c r="M11" i="15"/>
  <c r="M11" i="67"/>
  <c r="J10" i="67" s="1"/>
  <c r="J5" i="67" s="1"/>
  <c r="F11" i="15"/>
  <c r="Q73" i="15"/>
  <c r="Q60" i="15"/>
  <c r="Q61" i="67"/>
  <c r="Q74" i="67"/>
  <c r="P17" i="43"/>
  <c r="N17" i="43"/>
  <c r="M17" i="43"/>
  <c r="O17" i="43"/>
  <c r="Q52" i="15"/>
  <c r="F1" i="15"/>
  <c r="Q74" i="15"/>
  <c r="Q61" i="15"/>
  <c r="Q73" i="67"/>
  <c r="Q60" i="67"/>
  <c r="Q66" i="67"/>
  <c r="Q57" i="67"/>
  <c r="Q52" i="67"/>
  <c r="F1" i="67"/>
  <c r="AE6" i="1"/>
  <c r="AE7" i="1"/>
  <c r="C16" i="15"/>
  <c r="C53" i="15" l="1"/>
  <c r="C48" i="15" s="1"/>
  <c r="C66" i="15" s="1"/>
  <c r="F22" i="69"/>
  <c r="C44" i="69" s="1"/>
  <c r="D41" i="69" s="1"/>
  <c r="F22" i="68"/>
  <c r="C23" i="68" s="1"/>
  <c r="F24" i="15"/>
  <c r="C24" i="15" s="1"/>
  <c r="F24" i="67"/>
  <c r="C24" i="67" s="1"/>
  <c r="F25" i="12"/>
  <c r="C26" i="12" s="1"/>
  <c r="D25" i="12"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 i="40"/>
  <c r="F10" i="40"/>
  <c r="H10" i="39"/>
  <c r="F10" i="39"/>
  <c r="J10" i="40"/>
  <c r="J10" i="39"/>
  <c r="F27" i="69"/>
  <c r="F28" i="12"/>
  <c r="C29" i="12" s="1"/>
  <c r="D28" i="12" s="1"/>
  <c r="F27" i="11"/>
  <c r="F27" i="68"/>
  <c r="S6" i="1"/>
  <c r="M19" i="6"/>
  <c r="K27" i="6"/>
  <c r="S7" i="1"/>
  <c r="M20" i="6"/>
  <c r="I20" i="6" s="1"/>
  <c r="D3" i="21"/>
  <c r="B2" i="21" s="1"/>
  <c r="B3" i="21" s="1"/>
  <c r="E6" i="6"/>
  <c r="C17" i="4"/>
  <c r="B4" i="52" s="1"/>
  <c r="B43" i="72" s="1"/>
  <c r="D3" i="37"/>
  <c r="B2" i="37" s="1"/>
  <c r="B3" i="37" s="1"/>
  <c r="D3" i="34"/>
  <c r="B2" i="34" s="1"/>
  <c r="B3" i="34" s="1"/>
  <c r="D19" i="11"/>
  <c r="C19" i="11" s="1"/>
  <c r="D37" i="11"/>
  <c r="C37" i="11" s="1"/>
  <c r="D14" i="12"/>
  <c r="B3" i="39"/>
  <c r="C38" i="69"/>
  <c r="C35" i="69"/>
  <c r="M16" i="1"/>
  <c r="H6" i="3"/>
  <c r="E6" i="3" s="1"/>
  <c r="T38" i="35"/>
  <c r="G38" i="35" s="1"/>
  <c r="G42" i="35" s="1"/>
  <c r="H42" i="35" s="1"/>
  <c r="J10" i="15"/>
  <c r="J5" i="15" s="1"/>
  <c r="J18" i="15" s="1"/>
  <c r="C115" i="43"/>
  <c r="D113" i="43" s="1"/>
  <c r="S6" i="43"/>
  <c r="T6" i="43" s="1"/>
  <c r="V6" i="43" s="1"/>
  <c r="S3" i="43"/>
  <c r="T3" i="43" s="1"/>
  <c r="V3" i="43" s="1"/>
  <c r="S4" i="43"/>
  <c r="T4" i="43" s="1"/>
  <c r="V4" i="43" s="1"/>
  <c r="C23" i="43"/>
  <c r="C21" i="43" s="1"/>
  <c r="S5" i="43"/>
  <c r="T5" i="43" s="1"/>
  <c r="V5" i="43" s="1"/>
  <c r="S7" i="43"/>
  <c r="T7" i="43" s="1"/>
  <c r="V7" i="43" s="1"/>
  <c r="S2" i="43"/>
  <c r="T2" i="43" s="1"/>
  <c r="V2" i="43" s="1"/>
  <c r="I53" i="33"/>
  <c r="J53" i="33" s="1"/>
  <c r="I52" i="33"/>
  <c r="J52" i="33" s="1"/>
  <c r="R49" i="33"/>
  <c r="G48" i="33"/>
  <c r="AG7" i="1"/>
  <c r="AG6" i="1"/>
  <c r="V38" i="35"/>
  <c r="I38" i="35" s="1"/>
  <c r="I42" i="35" s="1"/>
  <c r="J42" i="35" s="1"/>
  <c r="R38" i="35"/>
  <c r="E38" i="35" s="1"/>
  <c r="E42" i="35" s="1"/>
  <c r="F42" i="35" s="1"/>
  <c r="G43" i="35"/>
  <c r="H43" i="35" s="1"/>
  <c r="C7" i="74"/>
  <c r="C10" i="15"/>
  <c r="C5" i="15" s="1"/>
  <c r="C32" i="15" s="1"/>
  <c r="J24" i="67"/>
  <c r="J18" i="67"/>
  <c r="C10" i="67"/>
  <c r="C5" i="67" s="1"/>
  <c r="C53" i="67"/>
  <c r="C48" i="67" s="1"/>
  <c r="C26" i="11"/>
  <c r="D22" i="11" s="1"/>
  <c r="C24" i="11"/>
  <c r="C23" i="11"/>
  <c r="C44" i="11"/>
  <c r="D41" i="11" s="1"/>
  <c r="C17" i="67"/>
  <c r="F41" i="15"/>
  <c r="M27" i="15"/>
  <c r="C14" i="67"/>
  <c r="M27" i="67"/>
  <c r="C17" i="15"/>
  <c r="F41" i="67"/>
  <c r="I43" i="35" l="1"/>
  <c r="J43" i="35" s="1"/>
  <c r="C44" i="68"/>
  <c r="D41" i="68" s="1"/>
  <c r="C26" i="68"/>
  <c r="D22" i="68" s="1"/>
  <c r="C26" i="69"/>
  <c r="D22" i="69" s="1"/>
  <c r="J24" i="15"/>
  <c r="C15" i="67"/>
  <c r="C18" i="67"/>
  <c r="C34" i="11"/>
  <c r="C34" i="68"/>
  <c r="L16" i="1"/>
  <c r="D17" i="12"/>
  <c r="C17" i="12" s="1"/>
  <c r="C14" i="12"/>
  <c r="C16" i="12" s="1"/>
  <c r="C20" i="11"/>
  <c r="C25" i="11" s="1"/>
  <c r="C22" i="11" s="1"/>
  <c r="D10" i="11"/>
  <c r="C10" i="11" s="1"/>
  <c r="D20" i="12"/>
  <c r="C20" i="12" s="1"/>
  <c r="C18" i="12" s="1"/>
  <c r="D10" i="68"/>
  <c r="D10" i="69"/>
  <c r="S20" i="6"/>
  <c r="L18" i="81"/>
  <c r="AQ6" i="1"/>
  <c r="T6" i="1"/>
  <c r="AR6" i="1"/>
  <c r="S16" i="1"/>
  <c r="E6" i="70"/>
  <c r="C29" i="68"/>
  <c r="D27" i="68" s="1"/>
  <c r="C47" i="68"/>
  <c r="D45" i="68" s="1"/>
  <c r="W10" i="39"/>
  <c r="AC10" i="39"/>
  <c r="S10" i="39"/>
  <c r="AA10" i="39"/>
  <c r="AA10" i="40"/>
  <c r="S10" i="40"/>
  <c r="N16" i="1"/>
  <c r="T7" i="1"/>
  <c r="AQ7" i="1"/>
  <c r="AR7" i="1"/>
  <c r="E7" i="70"/>
  <c r="I19" i="6"/>
  <c r="M27" i="6"/>
  <c r="C47" i="11"/>
  <c r="D45" i="11" s="1"/>
  <c r="C29" i="11"/>
  <c r="D27" i="11" s="1"/>
  <c r="C29" i="69"/>
  <c r="D27" i="69" s="1"/>
  <c r="C47" i="69"/>
  <c r="D45" i="69" s="1"/>
  <c r="W10" i="40"/>
  <c r="AC10" i="40"/>
  <c r="U10" i="39"/>
  <c r="AB10" i="39"/>
  <c r="U10" i="40"/>
  <c r="AB10" i="40"/>
  <c r="D25" i="6"/>
  <c r="D15" i="6"/>
  <c r="D22" i="6"/>
  <c r="D21" i="6"/>
  <c r="D24" i="6"/>
  <c r="D20" i="6"/>
  <c r="D6" i="6"/>
  <c r="D9" i="6"/>
  <c r="D10" i="6"/>
  <c r="D29" i="6"/>
  <c r="H25" i="6"/>
  <c r="H23" i="6"/>
  <c r="H26" i="6"/>
  <c r="H19" i="6"/>
  <c r="H20" i="6"/>
  <c r="D19" i="6"/>
  <c r="D26" i="6"/>
  <c r="R26" i="6" s="1"/>
  <c r="C18" i="4"/>
  <c r="D8" i="6"/>
  <c r="D23" i="6"/>
  <c r="R23" i="6" s="1"/>
  <c r="D14" i="6"/>
  <c r="D5" i="6"/>
  <c r="D12" i="6"/>
  <c r="D11" i="6"/>
  <c r="D13" i="6"/>
  <c r="D28" i="6"/>
  <c r="D30" i="6" s="1"/>
  <c r="E61" i="40"/>
  <c r="F61" i="40" s="1"/>
  <c r="B2" i="40" s="1"/>
  <c r="B3" i="40" s="1"/>
  <c r="H22" i="6"/>
  <c r="H21" i="6"/>
  <c r="H24" i="6"/>
  <c r="R24" i="6" s="1"/>
  <c r="C29" i="43"/>
  <c r="G53" i="33"/>
  <c r="H53" i="33" s="1"/>
  <c r="G52" i="33"/>
  <c r="H52" i="33" s="1"/>
  <c r="E53" i="33"/>
  <c r="F53" i="33" s="1"/>
  <c r="C48" i="33"/>
  <c r="C49" i="33"/>
  <c r="E43" i="35"/>
  <c r="F43" i="35" s="1"/>
  <c r="R39" i="35"/>
  <c r="C39" i="35" s="1"/>
  <c r="B2" i="35" s="1"/>
  <c r="B3" i="35" s="1"/>
  <c r="F69" i="15"/>
  <c r="F69" i="67"/>
  <c r="C60" i="15"/>
  <c r="C38" i="15"/>
  <c r="C33" i="15"/>
  <c r="C33" i="67"/>
  <c r="C38" i="67"/>
  <c r="C32" i="67"/>
  <c r="C66" i="67"/>
  <c r="C60" i="67"/>
  <c r="C14" i="15"/>
  <c r="C19" i="81"/>
  <c r="C20" i="81"/>
  <c r="C19" i="67" l="1"/>
  <c r="C20" i="67" s="1"/>
  <c r="C26" i="67" s="1"/>
  <c r="C15" i="15"/>
  <c r="C18" i="15"/>
  <c r="D16" i="6"/>
  <c r="R22" i="6"/>
  <c r="R25" i="6"/>
  <c r="L18" i="9"/>
  <c r="S19" i="6"/>
  <c r="S27" i="6" s="1"/>
  <c r="I27" i="6"/>
  <c r="E2" i="70"/>
  <c r="C10" i="68"/>
  <c r="D19" i="68"/>
  <c r="C38" i="11"/>
  <c r="C35" i="11"/>
  <c r="C4" i="52"/>
  <c r="B45" i="72" s="1"/>
  <c r="A7" i="51"/>
  <c r="B7" i="72" s="1"/>
  <c r="A10" i="51"/>
  <c r="B9" i="72" s="1"/>
  <c r="M19" i="9"/>
  <c r="C118" i="9" s="1"/>
  <c r="C14" i="74" s="1"/>
  <c r="L19" i="9"/>
  <c r="D27" i="6"/>
  <c r="D31" i="6" s="1"/>
  <c r="R19" i="6"/>
  <c r="H27" i="6"/>
  <c r="R20" i="6"/>
  <c r="R7" i="1" s="1"/>
  <c r="M19" i="81"/>
  <c r="C118" i="81" s="1"/>
  <c r="C15" i="74" s="1"/>
  <c r="B2" i="74" s="1"/>
  <c r="L19" i="81"/>
  <c r="C21" i="81" s="1"/>
  <c r="R21" i="6"/>
  <c r="F50" i="11"/>
  <c r="F50" i="69"/>
  <c r="F50" i="68"/>
  <c r="T16" i="1"/>
  <c r="D19" i="69"/>
  <c r="C10" i="69"/>
  <c r="C8" i="69" s="1"/>
  <c r="C5" i="69" s="1"/>
  <c r="C28" i="11"/>
  <c r="C27" i="11" s="1"/>
  <c r="C31" i="11" s="1"/>
  <c r="C21" i="12"/>
  <c r="C38" i="68"/>
  <c r="C35" i="68"/>
  <c r="C38" i="35"/>
  <c r="C30" i="43"/>
  <c r="E30" i="43" s="1"/>
  <c r="C27" i="43" s="1"/>
  <c r="E29" i="43"/>
  <c r="C26" i="43" s="1"/>
  <c r="B2" i="33"/>
  <c r="B3" i="33"/>
  <c r="R24" i="31" s="1"/>
  <c r="C102" i="81"/>
  <c r="C103" i="81"/>
  <c r="J19" i="15"/>
  <c r="F35" i="67"/>
  <c r="M21" i="67"/>
  <c r="E6" i="76"/>
  <c r="C33" i="11" l="1"/>
  <c r="C42" i="11" s="1"/>
  <c r="C19" i="15"/>
  <c r="C20" i="15" s="1"/>
  <c r="C26" i="15" s="1"/>
  <c r="C23" i="67"/>
  <c r="C29" i="67" s="1"/>
  <c r="F63" i="67"/>
  <c r="C62" i="67" s="1"/>
  <c r="C34" i="67"/>
  <c r="C31" i="67" s="1"/>
  <c r="J20" i="67"/>
  <c r="C39" i="11"/>
  <c r="D37" i="69"/>
  <c r="C37" i="69" s="1"/>
  <c r="C33" i="69" s="1"/>
  <c r="C19" i="69"/>
  <c r="R6" i="1"/>
  <c r="R27" i="6"/>
  <c r="C22" i="12"/>
  <c r="C30" i="12" s="1"/>
  <c r="C28" i="12" s="1"/>
  <c r="C23" i="69"/>
  <c r="D8" i="74"/>
  <c r="D7" i="74"/>
  <c r="I6" i="6"/>
  <c r="I5" i="6"/>
  <c r="C19" i="68"/>
  <c r="D37" i="68"/>
  <c r="C37" i="68" s="1"/>
  <c r="C33" i="68" s="1"/>
  <c r="E2" i="76"/>
  <c r="B2" i="43"/>
  <c r="R28" i="31"/>
  <c r="S28" i="31" s="1"/>
  <c r="R32" i="31"/>
  <c r="S32" i="31" s="1"/>
  <c r="R36" i="31"/>
  <c r="S36" i="31" s="1"/>
  <c r="R40" i="31"/>
  <c r="S40" i="31" s="1"/>
  <c r="S24" i="31"/>
  <c r="R29" i="31"/>
  <c r="S29" i="31" s="1"/>
  <c r="R33" i="31"/>
  <c r="S33" i="31" s="1"/>
  <c r="R37" i="31"/>
  <c r="S37" i="31" s="1"/>
  <c r="R26" i="31"/>
  <c r="S26" i="31" s="1"/>
  <c r="R30" i="31"/>
  <c r="S30" i="31" s="1"/>
  <c r="R34" i="31"/>
  <c r="S34" i="31" s="1"/>
  <c r="R38" i="31"/>
  <c r="S38" i="31" s="1"/>
  <c r="R25" i="31"/>
  <c r="S25" i="31" s="1"/>
  <c r="R27" i="31"/>
  <c r="S27" i="31" s="1"/>
  <c r="R31" i="31"/>
  <c r="S31" i="31" s="1"/>
  <c r="R35" i="31"/>
  <c r="S35" i="31" s="1"/>
  <c r="R39" i="31"/>
  <c r="S39" i="31" s="1"/>
  <c r="J19" i="67"/>
  <c r="B6" i="76"/>
  <c r="F35" i="15"/>
  <c r="M21" i="15"/>
  <c r="J17" i="67" l="1"/>
  <c r="Q49" i="67"/>
  <c r="C36" i="67"/>
  <c r="C57" i="67"/>
  <c r="C64" i="67" s="1"/>
  <c r="C13" i="67"/>
  <c r="C37" i="67" s="1"/>
  <c r="J14" i="67"/>
  <c r="J22" i="67" s="1"/>
  <c r="J59" i="67"/>
  <c r="J60" i="67" s="1"/>
  <c r="L46" i="67" s="1"/>
  <c r="C23" i="15"/>
  <c r="C29" i="15" s="1"/>
  <c r="J14" i="15" s="1"/>
  <c r="C27" i="12"/>
  <c r="C25" i="12" s="1"/>
  <c r="C32" i="12" s="1"/>
  <c r="B2" i="12" s="1"/>
  <c r="B3" i="12" s="1"/>
  <c r="C34" i="15"/>
  <c r="C31" i="15" s="1"/>
  <c r="F63" i="15"/>
  <c r="C62" i="15" s="1"/>
  <c r="J20" i="15"/>
  <c r="J17" i="15" s="1"/>
  <c r="C39" i="68"/>
  <c r="C42" i="68"/>
  <c r="C20" i="69"/>
  <c r="C24" i="69"/>
  <c r="C20" i="68"/>
  <c r="C25" i="68" s="1"/>
  <c r="C24" i="68"/>
  <c r="R16" i="1"/>
  <c r="C39" i="69"/>
  <c r="C42" i="69"/>
  <c r="C46" i="11"/>
  <c r="C45" i="11" s="1"/>
  <c r="C43" i="11"/>
  <c r="C41" i="11" s="1"/>
  <c r="B2" i="76"/>
  <c r="B3" i="76" s="1"/>
  <c r="B3" i="43"/>
  <c r="S22" i="31"/>
  <c r="Q48" i="67"/>
  <c r="C49" i="11" l="1"/>
  <c r="C51" i="11" s="1"/>
  <c r="C52" i="11" s="1"/>
  <c r="B2" i="11" s="1"/>
  <c r="B3" i="11" s="1"/>
  <c r="C30" i="67"/>
  <c r="C39" i="67" s="1"/>
  <c r="Q69" i="67" s="1"/>
  <c r="C61" i="67"/>
  <c r="C59" i="67" s="1"/>
  <c r="J13" i="67"/>
  <c r="J23" i="67" s="1"/>
  <c r="J16" i="67" s="1"/>
  <c r="J25" i="67" s="1"/>
  <c r="J26" i="67" s="1"/>
  <c r="J29" i="67" s="1"/>
  <c r="Q49" i="15"/>
  <c r="Q70" i="67"/>
  <c r="C75" i="67"/>
  <c r="C56" i="67"/>
  <c r="C65" i="67" s="1"/>
  <c r="C36" i="15"/>
  <c r="C13" i="15"/>
  <c r="C37" i="15" s="1"/>
  <c r="C57" i="15"/>
  <c r="C64" i="15" s="1"/>
  <c r="J59" i="15"/>
  <c r="J60" i="15" s="1"/>
  <c r="L46" i="15" s="1"/>
  <c r="C22" i="68"/>
  <c r="C46" i="69"/>
  <c r="C45" i="69" s="1"/>
  <c r="C43" i="69"/>
  <c r="C41" i="69" s="1"/>
  <c r="C28" i="68"/>
  <c r="C27" i="68" s="1"/>
  <c r="C25" i="69"/>
  <c r="C22" i="69" s="1"/>
  <c r="C28" i="69"/>
  <c r="C27" i="69" s="1"/>
  <c r="C46" i="68"/>
  <c r="C45" i="68" s="1"/>
  <c r="C43" i="68"/>
  <c r="C41" i="68" s="1"/>
  <c r="J13" i="15"/>
  <c r="J23" i="15" s="1"/>
  <c r="J22" i="15"/>
  <c r="R22" i="31"/>
  <c r="B21" i="31" s="1"/>
  <c r="C20" i="9"/>
  <c r="Q48" i="15" l="1"/>
  <c r="C40" i="67"/>
  <c r="C43" i="67" s="1"/>
  <c r="C80" i="67"/>
  <c r="C79" i="67" s="1"/>
  <c r="C58" i="67"/>
  <c r="C67" i="67" s="1"/>
  <c r="C68" i="67" s="1"/>
  <c r="C71" i="67" s="1"/>
  <c r="Q68" i="67"/>
  <c r="C56" i="15"/>
  <c r="C65" i="15" s="1"/>
  <c r="C75" i="15"/>
  <c r="C30" i="15"/>
  <c r="C39" i="15" s="1"/>
  <c r="Q69" i="15" s="1"/>
  <c r="Q70" i="15"/>
  <c r="C31" i="68"/>
  <c r="J16" i="15"/>
  <c r="J25" i="15" s="1"/>
  <c r="J26" i="15" s="1"/>
  <c r="J29" i="15" s="1"/>
  <c r="C61" i="15"/>
  <c r="C59" i="15" s="1"/>
  <c r="C58" i="15" s="1"/>
  <c r="C67" i="15" s="1"/>
  <c r="C68" i="15" s="1"/>
  <c r="C49" i="68"/>
  <c r="C51" i="68" s="1"/>
  <c r="C49" i="69"/>
  <c r="C51" i="69" s="1"/>
  <c r="C31" i="69"/>
  <c r="C56" i="11"/>
  <c r="C57" i="11" s="1"/>
  <c r="C103" i="9"/>
  <c r="L51" i="15"/>
  <c r="L51" i="67"/>
  <c r="Q67" i="67" l="1"/>
  <c r="Q65" i="67"/>
  <c r="Q75" i="67" s="1"/>
  <c r="C83" i="67"/>
  <c r="C82" i="67" s="1"/>
  <c r="Q47" i="67"/>
  <c r="Q53" i="67" s="1"/>
  <c r="D2" i="67"/>
  <c r="B3" i="67" s="1"/>
  <c r="Q56" i="67"/>
  <c r="Q62" i="67" s="1"/>
  <c r="C45" i="67"/>
  <c r="C46" i="67" s="1"/>
  <c r="C80" i="15"/>
  <c r="C79" i="15" s="1"/>
  <c r="C52" i="68"/>
  <c r="B2" i="68" s="1"/>
  <c r="B3" i="68" s="1"/>
  <c r="Q67" i="15"/>
  <c r="C40" i="15"/>
  <c r="Q47" i="15" s="1"/>
  <c r="Q53" i="15" s="1"/>
  <c r="C52" i="69"/>
  <c r="B2" i="69" s="1"/>
  <c r="B3" i="69" s="1"/>
  <c r="Q68" i="15"/>
  <c r="C71" i="15"/>
  <c r="D20" i="81"/>
  <c r="C57" i="69" l="1"/>
  <c r="C56" i="69" s="1"/>
  <c r="B2" i="67"/>
  <c r="C43" i="15"/>
  <c r="C46" i="15"/>
  <c r="C83" i="15"/>
  <c r="C82" i="15" s="1"/>
  <c r="C57" i="68"/>
  <c r="C56" i="68" s="1"/>
  <c r="B2" i="15"/>
  <c r="B3" i="15" s="1"/>
  <c r="Q65" i="15"/>
  <c r="Q75" i="15" s="1"/>
  <c r="Q56" i="15"/>
  <c r="Q62" i="15" s="1"/>
  <c r="G20" i="81"/>
  <c r="D103" i="81"/>
  <c r="D19" i="81"/>
  <c r="D20" i="9"/>
  <c r="D34" i="9"/>
  <c r="D35" i="9"/>
  <c r="D35" i="81"/>
  <c r="AO7" i="1"/>
  <c r="D34" i="81"/>
  <c r="F20" i="31"/>
  <c r="AO6" i="1"/>
  <c r="D19" i="9"/>
  <c r="B20" i="31" l="1"/>
  <c r="B7" i="70"/>
  <c r="G19" i="81"/>
  <c r="G21" i="81" s="1"/>
  <c r="D22" i="81"/>
  <c r="D102" i="81"/>
  <c r="D21" i="81"/>
  <c r="D102" i="9"/>
  <c r="D21" i="9"/>
  <c r="B6" i="70"/>
  <c r="G20" i="9"/>
  <c r="D103" i="9"/>
  <c r="C19" i="9"/>
  <c r="C21" i="9" l="1"/>
  <c r="C102" i="9"/>
  <c r="D22" i="9"/>
  <c r="G19" i="9"/>
  <c r="G21" i="9" s="1"/>
  <c r="C32" i="81"/>
  <c r="C35" i="81" s="1"/>
  <c r="C32" i="9"/>
  <c r="H118" i="9" s="1"/>
  <c r="B2" i="70"/>
  <c r="B3" i="70" s="1"/>
  <c r="C35" i="9" l="1"/>
  <c r="C34" i="9" s="1"/>
  <c r="D118" i="9" s="1"/>
  <c r="H118" i="81"/>
  <c r="I118" i="81" s="1"/>
  <c r="C104" i="9"/>
  <c r="H119" i="9"/>
  <c r="H5" i="52" s="1"/>
  <c r="D14" i="74"/>
  <c r="H101" i="9"/>
  <c r="I118" i="9"/>
  <c r="H4" i="52"/>
  <c r="F118" i="81"/>
  <c r="C34" i="81"/>
  <c r="D118" i="81" s="1"/>
  <c r="D119" i="81" s="1"/>
  <c r="F118" i="9" l="1"/>
  <c r="G118" i="9" s="1"/>
  <c r="G4" i="52" s="1"/>
  <c r="B52" i="72" s="1"/>
  <c r="H101" i="81"/>
  <c r="D15" i="74" s="1"/>
  <c r="F15" i="74" s="1"/>
  <c r="H119" i="81"/>
  <c r="C104" i="81"/>
  <c r="D119" i="9"/>
  <c r="D5" i="52" s="1"/>
  <c r="B49" i="72" s="1"/>
  <c r="D4" i="52"/>
  <c r="B47" i="72" s="1"/>
  <c r="D45" i="9"/>
  <c r="M48" i="9"/>
  <c r="D5" i="53"/>
  <c r="H107" i="9"/>
  <c r="F4" i="52"/>
  <c r="B51" i="72" s="1"/>
  <c r="C105" i="9"/>
  <c r="I4" i="52"/>
  <c r="H102" i="9"/>
  <c r="D7" i="53" s="1"/>
  <c r="B21" i="72" s="1"/>
  <c r="F14" i="74"/>
  <c r="E14" i="74"/>
  <c r="F119" i="81"/>
  <c r="G118" i="81"/>
  <c r="E118" i="81" s="1"/>
  <c r="H102" i="81"/>
  <c r="C105" i="81"/>
  <c r="F119" i="9" l="1"/>
  <c r="F5" i="52" s="1"/>
  <c r="B53" i="72" s="1"/>
  <c r="M48" i="81"/>
  <c r="D45" i="81"/>
  <c r="D52" i="81" s="1"/>
  <c r="E15" i="74"/>
  <c r="H107" i="81"/>
  <c r="G15" i="74" s="1"/>
  <c r="B5" i="74"/>
  <c r="D5" i="74" s="1"/>
  <c r="E118" i="9"/>
  <c r="E4" i="52" s="1"/>
  <c r="B48" i="72" s="1"/>
  <c r="M49" i="9"/>
  <c r="D13" i="53"/>
  <c r="D122" i="9"/>
  <c r="H108" i="9"/>
  <c r="D15" i="53" s="1"/>
  <c r="B31" i="72" s="1"/>
  <c r="B20" i="72"/>
  <c r="D6" i="53"/>
  <c r="B22" i="72" s="1"/>
  <c r="D53" i="9"/>
  <c r="D52" i="9"/>
  <c r="C85" i="9"/>
  <c r="C78" i="9"/>
  <c r="C73" i="9" s="1"/>
  <c r="C93" i="9"/>
  <c r="C86" i="9" s="1"/>
  <c r="C72" i="9"/>
  <c r="C64" i="9"/>
  <c r="C63" i="9" s="1"/>
  <c r="C67" i="9" s="1"/>
  <c r="C68" i="9" s="1"/>
  <c r="D54" i="9" s="1"/>
  <c r="D55" i="9"/>
  <c r="M53" i="9" s="1"/>
  <c r="C5" i="74"/>
  <c r="D122" i="81"/>
  <c r="D123" i="81" s="1"/>
  <c r="D55" i="81" l="1"/>
  <c r="M53" i="81" s="1"/>
  <c r="D53" i="81"/>
  <c r="C93" i="81"/>
  <c r="C86" i="81" s="1"/>
  <c r="C85" i="81"/>
  <c r="C72" i="81"/>
  <c r="C78" i="81"/>
  <c r="C73" i="81" s="1"/>
  <c r="C64" i="81"/>
  <c r="C63" i="81" s="1"/>
  <c r="C67" i="81" s="1"/>
  <c r="C68" i="81" s="1"/>
  <c r="D54" i="81" s="1"/>
  <c r="H108" i="81"/>
  <c r="M49" i="81"/>
  <c r="L66" i="81" s="1"/>
  <c r="M66" i="81" s="1"/>
  <c r="C79" i="9"/>
  <c r="D14" i="53"/>
  <c r="B32" i="72" s="1"/>
  <c r="B30" i="72"/>
  <c r="C95" i="9"/>
  <c r="C96" i="9" s="1"/>
  <c r="E96" i="9" s="1"/>
  <c r="E97" i="9" s="1"/>
  <c r="G14" i="74"/>
  <c r="B6" i="74" s="1"/>
  <c r="D8" i="52"/>
  <c r="D123" i="9"/>
  <c r="D9" i="52" s="1"/>
  <c r="L66" i="9"/>
  <c r="M66" i="9" s="1"/>
  <c r="L65" i="9"/>
  <c r="M65" i="9" s="1"/>
  <c r="L67" i="9"/>
  <c r="M67" i="9" s="1"/>
  <c r="L68" i="9"/>
  <c r="M68" i="9" s="1"/>
  <c r="L63" i="9"/>
  <c r="M63" i="9" s="1"/>
  <c r="L64" i="9"/>
  <c r="M64" i="9" s="1"/>
  <c r="C79" i="81" l="1"/>
  <c r="C80" i="81" s="1"/>
  <c r="E80" i="81" s="1"/>
  <c r="E81" i="81" s="1"/>
  <c r="C95" i="81"/>
  <c r="L65" i="81"/>
  <c r="M65" i="81" s="1"/>
  <c r="C97" i="9"/>
  <c r="D58" i="9" s="1"/>
  <c r="D56" i="9" s="1"/>
  <c r="M54" i="9" s="1"/>
  <c r="N57" i="9" s="1"/>
  <c r="P57" i="9" s="1"/>
  <c r="L63" i="81"/>
  <c r="M63" i="81" s="1"/>
  <c r="L64" i="81"/>
  <c r="M64" i="81" s="1"/>
  <c r="L68" i="81"/>
  <c r="M68" i="81" s="1"/>
  <c r="L67" i="81"/>
  <c r="M67" i="81" s="1"/>
  <c r="C80" i="9"/>
  <c r="E80" i="9" s="1"/>
  <c r="E81" i="9" s="1"/>
  <c r="M69" i="9"/>
  <c r="N69" i="9" s="1"/>
  <c r="D6" i="74"/>
  <c r="C6" i="74"/>
  <c r="C81" i="81"/>
  <c r="C96" i="81"/>
  <c r="E96" i="81" s="1"/>
  <c r="E97" i="81" s="1"/>
  <c r="N59" i="9" l="1"/>
  <c r="N60" i="9" s="1"/>
  <c r="N58" i="9"/>
  <c r="M69" i="81"/>
  <c r="N69" i="81" s="1"/>
  <c r="C81" i="9"/>
  <c r="C97" i="81"/>
  <c r="D58" i="81" s="1"/>
  <c r="D56" i="81" s="1"/>
  <c r="M54" i="81" s="1"/>
  <c r="N57" i="81" s="1"/>
  <c r="N61" i="9" l="1"/>
  <c r="N59" i="81"/>
  <c r="P57" i="81"/>
  <c r="N58"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<sst xmlns="http://schemas.openxmlformats.org/spreadsheetml/2006/main" count="7979" uniqueCount="3267">
  <si>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</si>
  <si>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</si>
  <si>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</si>
  <si>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</si>
  <si>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</si>
  <si>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</si>
  <si>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</si>
  <si>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</si>
  <si>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</si>
  <si>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</si>
  <si>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</si>
  <si>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</si>
  <si>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</si>
  <si>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</si>
  <si>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</si>
  <si>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</si>
  <si>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</si>
  <si>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</si>
  <si>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</si>
  <si>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</si>
  <si>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</si>
  <si>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</si>
  <si>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</si>
  <si>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</si>
  <si>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</si>
  <si>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</si>
  <si>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</si>
  <si>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</si>
  <si>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</si>
  <si>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</si>
  <si>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</si>
  <si>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</si>
  <si>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</si>
  <si>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</si>
  <si>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</si>
  <si>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</si>
  <si>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</si>
  <si>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</si>
  <si>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</si>
  <si>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</si>
  <si>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</si>
  <si>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</si>
  <si>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</si>
  <si>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</si>
  <si>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</si>
  <si>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</si>
  <si>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</si>
  <si>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</si>
  <si>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</si>
  <si>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</si>
  <si>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</si>
  <si>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</si>
  <si>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</si>
  <si>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</si>
  <si>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</si>
  <si>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</si>
  <si>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</si>
  <si>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</si>
  <si>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</si>
  <si>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</si>
  <si>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</si>
  <si>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</si>
  <si>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</si>
  <si>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</si>
  <si>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</si>
  <si>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</si>
  <si>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</si>
  <si>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</si>
  <si>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</si>
  <si>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</si>
  <si>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</si>
  <si>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</si>
  <si>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</si>
  <si>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</si>
  <si>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</si>
  <si>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</si>
  <si>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</si>
  <si>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</si>
  <si>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</si>
  <si>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</si>
  <si>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</si>
  <si>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</si>
  <si>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</si>
  <si>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</si>
  <si>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</si>
  <si>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</si>
  <si>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</si>
  <si>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</si>
  <si>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</si>
  <si>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</si>
  <si>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</si>
  <si>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</si>
  <si>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</si>
  <si>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</si>
  <si>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</si>
  <si>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</si>
  <si>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</si>
  <si>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</si>
  <si>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</si>
  <si>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</si>
  <si>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</si>
  <si>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</si>
  <si>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</si>
  <si>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</si>
  <si>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</si>
  <si>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</si>
  <si>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</si>
  <si>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</si>
  <si>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</si>
  <si>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</si>
  <si>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</si>
  <si>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</si>
  <si>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</si>
  <si>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</si>
  <si>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</si>
  <si>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</si>
  <si>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</si>
  <si>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</si>
  <si>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</si>
  <si>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</si>
  <si>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</si>
  <si>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</si>
  <si>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</si>
  <si>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</si>
  <si>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</si>
  <si>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</si>
  <si>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</si>
  <si>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</si>
  <si>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</si>
  <si>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</si>
  <si>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</si>
  <si>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</si>
  <si>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</si>
  <si>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</si>
  <si>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</si>
  <si>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</si>
  <si>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</si>
  <si>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</si>
  <si>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</si>
  <si>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</si>
  <si>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</si>
  <si>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</si>
  <si>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</si>
  <si>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</si>
  <si>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</si>
  <si>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</si>
  <si>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</si>
  <si>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</si>
  <si>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</si>
  <si>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</si>
  <si>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</si>
  <si>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</si>
  <si>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</si>
  <si>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</si>
  <si>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</si>
  <si>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</si>
  <si>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</si>
  <si>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</si>
  <si>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</si>
  <si>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</si>
  <si>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</si>
  <si>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</si>
  <si>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</si>
  <si>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</si>
  <si>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</si>
  <si>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</si>
  <si>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</si>
  <si>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</si>
  <si>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</si>
  <si>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</si>
  <si>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</si>
  <si>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</si>
  <si>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</si>
  <si>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</si>
  <si>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</si>
  <si>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</si>
  <si>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</si>
  <si>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</si>
  <si>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</si>
  <si>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</si>
  <si>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</si>
  <si>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</si>
  <si>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</si>
  <si>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</si>
  <si>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</si>
  <si>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</si>
  <si>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</si>
  <si>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</si>
  <si>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</si>
  <si>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</si>
  <si>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</si>
  <si>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</si>
  <si>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</si>
  <si>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</si>
  <si>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</si>
  <si>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</si>
  <si>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</si>
  <si>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</si>
  <si>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</si>
  <si>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</si>
  <si>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</si>
  <si>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</si>
  <si>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</si>
  <si>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</si>
  <si>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</si>
  <si>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</si>
  <si>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</si>
  <si>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</si>
  <si>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</si>
  <si>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</si>
  <si>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</si>
  <si>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</si>
  <si>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</si>
  <si>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</si>
  <si>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</si>
  <si>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</si>
  <si>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</si>
  <si>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</si>
  <si>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</si>
  <si>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</si>
  <si>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</si>
  <si>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</si>
  <si>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</si>
  <si>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</si>
  <si>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</si>
  <si>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</si>
  <si>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</si>
  <si>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</si>
  <si>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</si>
  <si>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</si>
  <si>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</si>
  <si>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</si>
  <si>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</si>
  <si>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</si>
  <si>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</si>
  <si>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</si>
  <si>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</si>
  <si>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</si>
  <si>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</si>
  <si>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</si>
  <si>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</si>
  <si>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</si>
  <si>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</si>
  <si>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</si>
  <si>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</si>
  <si>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</si>
  <si>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</si>
  <si>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</si>
  <si>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</si>
  <si>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</si>
  <si>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</si>
  <si>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</si>
  <si>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</si>
  <si>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</si>
  <si>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</si>
  <si>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</si>
  <si>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</si>
  <si>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</si>
  <si>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</si>
  <si>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</si>
  <si>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</si>
  <si>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</si>
  <si>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</si>
  <si>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</si>
  <si>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</si>
  <si>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</si>
  <si>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</si>
  <si>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</si>
  <si>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</si>
  <si>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</si>
  <si>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</si>
  <si>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</si>
  <si>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</si>
  <si>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</si>
  <si>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</si>
  <si>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</si>
  <si>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</si>
  <si>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</si>
  <si>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</si>
  <si>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</si>
  <si>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</si>
  <si>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</si>
  <si>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</si>
  <si>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</si>
  <si>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</si>
  <si>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</si>
  <si>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</si>
  <si>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</si>
  <si>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</si>
  <si>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</si>
  <si>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</si>
  <si>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</si>
  <si>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</si>
  <si>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</si>
  <si>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</si>
  <si>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</si>
  <si>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</si>
  <si>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</si>
  <si>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</si>
  <si>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</si>
  <si>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</si>
  <si>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</si>
  <si>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</si>
  <si>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</si>
  <si>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</si>
  <si>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</si>
  <si>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</si>
  <si>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</si>
  <si>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</si>
  <si>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</si>
  <si>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</si>
  <si>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</si>
  <si>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</si>
  <si>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</si>
  <si>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</si>
  <si>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</si>
  <si>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</si>
  <si>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</si>
  <si>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</si>
  <si>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</si>
  <si>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</si>
  <si>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</si>
  <si>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</si>
  <si>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</si>
  <si>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</si>
  <si>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</si>
  <si>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</si>
  <si>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</si>
  <si>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</si>
  <si>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</si>
  <si>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</si>
  <si>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</si>
  <si>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</si>
  <si>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</si>
  <si>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</si>
  <si>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</si>
  <si>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</si>
  <si>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</si>
  <si>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</si>
  <si>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</si>
  <si>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</si>
  <si>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</si>
  <si>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</si>
  <si>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</si>
  <si>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</si>
  <si>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</si>
  <si>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</si>
  <si>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</si>
  <si>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</si>
  <si>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</si>
  <si>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</si>
  <si>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</si>
  <si>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</si>
  <si>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</si>
  <si>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</si>
  <si>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</si>
  <si>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</si>
  <si>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</si>
  <si>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</si>
  <si>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</si>
  <si>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</si>
  <si>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</si>
  <si>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</si>
  <si>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</si>
  <si>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</si>
  <si>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</si>
  <si>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</si>
  <si>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</si>
  <si>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</si>
  <si>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</si>
  <si>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</si>
  <si>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</si>
  <si>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</si>
  <si>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</si>
  <si>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</si>
  <si>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</si>
  <si>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</si>
  <si>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</si>
  <si>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</si>
  <si>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</si>
  <si>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</si>
  <si>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</si>
  <si>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</si>
  <si>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</si>
  <si>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</si>
  <si>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</si>
  <si>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</si>
  <si>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</si>
  <si>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</si>
  <si>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</si>
  <si>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</si>
  <si>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</si>
  <si>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</si>
  <si>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</si>
  <si>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</si>
  <si>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</si>
  <si>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</si>
  <si>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</si>
  <si>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</si>
  <si>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</si>
  <si>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</si>
  <si>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</si>
  <si>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</si>
  <si>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</si>
  <si>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</si>
  <si>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</si>
  <si>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</si>
  <si>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</si>
  <si>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</si>
  <si>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</si>
  <si>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</si>
  <si>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</si>
  <si>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</si>
  <si>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</si>
  <si>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</si>
  <si>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</si>
  <si>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</si>
  <si>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</si>
  <si>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</si>
  <si>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</si>
  <si>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</si>
  <si>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</si>
  <si>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</si>
  <si>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</si>
  <si>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</si>
  <si>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</si>
  <si>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</si>
  <si>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</si>
  <si>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</si>
  <si>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</si>
  <si>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</si>
  <si>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</si>
  <si>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</si>
  <si>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</si>
  <si>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</si>
  <si>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</si>
  <si>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</si>
  <si>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</si>
  <si>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</si>
  <si>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</si>
  <si>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</si>
  <si>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</si>
  <si>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</si>
  <si>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</si>
  <si>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</si>
  <si>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</si>
  <si>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</si>
  <si>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</si>
  <si>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</si>
  <si>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</si>
  <si>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</si>
  <si>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</si>
  <si>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</si>
  <si>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</si>
  <si>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</si>
  <si>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</si>
  <si>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</si>
  <si>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</si>
  <si>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</si>
  <si>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</si>
  <si>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</si>
  <si>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</si>
  <si>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</si>
  <si>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</si>
  <si>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</si>
  <si>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</si>
  <si>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</si>
  <si>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</si>
  <si>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</si>
  <si>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</si>
  <si>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</si>
  <si>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</si>
  <si>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</si>
  <si>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</si>
  <si>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</si>
  <si>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</si>
  <si>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</si>
  <si>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</si>
  <si>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</si>
  <si>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</si>
  <si>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</si>
  <si>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</si>
  <si>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</si>
  <si>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</si>
  <si>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</si>
  <si>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</si>
  <si>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</si>
  <si>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</si>
  <si>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</si>
  <si>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</si>
  <si>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</si>
  <si>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</si>
  <si>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</si>
  <si>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</si>
  <si>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</si>
  <si>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</si>
  <si>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</si>
  <si>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</si>
  <si>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</si>
  <si>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</si>
  <si>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</si>
  <si>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</si>
  <si>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</si>
  <si>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</si>
  <si>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</si>
  <si>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</si>
  <si>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</si>
  <si>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</si>
  <si>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</si>
  <si>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</si>
  <si>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</si>
  <si>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</si>
  <si>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</si>
  <si>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</si>
  <si>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</si>
  <si>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</si>
  <si>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</si>
  <si>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</si>
  <si>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</si>
  <si>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</si>
  <si>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</si>
  <si>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</si>
  <si>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</si>
  <si>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</si>
  <si>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</si>
  <si>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</si>
  <si>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</si>
  <si>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</si>
  <si>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</si>
  <si>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</si>
  <si>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</si>
  <si>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</si>
  <si>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</si>
  <si>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</si>
  <si>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</si>
  <si>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</si>
  <si>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</si>
  <si>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</si>
  <si>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</si>
  <si>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</si>
  <si>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</si>
  <si>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</si>
  <si>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</si>
  <si>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</si>
  <si>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</si>
  <si>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</si>
  <si>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</si>
  <si>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</si>
  <si>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</si>
  <si>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</si>
  <si>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</si>
  <si>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</si>
  <si>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</si>
  <si>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</si>
  <si>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</si>
  <si>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</si>
  <si>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</si>
  <si>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</si>
  <si>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</si>
  <si>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</si>
  <si>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</si>
  <si>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</si>
  <si>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</si>
  <si>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</si>
  <si>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</si>
  <si>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</si>
  <si>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</si>
  <si>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</si>
  <si>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</si>
  <si>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</si>
  <si>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</si>
  <si>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</si>
  <si>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</si>
  <si>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</si>
  <si>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</si>
  <si>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</si>
  <si>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</si>
  <si>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</si>
  <si>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</si>
  <si>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</si>
  <si>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</si>
  <si>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</si>
  <si>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</si>
  <si>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</si>
  <si>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</si>
  <si>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</si>
  <si>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</si>
  <si>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</si>
  <si>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</si>
  <si>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</si>
  <si>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</si>
  <si>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</si>
  <si>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</si>
  <si>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</si>
  <si>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</si>
  <si>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</si>
  <si>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</si>
  <si>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</si>
  <si>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</si>
  <si>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</si>
  <si>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</si>
  <si>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</si>
  <si>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</si>
  <si>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</si>
  <si>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</si>
  <si>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</si>
  <si>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</si>
  <si>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</si>
  <si>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</si>
  <si>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</si>
  <si>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</si>
  <si>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</si>
  <si>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</si>
  <si>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</si>
  <si>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</si>
  <si>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</si>
  <si>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</si>
  <si>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</si>
  <si>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</si>
  <si>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</si>
  <si>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</si>
  <si>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</si>
  <si>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</si>
  <si>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</si>
  <si>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</si>
  <si>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</si>
  <si>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</si>
  <si>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</si>
  <si>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</si>
  <si>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</si>
  <si>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</si>
  <si>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</si>
  <si>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</si>
  <si>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</si>
  <si>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</si>
  <si>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</si>
  <si>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</si>
  <si>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</si>
  <si>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</si>
  <si>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</si>
  <si>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</si>
  <si>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</si>
  <si>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</si>
  <si>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</si>
  <si>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</si>
  <si>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</si>
  <si>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</si>
  <si>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</si>
  <si>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</si>
  <si>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</si>
  <si>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</si>
  <si>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</si>
  <si>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</si>
  <si>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</si>
  <si>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</si>
  <si>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</si>
  <si>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</si>
  <si>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</si>
  <si>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</si>
  <si>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</si>
  <si>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</si>
  <si>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</si>
  <si>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</si>
  <si>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</si>
  <si>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</si>
  <si>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</si>
  <si>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</si>
  <si>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</si>
  <si>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</si>
  <si>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</si>
  <si>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</si>
  <si>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</si>
  <si>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</si>
  <si>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</si>
  <si>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</si>
  <si>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</si>
  <si>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</si>
  <si>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</si>
  <si>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</si>
  <si>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</si>
  <si>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</si>
  <si>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</si>
  <si>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</si>
  <si>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</si>
  <si>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</si>
  <si>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</si>
  <si>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</si>
  <si>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</si>
  <si>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</si>
  <si>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</si>
  <si>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</si>
  <si>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</si>
  <si>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</si>
  <si>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</si>
  <si>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</si>
  <si>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</si>
  <si>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</si>
  <si>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</si>
  <si>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</si>
  <si>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</si>
  <si>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</si>
  <si>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</si>
  <si>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</si>
  <si>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</si>
  <si>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</si>
  <si>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</si>
  <si>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</si>
  <si>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</si>
  <si>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</si>
  <si>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</si>
  <si>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</si>
  <si>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</si>
  <si>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</si>
  <si>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</si>
  <si>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</si>
  <si>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</si>
  <si>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</si>
  <si>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</si>
  <si>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</si>
  <si>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</si>
  <si>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</si>
  <si>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</si>
  <si>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</si>
  <si>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</si>
  <si>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</si>
  <si>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</si>
  <si>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</si>
  <si>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</si>
  <si>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</si>
  <si>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</si>
  <si>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</si>
  <si>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</si>
  <si>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</si>
  <si>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</si>
  <si>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</si>
  <si>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</si>
  <si>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</si>
  <si>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</si>
  <si>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</si>
  <si>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</si>
  <si>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</si>
  <si>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</si>
  <si>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</si>
  <si>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</si>
  <si>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</si>
  <si>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</si>
  <si>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</si>
  <si>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</si>
  <si>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</si>
  <si>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</si>
  <si>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</si>
  <si>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</si>
  <si>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</si>
  <si>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</si>
  <si>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</si>
  <si>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</si>
  <si>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</si>
  <si>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</si>
  <si>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</si>
  <si>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</si>
  <si>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</si>
  <si>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</si>
  <si>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</si>
  <si>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</si>
  <si>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</si>
  <si>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</si>
  <si>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</si>
  <si>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</si>
  <si>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</si>
  <si>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</si>
  <si>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</si>
  <si>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</si>
  <si>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</si>
  <si>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</si>
  <si>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</si>
  <si>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</si>
  <si>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</si>
  <si>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</si>
  <si>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</si>
  <si>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</si>
  <si>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</si>
  <si>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</si>
  <si>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</si>
  <si>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</si>
  <si>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</si>
  <si>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</si>
  <si>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</si>
  <si>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</si>
  <si>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</si>
  <si>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</si>
  <si>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</si>
  <si>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</si>
  <si>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</si>
  <si>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</si>
  <si>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</si>
  <si>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</si>
  <si>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</si>
  <si>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</si>
  <si>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</si>
  <si>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</si>
  <si>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</si>
  <si>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</si>
  <si>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</si>
  <si>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</si>
  <si>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</si>
  <si>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</si>
  <si>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</si>
  <si>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</si>
  <si>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</si>
  <si>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</si>
  <si>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</si>
  <si>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</si>
  <si>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</si>
  <si>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</si>
  <si>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</si>
  <si>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</si>
  <si>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</si>
  <si>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</si>
  <si>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</si>
  <si>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</si>
  <si>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</si>
  <si>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</si>
  <si>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</si>
  <si>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</si>
  <si>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</si>
  <si>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</si>
  <si>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</si>
  <si>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</si>
  <si>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</si>
  <si>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</si>
  <si>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</si>
  <si>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</si>
  <si>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</si>
  <si>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</si>
  <si>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</si>
  <si>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</si>
  <si>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</si>
  <si>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</si>
  <si>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</si>
  <si>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</si>
  <si>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</si>
  <si>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</si>
  <si>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</si>
  <si>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</si>
  <si>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</si>
  <si>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</si>
  <si>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</si>
  <si>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</si>
  <si>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</si>
  <si>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</si>
  <si>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</si>
  <si>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</si>
  <si>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</si>
  <si>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</si>
  <si>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</si>
  <si>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</si>
  <si>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</si>
  <si>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</si>
  <si>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</si>
  <si>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</si>
  <si>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</si>
  <si>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</si>
  <si>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</si>
  <si>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</si>
  <si>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</si>
  <si>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</si>
  <si>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</si>
  <si>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</si>
  <si>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</si>
  <si>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</si>
  <si>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</si>
  <si>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</si>
  <si>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</si>
  <si>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</si>
  <si>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</si>
  <si>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</si>
  <si>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</si>
  <si>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</si>
  <si>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</si>
  <si>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</si>
  <si>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</si>
  <si>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</si>
  <si>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</si>
  <si>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</si>
  <si>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</si>
  <si>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</si>
  <si>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</si>
  <si>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</si>
  <si>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</si>
  <si>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</si>
  <si>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</si>
  <si>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</si>
  <si>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</si>
  <si>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</si>
  <si>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</si>
  <si>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</si>
  <si>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</si>
  <si>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</si>
  <si>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</si>
  <si>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</si>
  <si>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</si>
  <si>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</si>
  <si>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</si>
  <si>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</si>
  <si>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</si>
  <si>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</si>
  <si>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</si>
  <si>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</si>
  <si>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</si>
  <si>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</si>
  <si>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</si>
  <si>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</si>
  <si>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</si>
  <si>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</si>
  <si>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</si>
  <si>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</si>
  <si>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</si>
  <si>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</si>
  <si>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</si>
  <si>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</si>
  <si>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</si>
  <si>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</si>
  <si>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</si>
  <si>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</si>
  <si>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</si>
  <si>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</si>
  <si>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</si>
  <si>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</si>
  <si>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</si>
  <si>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</si>
  <si>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</si>
  <si>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</si>
  <si>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</si>
  <si>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</si>
  <si>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</si>
  <si>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</si>
  <si>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</si>
  <si>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</si>
  <si>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</si>
  <si>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</si>
  <si>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</si>
  <si>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</si>
  <si>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</si>
  <si>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</si>
  <si>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</si>
  <si>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</si>
  <si>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</si>
  <si>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</si>
  <si>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</si>
  <si>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</si>
  <si>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</si>
  <si>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</si>
  <si>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</si>
  <si>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</si>
  <si>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</si>
  <si>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</si>
  <si>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</si>
  <si>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</si>
  <si>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</si>
  <si>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</si>
  <si>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</si>
  <si>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</si>
  <si>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</si>
  <si>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</si>
  <si>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</si>
  <si>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</si>
  <si>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</si>
  <si>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</si>
  <si>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</si>
  <si>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</si>
  <si>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</si>
  <si>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</si>
  <si>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</si>
  <si>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</si>
  <si>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</si>
  <si>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</si>
  <si>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</si>
  <si>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</si>
  <si>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</si>
  <si>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</si>
  <si>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</si>
  <si>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</si>
  <si>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</si>
  <si>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</si>
  <si>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</si>
  <si>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</si>
  <si>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</si>
  <si>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</si>
  <si>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</si>
  <si>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</si>
  <si>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</si>
  <si>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</si>
  <si>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</si>
  <si>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</si>
  <si>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</si>
  <si>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</si>
  <si>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</si>
  <si>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</si>
  <si>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</si>
  <si>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</si>
  <si>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</si>
  <si>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</si>
  <si>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</si>
  <si>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</si>
  <si>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</si>
  <si>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</si>
  <si>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</si>
  <si>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</si>
  <si>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</si>
  <si>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</si>
  <si>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</si>
  <si>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</si>
  <si>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</si>
  <si>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</si>
  <si>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</si>
  <si>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</si>
  <si>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</si>
  <si>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</si>
  <si>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</si>
  <si>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</si>
  <si>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</si>
  <si>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</si>
  <si>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</si>
  <si>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</si>
  <si>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</si>
  <si>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</si>
  <si>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</si>
  <si>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</si>
  <si>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</si>
  <si>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</si>
  <si>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</si>
  <si>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</si>
  <si>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</si>
  <si>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</si>
  <si>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</si>
  <si>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</si>
  <si>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</si>
  <si>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</si>
  <si>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</si>
  <si>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</si>
  <si>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</si>
  <si>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</si>
  <si>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</si>
  <si>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</si>
  <si>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</si>
  <si>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</si>
  <si>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</si>
  <si>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</si>
  <si>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</si>
  <si>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</si>
  <si>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</si>
  <si>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</si>
  <si>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</si>
  <si>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</si>
  <si>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</si>
  <si>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</si>
  <si>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</si>
  <si>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</si>
  <si>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</si>
  <si>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</si>
  <si>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</si>
  <si>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</si>
  <si>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</si>
  <si>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</si>
  <si>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</si>
  <si>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</si>
  <si>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</si>
  <si>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</si>
  <si>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</si>
  <si>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</si>
  <si>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</si>
  <si>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</si>
  <si>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</si>
  <si>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</si>
  <si>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</si>
  <si>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</si>
  <si>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</si>
  <si>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</si>
  <si>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</si>
  <si>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</si>
  <si>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</si>
  <si>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</si>
  <si>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</si>
  <si>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</si>
  <si>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</si>
  <si>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</si>
  <si>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</si>
  <si>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</si>
  <si>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</si>
  <si>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</si>
  <si>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</si>
  <si>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</si>
  <si>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</si>
  <si>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</si>
  <si>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</si>
  <si>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</si>
  <si>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</si>
  <si>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</si>
  <si>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</si>
  <si>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</si>
  <si>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</si>
  <si>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</si>
  <si>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</si>
  <si>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</si>
  <si>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</si>
  <si>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</si>
  <si>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</si>
  <si>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</si>
  <si>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</si>
  <si>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</si>
  <si>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</si>
  <si>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</si>
  <si>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</si>
  <si>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</si>
  <si>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</si>
  <si>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</si>
  <si>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</si>
  <si>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</si>
  <si>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</si>
  <si>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</si>
  <si>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</si>
  <si>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</si>
  <si>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</si>
  <si>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</si>
  <si>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</si>
  <si>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</si>
  <si>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</si>
  <si>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</si>
  <si>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</si>
  <si>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</si>
  <si>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</si>
  <si>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</si>
  <si>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</si>
  <si>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</si>
  <si>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</si>
  <si>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</si>
  <si>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</si>
  <si>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</si>
  <si>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</si>
  <si>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</si>
  <si>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</si>
  <si>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</si>
  <si>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</si>
  <si>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</si>
  <si>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</si>
  <si>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</si>
  <si>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</si>
  <si>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</si>
  <si>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</si>
  <si>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</si>
  <si>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</si>
  <si>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</si>
  <si>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</si>
  <si>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</si>
  <si>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</si>
  <si>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</si>
  <si>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</si>
  <si>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</si>
  <si>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</si>
  <si>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</si>
  <si>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</si>
  <si>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</si>
  <si>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</si>
  <si>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</si>
  <si>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</si>
  <si>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</si>
  <si>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</si>
  <si>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</si>
  <si>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</si>
  <si>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</si>
  <si>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</si>
  <si>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</si>
  <si>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</si>
  <si>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</si>
  <si>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</si>
  <si>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</si>
  <si>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</si>
  <si>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</si>
  <si>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</si>
  <si>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</si>
  <si>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</si>
  <si>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</si>
  <si>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</si>
  <si>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</si>
  <si>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</si>
  <si>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</si>
  <si>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</si>
  <si>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</si>
  <si>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</si>
  <si>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</si>
  <si>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</si>
  <si>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</si>
  <si>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</si>
  <si>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</si>
  <si>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</si>
  <si>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</si>
  <si>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</si>
  <si>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</si>
  <si>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</si>
  <si>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</si>
  <si>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</si>
  <si>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</si>
  <si>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</si>
  <si>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</si>
  <si>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</si>
  <si>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</si>
  <si>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</si>
  <si>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</si>
  <si>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</si>
  <si>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</si>
  <si>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</si>
  <si>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</si>
  <si>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</si>
  <si>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</si>
  <si>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</si>
  <si>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</si>
  <si>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</si>
  <si>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</si>
  <si>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</si>
  <si>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</si>
  <si>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</si>
  <si>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</si>
  <si>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</si>
  <si>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</si>
  <si>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</si>
  <si>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</si>
  <si>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</si>
  <si>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</si>
  <si>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</si>
  <si>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</si>
  <si>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</si>
  <si>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</si>
  <si>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</si>
  <si>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</si>
  <si>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</si>
  <si>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</si>
  <si>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</si>
  <si>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</si>
  <si>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</si>
  <si>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</si>
  <si>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</si>
  <si>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</si>
  <si>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</si>
  <si>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</si>
  <si>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</si>
  <si>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</si>
  <si>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</si>
  <si>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</si>
  <si>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</si>
  <si>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</si>
  <si>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</si>
  <si>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</si>
  <si>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</si>
  <si>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</si>
  <si>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</si>
  <si>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</si>
  <si>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</si>
  <si>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</si>
  <si>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</si>
  <si>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</si>
  <si>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</si>
  <si>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</si>
  <si>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</si>
  <si>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</si>
  <si>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</si>
  <si>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</si>
  <si>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</si>
  <si>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</si>
  <si>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</si>
  <si>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</si>
  <si>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</si>
  <si>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</si>
  <si>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</si>
  <si>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</si>
  <si>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</si>
  <si>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</si>
  <si>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</si>
  <si>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</si>
  <si>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</si>
  <si>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</si>
  <si>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</si>
  <si>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</si>
  <si>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</si>
  <si>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</si>
  <si>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</si>
  <si>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</si>
  <si>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</si>
  <si>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</si>
  <si>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</si>
  <si>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</si>
  <si>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</si>
  <si>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</si>
  <si>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</si>
  <si>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</si>
  <si>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</si>
  <si>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</si>
  <si>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</si>
  <si>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</si>
  <si>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</si>
  <si>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</si>
  <si>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</si>
  <si>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</si>
  <si>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</si>
  <si>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</si>
  <si>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</si>
  <si>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</si>
  <si>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</si>
  <si>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</si>
  <si>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</si>
  <si>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</si>
  <si>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</si>
  <si>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</si>
  <si>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</si>
  <si>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</si>
  <si>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</si>
  <si>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</si>
  <si>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</si>
  <si>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</si>
  <si>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</si>
  <si>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</si>
  <si>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</si>
  <si>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</si>
  <si>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</si>
  <si>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</si>
  <si>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</si>
  <si>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</si>
  <si>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</si>
  <si>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</si>
  <si>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</si>
  <si>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</si>
  <si>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</si>
  <si>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</si>
  <si>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</si>
  <si>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</si>
  <si>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</si>
  <si>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</si>
  <si>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</si>
  <si>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</si>
  <si>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</si>
  <si>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</si>
  <si>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</si>
  <si>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</si>
  <si>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</si>
  <si>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</si>
  <si>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</si>
  <si>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</si>
  <si>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</si>
  <si>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</si>
  <si>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</si>
  <si>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</si>
  <si>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</si>
  <si>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</si>
  <si>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</si>
  <si>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</si>
  <si>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</si>
  <si>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</si>
  <si>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</si>
  <si>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</si>
  <si>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</si>
  <si>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</si>
  <si>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</si>
  <si>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</si>
  <si>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</si>
  <si>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</si>
  <si>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</si>
  <si>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</si>
  <si>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</si>
  <si>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</si>
  <si>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</si>
  <si>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</si>
  <si>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</si>
  <si>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</si>
  <si>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</si>
  <si>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</si>
  <si>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</si>
  <si>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</si>
  <si>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</si>
  <si>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</si>
  <si>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</si>
  <si>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</si>
  <si>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</si>
  <si>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</si>
  <si>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</si>
  <si>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</si>
  <si>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</si>
  <si>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</si>
  <si>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</si>
  <si>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</si>
  <si>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</si>
  <si>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</si>
  <si>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</si>
  <si>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</si>
  <si>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</si>
  <si>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</si>
  <si>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</si>
  <si>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</si>
  <si>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</si>
  <si>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</si>
  <si>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</si>
  <si>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</si>
  <si>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</si>
  <si>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</si>
  <si>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</si>
  <si>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</si>
  <si>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</si>
  <si>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</si>
  <si>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</si>
  <si>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</si>
  <si>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</si>
  <si>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</si>
  <si>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</si>
  <si>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</si>
  <si>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</si>
  <si>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</si>
  <si>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</si>
  <si>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</si>
  <si>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</si>
  <si>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</si>
  <si>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</si>
  <si>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</si>
  <si>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</si>
  <si>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</si>
  <si>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</si>
  <si>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</si>
  <si>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</si>
  <si>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</si>
  <si>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</si>
  <si>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</si>
  <si>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</si>
  <si>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</si>
  <si>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</si>
  <si>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</si>
  <si>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</si>
  <si>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</si>
  <si>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</si>
  <si>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</si>
  <si>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</si>
  <si>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</si>
  <si>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</si>
  <si>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</si>
  <si>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</si>
  <si>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</si>
  <si>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</si>
  <si>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</si>
  <si>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</si>
  <si>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</si>
  <si>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</si>
  <si>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</si>
  <si>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</si>
  <si>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</si>
  <si>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</si>
  <si>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</si>
  <si>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</si>
  <si>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</si>
  <si>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</si>
  <si>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</si>
  <si>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</si>
  <si>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</si>
  <si>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</si>
  <si>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</si>
  <si>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</si>
  <si>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</si>
  <si>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</si>
  <si>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</si>
  <si>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</si>
  <si>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</si>
  <si>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</si>
  <si>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</si>
  <si>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</si>
  <si>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</si>
  <si>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</si>
  <si>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</si>
  <si>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</si>
  <si>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</si>
  <si>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</si>
  <si>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</si>
  <si>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</si>
  <si>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</si>
  <si>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</si>
  <si>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</si>
  <si>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</si>
  <si>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</si>
  <si>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</si>
  <si>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</si>
  <si>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</si>
  <si>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</si>
  <si>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</si>
  <si>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</si>
  <si>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</si>
  <si>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</si>
  <si>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</si>
  <si>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</si>
  <si>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</si>
  <si>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</si>
  <si>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</si>
  <si>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</si>
  <si>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</si>
  <si>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</si>
  <si>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</si>
  <si>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</si>
  <si>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</si>
  <si>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</si>
  <si>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</si>
  <si>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</si>
  <si>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</si>
  <si>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</si>
  <si>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</si>
  <si>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</si>
  <si>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</si>
  <si>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</si>
  <si>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</si>
  <si>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</si>
  <si>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</si>
  <si>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</si>
  <si>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</si>
  <si>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</si>
  <si>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</si>
  <si>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</si>
  <si>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</si>
  <si>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</si>
  <si>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</si>
  <si>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</si>
  <si>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</si>
  <si>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</si>
  <si>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</si>
  <si>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</si>
  <si>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</si>
  <si>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</si>
  <si>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</si>
  <si>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</si>
  <si>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</si>
  <si>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</si>
  <si>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</si>
  <si>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</si>
  <si>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</si>
  <si>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</si>
  <si>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</si>
  <si>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</si>
  <si>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</si>
  <si>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</si>
  <si>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</si>
  <si>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</si>
  <si>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</si>
  <si>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</si>
  <si>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</si>
  <si>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</si>
  <si>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</si>
  <si>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</si>
  <si>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</si>
  <si>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</si>
  <si>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</si>
  <si>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</si>
  <si>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</si>
  <si>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</si>
  <si>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</si>
  <si>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</si>
  <si>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</si>
  <si>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</si>
  <si>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</si>
  <si>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</si>
  <si>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</si>
  <si>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</si>
  <si>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</si>
  <si>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</si>
  <si>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</si>
  <si>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</si>
  <si>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</si>
  <si>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</si>
  <si>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</si>
  <si>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</si>
  <si>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</si>
  <si>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</si>
  <si>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</si>
  <si>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</si>
  <si>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</si>
  <si>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</si>
  <si>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</si>
  <si>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</si>
  <si>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</si>
  <si>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</si>
  <si>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</si>
  <si>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</si>
  <si>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</si>
  <si>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</si>
  <si>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</si>
  <si>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</si>
  <si>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</si>
  <si>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</si>
  <si>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</si>
  <si>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</si>
  <si>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</si>
  <si>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</si>
  <si>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</si>
  <si>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</si>
  <si>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</si>
  <si>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</si>
  <si>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</si>
  <si>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</si>
  <si>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</si>
  <si>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</si>
  <si>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</si>
  <si>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</si>
  <si>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</si>
  <si>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</si>
  <si>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</si>
  <si>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</si>
  <si>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</si>
  <si>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</si>
  <si>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</si>
  <si>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</si>
  <si>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</si>
  <si>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</si>
  <si>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</si>
  <si>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</si>
  <si>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</si>
  <si>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</si>
  <si>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</si>
  <si>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</si>
  <si>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</si>
  <si>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</si>
  <si>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</si>
  <si>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</si>
  <si>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</si>
  <si>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</si>
  <si>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</si>
  <si>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</si>
  <si>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</si>
  <si>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</si>
  <si>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</si>
  <si>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</si>
  <si>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</si>
  <si>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</si>
  <si>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</si>
  <si>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</si>
  <si>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</si>
  <si>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</si>
  <si>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</si>
  <si>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</si>
  <si>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</si>
  <si>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</si>
  <si>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</si>
  <si>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</si>
  <si>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</si>
  <si>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</si>
  <si>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</si>
  <si>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</si>
  <si>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</si>
  <si>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</si>
  <si>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</si>
  <si>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</si>
  <si>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</si>
  <si>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</si>
  <si>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</si>
  <si>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</si>
  <si>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</si>
  <si>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</si>
  <si>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</si>
  <si>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</si>
  <si>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</si>
  <si>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</si>
  <si>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</si>
  <si>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</si>
  <si>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</si>
  <si>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</si>
  <si>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</si>
  <si>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</si>
  <si>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</si>
  <si>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</si>
  <si>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</si>
  <si>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</si>
  <si>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</si>
  <si>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</si>
  <si>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</si>
  <si>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</si>
  <si>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</si>
  <si>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</si>
  <si>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</si>
  <si>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</si>
  <si>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</si>
  <si>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</si>
  <si>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</si>
  <si>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</si>
  <si>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</si>
  <si>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</si>
  <si>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</si>
  <si>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</si>
  <si>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</si>
  <si>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</si>
  <si>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</si>
  <si>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</si>
  <si>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</si>
  <si>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</si>
  <si>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</si>
  <si>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</si>
  <si>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</si>
  <si>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</si>
  <si>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</si>
  <si>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</si>
  <si>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</si>
  <si>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</si>
  <si>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</si>
  <si>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</si>
  <si>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</si>
  <si>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</si>
  <si>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</si>
  <si>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</si>
  <si>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</si>
  <si>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</si>
  <si>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</si>
  <si>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</si>
  <si>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</si>
  <si>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</si>
  <si>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</si>
  <si>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</si>
  <si>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</si>
  <si>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</si>
  <si>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</si>
  <si>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</si>
  <si>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</si>
  <si>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</si>
  <si>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</si>
  <si>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</si>
  <si>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</si>
  <si>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</si>
  <si>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</si>
  <si>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</si>
  <si>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</si>
  <si>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</si>
  <si>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</si>
  <si>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</si>
  <si>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</si>
  <si>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</si>
  <si>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</si>
  <si>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</si>
  <si>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</si>
  <si>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</si>
  <si>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</si>
  <si>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</si>
  <si>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</si>
  <si>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</si>
  <si>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</si>
  <si>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</si>
  <si>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</si>
  <si>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</si>
  <si>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</si>
  <si>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</si>
  <si>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</si>
  <si>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</si>
  <si>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</si>
  <si>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</si>
  <si>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</si>
  <si>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</si>
  <si>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</si>
  <si>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</si>
  <si>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</si>
  <si>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</si>
  <si>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</si>
  <si>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</si>
  <si>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</si>
  <si>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</si>
  <si>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</si>
  <si>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</si>
  <si>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</si>
  <si>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</si>
  <si>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</si>
  <si>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</si>
  <si>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</si>
  <si>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</si>
  <si>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</si>
  <si>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</si>
  <si>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</si>
  <si>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</si>
  <si>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</si>
  <si>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</si>
  <si>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</si>
  <si>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</si>
  <si>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</si>
  <si>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</si>
  <si>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</si>
  <si>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</si>
  <si>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</si>
  <si>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</si>
  <si>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</si>
  <si>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</si>
  <si>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</si>
  <si>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</si>
  <si>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</si>
  <si>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</si>
  <si>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</si>
  <si>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</si>
  <si>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</si>
  <si>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</si>
  <si>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</si>
  <si>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</si>
  <si>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</si>
  <si>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</si>
  <si>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</si>
  <si>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</si>
  <si>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</si>
  <si>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</si>
  <si>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</si>
  <si>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</si>
  <si>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</si>
  <si>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</si>
  <si>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</si>
  <si>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</si>
  <si>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</si>
  <si>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</si>
  <si>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</si>
  <si>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</si>
  <si>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</si>
  <si>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</si>
  <si>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</si>
  <si>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</si>
  <si>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</si>
  <si>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</si>
  <si>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</si>
  <si>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</si>
  <si>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</si>
  <si>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</si>
  <si>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</si>
  <si>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</si>
  <si>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</si>
  <si>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</si>
  <si>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</si>
  <si>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</si>
  <si>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</si>
  <si>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</si>
  <si>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</si>
  <si>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</si>
  <si>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</si>
  <si>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</si>
  <si>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</si>
  <si>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</si>
  <si>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</si>
  <si>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</si>
  <si>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</si>
  <si>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</si>
  <si>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</si>
  <si>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</si>
  <si>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</si>
  <si>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</si>
  <si>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</si>
  <si>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</si>
  <si>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</si>
  <si>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</si>
  <si>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</si>
  <si>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</si>
  <si>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</si>
  <si>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</si>
  <si>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</si>
  <si>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</si>
  <si>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</si>
  <si>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</si>
  <si>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</si>
  <si>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</si>
  <si>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</si>
  <si>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</si>
  <si>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</si>
  <si>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</si>
  <si>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</si>
  <si>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</si>
  <si>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</si>
  <si>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</si>
  <si>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</si>
  <si>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</si>
  <si>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</si>
  <si>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</si>
  <si>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</si>
  <si>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</si>
  <si>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</si>
  <si>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</si>
  <si>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</si>
  <si>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</si>
  <si>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</si>
  <si>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</si>
  <si>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</si>
  <si>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</si>
  <si>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</si>
  <si>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</si>
  <si>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</si>
  <si>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</si>
  <si>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</si>
  <si>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</si>
  <si>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</si>
  <si>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</si>
  <si>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</si>
  <si>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</si>
  <si>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</si>
  <si>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</si>
  <si>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</si>
  <si>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</si>
  <si>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</si>
  <si>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</si>
  <si>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</si>
  <si>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</si>
  <si>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</si>
  <si>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</si>
  <si>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</si>
  <si>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</si>
  <si>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</si>
  <si>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</si>
  <si>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</si>
  <si>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</si>
  <si>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</si>
  <si>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</si>
  <si>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</si>
  <si>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</si>
  <si>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</si>
  <si>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</si>
  <si>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</si>
  <si>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</si>
  <si>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</si>
  <si>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</si>
  <si>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</si>
  <si>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</si>
  <si>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</si>
  <si>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</si>
  <si>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</si>
  <si>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</si>
  <si>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</si>
  <si>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</si>
  <si>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</si>
  <si>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</si>
  <si>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</si>
  <si>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</si>
  <si>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</si>
  <si>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</si>
  <si>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</si>
  <si>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</si>
  <si>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</si>
  <si>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</si>
  <si>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</si>
  <si>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</si>
  <si>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</si>
  <si>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</si>
  <si>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</si>
  <si>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</si>
  <si>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</si>
  <si>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</si>
  <si>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</si>
  <si>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</si>
  <si>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</si>
  <si>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</si>
  <si>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</si>
  <si>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</si>
  <si>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</si>
  <si>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</si>
  <si>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</si>
  <si>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</si>
  <si>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</si>
  <si>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</si>
  <si>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</si>
  <si>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</si>
  <si>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</si>
  <si>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</si>
  <si>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</si>
  <si>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</si>
  <si>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</si>
  <si>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</si>
  <si>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</si>
  <si>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</si>
  <si>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</si>
  <si>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</si>
  <si>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</si>
  <si>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</si>
  <si>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</si>
  <si>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</si>
  <si>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</si>
  <si>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</si>
  <si>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</si>
  <si>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</si>
  <si>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</si>
  <si>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</si>
  <si>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</si>
  <si>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</si>
  <si>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</si>
  <si>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</si>
  <si>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</si>
  <si>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</si>
  <si>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</si>
  <si>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</si>
  <si>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</si>
  <si>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</si>
  <si>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</si>
  <si>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</si>
  <si>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</si>
  <si>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</si>
  <si>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</si>
  <si>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</si>
  <si>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</si>
  <si>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</si>
  <si>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</si>
  <si>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</si>
  <si>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</si>
  <si>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</si>
  <si>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</si>
  <si>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</si>
  <si>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</si>
  <si>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</si>
  <si>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</si>
  <si>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</si>
  <si>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</si>
  <si>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</si>
  <si>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</si>
  <si>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</si>
  <si>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</si>
  <si>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</si>
  <si>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</si>
  <si>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</si>
  <si>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</si>
  <si>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</si>
  <si>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</si>
  <si>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</si>
  <si>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</si>
  <si>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</si>
  <si>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</si>
  <si>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</si>
  <si>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</si>
  <si>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</si>
  <si>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</si>
  <si>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</si>
  <si>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</si>
  <si>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</si>
  <si>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</si>
  <si>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</si>
  <si>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</si>
  <si>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</si>
  <si>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</si>
  <si>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</si>
  <si>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</si>
  <si>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</si>
  <si>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</si>
  <si>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</si>
  <si>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</si>
  <si>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</si>
  <si>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</si>
  <si>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</si>
  <si>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</si>
  <si>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</si>
  <si>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</si>
  <si>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</si>
  <si>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</si>
  <si>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</si>
  <si>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</si>
  <si>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</si>
  <si>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</si>
  <si>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</si>
  <si>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</si>
  <si>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</si>
  <si>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</si>
  <si>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</si>
  <si>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</si>
  <si>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</si>
  <si>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</si>
  <si>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</si>
  <si>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</si>
  <si>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</si>
  <si>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</si>
  <si>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</si>
  <si>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</si>
  <si>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</si>
  <si>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</si>
  <si>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</si>
  <si>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</si>
  <si>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</si>
  <si>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</si>
  <si>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</si>
  <si>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</si>
  <si>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</si>
  <si>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</si>
  <si>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</si>
  <si>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</si>
  <si>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</si>
  <si>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</si>
  <si>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</si>
  <si>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</si>
  <si>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</si>
  <si>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</si>
  <si>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</si>
  <si>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</si>
  <si>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</si>
  <si>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</si>
  <si>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</si>
  <si>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</si>
  <si>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</si>
  <si>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</si>
  <si>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</si>
  <si>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</si>
  <si>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</si>
  <si>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</si>
  <si>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</si>
  <si>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</si>
  <si>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</si>
  <si>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</si>
  <si>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</si>
  <si>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</si>
  <si>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</si>
  <si>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</si>
  <si>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</si>
  <si>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</si>
  <si>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</si>
  <si>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</si>
  <si>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</si>
  <si>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</si>
  <si>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</si>
  <si>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</si>
  <si>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</si>
  <si>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</si>
  <si>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</si>
  <si>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</si>
  <si>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</si>
  <si>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</si>
  <si>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</si>
  <si>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</si>
  <si>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</si>
  <si>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</si>
  <si>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</si>
  <si>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</si>
  <si>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</si>
  <si>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</si>
  <si>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</si>
  <si>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</si>
  <si>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</si>
  <si>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</si>
  <si>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</si>
  <si>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</si>
  <si>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</si>
  <si>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</si>
  <si>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</si>
  <si>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</si>
  <si>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</si>
  <si>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</si>
  <si>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</si>
  <si>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</si>
  <si>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</si>
  <si>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</si>
  <si>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</si>
  <si>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</si>
  <si>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</si>
  <si>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</si>
  <si>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</si>
  <si>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</si>
  <si>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</si>
  <si>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</si>
  <si>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</si>
  <si>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</si>
  <si>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</si>
  <si>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</si>
  <si>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</si>
  <si>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</si>
  <si>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</si>
  <si>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</si>
  <si>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</si>
  <si>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</si>
  <si>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</si>
  <si>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</si>
  <si>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</si>
  <si>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</si>
  <si>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</si>
  <si>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</si>
  <si>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</si>
  <si>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</si>
  <si>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</si>
  <si>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</si>
  <si>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</si>
  <si>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</si>
  <si>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</si>
  <si>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</si>
  <si>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</si>
  <si>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</si>
  <si>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</si>
  <si>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</si>
  <si>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</si>
  <si>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</si>
  <si>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</si>
  <si>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</si>
  <si>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</si>
  <si>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</si>
  <si>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</si>
  <si>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</si>
  <si>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</si>
  <si>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</si>
  <si>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</si>
  <si>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</si>
  <si>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</si>
  <si>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</si>
  <si>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</si>
  <si>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</si>
  <si>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</si>
  <si>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</si>
  <si>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</si>
  <si>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</si>
  <si>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</si>
  <si>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</si>
  <si>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</si>
  <si>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</si>
  <si>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</si>
  <si>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</si>
  <si>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</si>
  <si>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</si>
  <si>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</si>
  <si>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</si>
  <si>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</si>
  <si>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</si>
  <si>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</si>
  <si>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</si>
  <si>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</si>
  <si>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</si>
  <si>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</si>
  <si>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</si>
  <si>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</si>
  <si>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</si>
  <si>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</si>
  <si>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</si>
  <si>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</si>
  <si>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</si>
  <si>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</si>
  <si>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</si>
  <si>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</si>
  <si>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</si>
  <si>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</si>
  <si>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</si>
  <si>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</si>
  <si>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</si>
  <si>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</si>
  <si>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</si>
  <si>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</si>
  <si>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</si>
  <si>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</si>
  <si>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</si>
  <si>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</si>
  <si>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</si>
  <si>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</si>
  <si>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</si>
  <si>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</si>
  <si>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</si>
  <si>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</si>
  <si>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</si>
  <si>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</si>
  <si>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</si>
  <si>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</si>
  <si>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</si>
  <si>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</si>
  <si>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</si>
  <si>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</si>
  <si>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</si>
  <si>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</si>
  <si>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</si>
  <si>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</si>
  <si>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</si>
  <si>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</si>
  <si>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</si>
  <si>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</si>
  <si>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</si>
  <si>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</si>
  <si>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</si>
  <si>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</si>
  <si>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</si>
  <si>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</si>
  <si>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</si>
  <si>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</si>
  <si>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</si>
  <si>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</si>
  <si>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</si>
  <si>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</si>
  <si>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</si>
  <si>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</si>
  <si>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</si>
  <si>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</si>
  <si>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</si>
  <si>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</si>
  <si>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</si>
  <si>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</si>
  <si>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</si>
  <si>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</si>
  <si>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</si>
  <si>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</si>
  <si>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</si>
  <si>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</si>
  <si>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</si>
  <si>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</si>
  <si>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</si>
  <si>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</si>
  <si>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</si>
  <si>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</si>
  <si>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</si>
  <si>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</si>
  <si>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</si>
  <si>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</si>
  <si>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</si>
  <si>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</si>
  <si>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</si>
  <si>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</si>
  <si>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</si>
  <si>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</si>
  <si>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</si>
  <si>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</si>
  <si>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</si>
  <si>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</si>
  <si>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</si>
  <si>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</si>
  <si>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</si>
  <si>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</si>
  <si>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</si>
  <si>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</si>
  <si>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</si>
  <si>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</si>
  <si>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</si>
  <si>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</si>
  <si>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</si>
  <si>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</si>
  <si>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</si>
  <si>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</si>
  <si>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</si>
  <si>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</si>
  <si>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</si>
  <si>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</si>
  <si>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</si>
  <si>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</si>
  <si>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</si>
  <si>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</si>
  <si>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</si>
  <si>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</si>
  <si>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</si>
  <si>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</si>
  <si>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</si>
  <si>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</si>
  <si>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</si>
  <si>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</si>
  <si>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</si>
  <si>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</si>
  <si>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</si>
  <si>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</si>
  <si>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</si>
  <si>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</si>
  <si>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</si>
  <si>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</si>
  <si>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</si>
  <si>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</si>
  <si>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</si>
  <si>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</si>
  <si>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</si>
  <si>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</si>
  <si>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</si>
  <si>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</si>
  <si>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</si>
  <si>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</si>
  <si>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</si>
  <si>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</si>
  <si>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</si>
  <si>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</si>
  <si>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</si>
  <si>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</si>
  <si>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</si>
  <si>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</si>
  <si>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</si>
  <si>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</si>
  <si>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</si>
  <si>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</si>
  <si>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</si>
  <si>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</si>
  <si>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</si>
  <si>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</si>
  <si>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</si>
  <si>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</si>
  <si>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</si>
  <si>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</si>
  <si>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</si>
  <si>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</si>
  <si>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</si>
  <si>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</si>
  <si>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</si>
  <si>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</si>
  <si>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</si>
  <si>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</si>
  <si>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</si>
  <si>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</si>
  <si>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</si>
  <si>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</si>
  <si>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</si>
  <si>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</si>
  <si>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</si>
  <si>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</si>
  <si>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</si>
  <si>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</si>
  <si>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</si>
  <si>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</si>
  <si>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</si>
  <si>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</si>
  <si>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</si>
  <si>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</si>
  <si>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</si>
  <si>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</si>
  <si>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</si>
  <si>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</si>
  <si>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</si>
  <si>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</si>
  <si>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</si>
  <si>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</si>
  <si>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</si>
  <si>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</si>
  <si>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</si>
  <si>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</si>
  <si>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</si>
  <si>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</si>
  <si>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</si>
  <si>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</si>
  <si>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</si>
  <si>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</si>
  <si>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</si>
  <si>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</si>
  <si>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</si>
  <si>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</si>
  <si>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</si>
  <si>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</si>
  <si>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</si>
  <si>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</si>
  <si>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</si>
  <si>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</si>
  <si>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</si>
  <si>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</si>
  <si>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</si>
  <si>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</si>
  <si>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</si>
  <si>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</si>
  <si>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</si>
  <si>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</si>
  <si>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</si>
  <si>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</si>
  <si>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</si>
  <si>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</si>
  <si>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</si>
  <si>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</si>
  <si>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</si>
  <si>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</si>
  <si>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</si>
  <si>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</si>
  <si>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</si>
  <si>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</si>
  <si>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</si>
  <si>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</si>
  <si>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</si>
  <si>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</si>
  <si>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</si>
  <si>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</si>
  <si>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</si>
  <si>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</si>
  <si>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</si>
  <si>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</si>
  <si>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</si>
  <si>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</si>
  <si>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</si>
  <si>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</si>
  <si>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</si>
  <si>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</si>
  <si>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</si>
  <si>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</si>
  <si>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</si>
  <si>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</si>
  <si>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</si>
  <si>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</si>
  <si>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</si>
  <si>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</si>
  <si>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</si>
  <si>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</si>
  <si>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</si>
  <si>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</si>
  <si>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</si>
  <si>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</si>
  <si>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</si>
  <si>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</si>
  <si>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</si>
  <si>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</si>
  <si>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</si>
  <si>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</si>
  <si>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</si>
  <si>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</si>
  <si>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</si>
  <si>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</si>
  <si>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</si>
  <si>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</si>
  <si>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</si>
  <si>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</si>
  <si>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</si>
  <si>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</si>
  <si>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</si>
  <si>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</si>
  <si>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</si>
  <si>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</si>
  <si>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</si>
  <si>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</si>
  <si>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</si>
  <si>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</si>
  <si>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</si>
  <si>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</si>
  <si>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</si>
  <si>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</si>
  <si>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</si>
  <si>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</si>
  <si>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</si>
  <si>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</si>
  <si>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</si>
  <si>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</si>
  <si>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</si>
  <si>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</si>
  <si>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</si>
  <si>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</si>
  <si>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</si>
  <si>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</si>
  <si>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</si>
  <si>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</si>
  <si>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</si>
  <si>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</si>
  <si>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</si>
  <si>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</si>
  <si>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</si>
  <si>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</si>
  <si>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</si>
  <si>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</si>
  <si>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</si>
  <si>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</si>
  <si>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</si>
  <si>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</si>
  <si>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</si>
  <si>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</si>
  <si>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</si>
  <si>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</si>
  <si>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</si>
  <si>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</si>
  <si>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</si>
  <si>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</si>
  <si>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</si>
  <si>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</si>
  <si>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</si>
  <si>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</si>
  <si>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</si>
  <si>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</si>
  <si>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</si>
  <si>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</si>
  <si>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</si>
  <si>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</si>
  <si>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</si>
  <si>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</si>
  <si>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</si>
  <si>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</si>
  <si>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</si>
  <si>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</si>
  <si>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</si>
  <si>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</si>
  <si>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</si>
  <si>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</si>
  <si>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</si>
  <si>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</si>
  <si>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</si>
  <si>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</si>
  <si>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</si>
  <si>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</si>
  <si>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</si>
  <si>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</si>
  <si>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</si>
  <si>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</si>
  <si>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</si>
  <si>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</si>
  <si>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</si>
  <si>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</si>
  <si>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</si>
  <si>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</si>
  <si>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</si>
  <si>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</si>
  <si>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</si>
  <si>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</si>
  <si>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</si>
  <si>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</si>
  <si>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</si>
  <si>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</si>
  <si>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</si>
  <si>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</si>
  <si>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</si>
  <si>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</si>
  <si>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</si>
  <si>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</si>
  <si>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</si>
  <si>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</si>
  <si>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</si>
  <si>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</si>
  <si>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</si>
  <si>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</si>
  <si>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</si>
  <si>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</si>
  <si>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</si>
  <si>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</si>
  <si>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</si>
  <si>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</si>
  <si>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</si>
  <si>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</si>
  <si>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</si>
  <si>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</si>
  <si>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</si>
  <si>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</si>
  <si>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</si>
  <si>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</si>
  <si>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</si>
  <si>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</si>
  <si>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</si>
  <si>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</si>
  <si>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</si>
  <si>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</si>
  <si>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</si>
  <si>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</si>
  <si>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</si>
  <si>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</si>
  <si>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</si>
  <si>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</si>
  <si>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</si>
  <si>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</si>
  <si>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</si>
  <si>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</si>
  <si>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</si>
  <si>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</si>
  <si>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</si>
  <si>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</si>
  <si>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</si>
  <si>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</si>
  <si>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</si>
  <si>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</si>
  <si>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</si>
  <si>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</si>
  <si>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</si>
  <si>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</si>
  <si>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</si>
  <si>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</si>
  <si>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</si>
  <si>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</si>
  <si>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</si>
  <si>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</si>
  <si>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</si>
  <si>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</si>
  <si>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</si>
  <si>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</si>
  <si>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</si>
  <si>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</si>
  <si>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</si>
  <si>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</si>
  <si>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</si>
  <si>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</si>
  <si>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</si>
  <si>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</si>
  <si>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</si>
  <si>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</si>
  <si>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</si>
  <si>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</si>
  <si>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</si>
  <si>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</si>
  <si>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</si>
  <si>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</si>
  <si>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</si>
  <si>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</si>
  <si>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</si>
  <si>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</si>
  <si>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</si>
  <si>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</si>
  <si>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</si>
  <si>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</si>
  <si>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</si>
  <si>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</si>
  <si>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</si>
  <si>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</si>
  <si>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</si>
  <si>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</si>
  <si>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</si>
  <si>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</si>
  <si>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</si>
  <si>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</si>
  <si>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</si>
  <si>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</si>
  <si>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</si>
  <si>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</si>
  <si>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</si>
  <si>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</si>
  <si>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</si>
  <si>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</si>
  <si>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</si>
  <si>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</si>
  <si>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</si>
  <si>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</si>
  <si>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</si>
  <si>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</si>
  <si>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</si>
  <si>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</si>
  <si>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</si>
  <si>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</si>
  <si>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</si>
  <si>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</si>
  <si>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</si>
  <si>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</si>
  <si>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</si>
  <si>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</si>
  <si>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</si>
  <si>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</si>
  <si>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</si>
  <si>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</si>
  <si>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</si>
  <si>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</si>
  <si>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</si>
  <si>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</si>
  <si>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</si>
  <si>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</si>
  <si>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</si>
  <si>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</si>
  <si>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</si>
  <si>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</si>
  <si>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</si>
  <si>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</si>
  <si>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</si>
  <si>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</si>
  <si>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</si>
  <si>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</si>
  <si>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</si>
  <si>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</si>
  <si>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</si>
  <si>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</si>
  <si>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</si>
  <si>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</si>
  <si>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</si>
  <si>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</si>
  <si>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</si>
  <si>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</si>
  <si>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</si>
  <si>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</si>
  <si>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</si>
  <si>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</si>
  <si>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</si>
  <si>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</si>
  <si>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</si>
  <si>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</si>
  <si>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</si>
  <si>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</si>
  <si>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</si>
  <si>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</si>
  <si>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</si>
  <si>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</si>
  <si>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</si>
  <si>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</si>
  <si>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</si>
  <si>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</si>
  <si>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</si>
  <si>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</si>
  <si>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</si>
  <si>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</si>
  <si>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</si>
  <si>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</si>
  <si>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</si>
  <si>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</si>
  <si>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</si>
  <si>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</si>
  <si>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</si>
  <si>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</si>
  <si>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</si>
  <si>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</si>
  <si>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</si>
  <si>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</si>
  <si>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</si>
  <si>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</si>
  <si>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</si>
  <si>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</si>
  <si>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</si>
  <si>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</si>
  <si>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</si>
  <si>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</si>
  <si>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</si>
  <si>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</si>
  <si>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</si>
  <si>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</si>
  <si>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</si>
  <si>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</si>
  <si>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</si>
  <si>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</si>
  <si>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</si>
  <si>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</si>
  <si>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</si>
  <si>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</si>
  <si>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</si>
  <si>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</si>
  <si>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</si>
  <si>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</si>
  <si>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</si>
  <si>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</si>
  <si>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</si>
  <si>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</si>
  <si>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</si>
  <si>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</si>
  <si>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</si>
  <si>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</si>
  <si>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</si>
  <si>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</si>
  <si>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</si>
  <si>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</si>
  <si>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</si>
  <si>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</si>
  <si>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</si>
  <si>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</si>
  <si>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</si>
  <si>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</si>
  <si>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</si>
  <si>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</si>
  <si>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</si>
  <si>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</si>
  <si>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</si>
  <si>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</si>
  <si>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</si>
  <si>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</si>
  <si>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</si>
  <si>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</si>
  <si>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</si>
  <si>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</si>
  <si>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</si>
  <si>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</si>
  <si>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</si>
  <si>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</si>
  <si>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</si>
  <si>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</si>
  <si>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</si>
  <si>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</si>
  <si>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</si>
  <si>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</si>
  <si>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</si>
  <si>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</si>
  <si>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</si>
  <si>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</si>
  <si>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</si>
  <si>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</si>
  <si>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</si>
  <si>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</si>
  <si>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</si>
  <si>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</si>
  <si>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</si>
  <si>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</si>
  <si>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</si>
  <si>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</si>
  <si>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</si>
  <si>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</si>
  <si>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</si>
  <si>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</si>
  <si>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</si>
  <si>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</si>
  <si>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</si>
  <si>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</si>
  <si>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</si>
  <si>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</si>
  <si>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</si>
  <si>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</si>
  <si>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</si>
  <si>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</si>
  <si>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</si>
  <si>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</si>
  <si>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</si>
  <si>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</si>
  <si>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</si>
  <si>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</si>
  <si>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</si>
  <si>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</si>
  <si>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</si>
  <si>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</si>
  <si>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</si>
  <si>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</si>
  <si>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</si>
  <si>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</si>
  <si>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</si>
  <si>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</si>
  <si>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</si>
  <si>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</si>
  <si>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</si>
  <si>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</si>
  <si>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</si>
  <si>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</si>
  <si>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</si>
  <si>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</si>
  <si>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</si>
  <si>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</si>
  <si>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</si>
  <si>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</si>
  <si>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</si>
  <si>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</si>
  <si>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</si>
  <si>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</si>
  <si>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</si>
  <si>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</si>
  <si>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</si>
  <si>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</si>
  <si>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</si>
  <si>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</si>
  <si>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</si>
  <si>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</si>
  <si>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</si>
  <si>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</si>
  <si>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</si>
  <si>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</si>
  <si>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</si>
  <si>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</si>
  <si>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</si>
  <si>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</si>
  <si>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</si>
  <si>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</si>
  <si>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</si>
  <si>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</si>
  <si>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</si>
  <si>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</si>
  <si>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</si>
  <si>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</si>
  <si>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</si>
  <si>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</si>
  <si>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</si>
  <si>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</si>
  <si>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</si>
  <si>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</si>
  <si>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</si>
  <si>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</si>
  <si>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</si>
  <si>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</si>
  <si>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</si>
  <si>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</si>
  <si>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</si>
  <si>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</si>
  <si>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</si>
  <si>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</si>
  <si>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</si>
  <si>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</si>
  <si>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</si>
  <si>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</si>
  <si>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</si>
  <si>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</si>
  <si>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</si>
  <si>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</si>
  <si>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</si>
  <si>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</si>
  <si>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</si>
  <si>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</si>
  <si>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</si>
  <si>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</si>
  <si>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</si>
  <si>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</si>
  <si>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</si>
  <si>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</si>
  <si>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</si>
  <si>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</si>
  <si>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</si>
  <si>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</si>
  <si>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</si>
  <si>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</si>
  <si>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</si>
  <si>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</si>
  <si>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</si>
  <si>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</si>
  <si>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</si>
  <si>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</si>
  <si>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</si>
  <si>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</si>
  <si>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</si>
  <si>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</si>
  <si>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</si>
  <si>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</si>
  <si>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</si>
  <si>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</si>
  <si>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</si>
  <si>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</si>
  <si>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</si>
  <si>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</si>
  <si>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</si>
  <si>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</si>
  <si>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</si>
  <si>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</si>
  <si>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</si>
  <si>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</si>
  <si>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</si>
  <si>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</si>
  <si>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</si>
  <si>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</si>
  <si>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</si>
  <si>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</si>
  <si>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</si>
  <si>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</si>
  <si>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</si>
  <si>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</si>
  <si>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</si>
  <si>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</si>
  <si>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</si>
  <si>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</si>
  <si>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</si>
  <si>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</si>
  <si>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</si>
  <si>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</si>
  <si>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</si>
  <si>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</si>
  <si>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</si>
  <si>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</si>
  <si>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</si>
  <si>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</si>
  <si>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</si>
  <si>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</si>
  <si>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</si>
  <si>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</si>
  <si>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</si>
  <si>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</si>
  <si>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</si>
  <si>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</si>
  <si>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</si>
  <si>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</si>
  <si>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</si>
  <si>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</si>
  <si>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</si>
  <si>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</si>
  <si>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</si>
  <si>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</si>
  <si>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</si>
  <si>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</si>
  <si>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</si>
  <si>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</si>
  <si>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</si>
  <si>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</si>
  <si>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</si>
  <si>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</si>
  <si>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</si>
  <si>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</si>
  <si>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</si>
  <si>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</si>
  <si>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</si>
  <si>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</si>
  <si>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</si>
  <si>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</si>
  <si>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</si>
  <si>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</si>
  <si>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</si>
  <si>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</si>
  <si>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</si>
  <si>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</si>
  <si>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</si>
  <si>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t>抵押</t>
  </si>
  <si>
    <t>房地产抵押价值</t>
  </si>
  <si>
    <t>其他：</t>
  </si>
  <si>
    <t>上海市</t>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</si>
  <si>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</si>
  <si>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</si>
  <si>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</si>
  <si>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23.73</t>
    </r>
    <r>
      <rPr>
        <sz val="12"/>
        <color theme="9" tint="-0.249977111117893"/>
        <rFont val="宋体"/>
        <family val="3"/>
        <charset val="134"/>
      </rPr>
      <t>年、地下车库</t>
    </r>
    <r>
      <rPr>
        <sz val="12"/>
        <color theme="9" tint="-0.249977111117893"/>
        <rFont val="Arial"/>
        <family val="2"/>
      </rPr>
      <t>33.74</t>
    </r>
    <r>
      <rPr>
        <sz val="12"/>
        <color theme="9" tint="-0.249977111117893"/>
        <rFont val="宋体"/>
        <family val="3"/>
        <charset val="134"/>
      </rPr>
      <t>年</t>
    </r>
    <phoneticPr fontId="6" type="noConversion"/>
  </si>
  <si>
    <t>《上海市房地产权证》[沪房地松字（2006）第010346号]</t>
    <phoneticPr fontId="6" type="noConversion"/>
  </si>
  <si>
    <t>否</t>
  </si>
  <si>
    <t>复印件</t>
  </si>
  <si>
    <t>商业项目</t>
  </si>
  <si>
    <t>无</t>
  </si>
  <si>
    <t>现房</t>
  </si>
  <si>
    <t>通路</t>
  </si>
  <si>
    <t>通电</t>
  </si>
  <si>
    <t>通讯</t>
  </si>
  <si>
    <t>通上水</t>
  </si>
  <si>
    <t>通下水</t>
  </si>
  <si>
    <t>燃气</t>
  </si>
  <si>
    <t>是</t>
  </si>
  <si>
    <t>地上</t>
  </si>
  <si>
    <t>独立商业</t>
  </si>
  <si>
    <r>
      <t>116</t>
    </r>
    <r>
      <rPr>
        <sz val="10"/>
        <color indexed="8"/>
        <rFont val="宋体"/>
        <family val="3"/>
        <charset val="134"/>
      </rPr>
      <t>号商铺</t>
    </r>
    <phoneticPr fontId="3" type="noConversion"/>
  </si>
  <si>
    <t>其他商铺</t>
    <phoneticPr fontId="3" type="noConversion"/>
  </si>
  <si>
    <t>松江区九亭镇虬泾路120号</t>
  </si>
  <si>
    <t>沪房地松字（2006）第010342号</t>
  </si>
  <si>
    <t>1层</t>
  </si>
  <si>
    <t>松江区九亭镇虬泾路122号503室</t>
  </si>
  <si>
    <t>沪房地松号（2006）第010343号</t>
  </si>
  <si>
    <t>503室</t>
  </si>
  <si>
    <t>松江区九亭镇虬泾路122号402室</t>
  </si>
  <si>
    <t>沪房地松号（2006）第010344号</t>
  </si>
  <si>
    <t>402室</t>
  </si>
  <si>
    <t>松江区九亭镇虬泾路122号303室</t>
  </si>
  <si>
    <t>沪房地松号（2006）第010345号</t>
  </si>
  <si>
    <t>303室</t>
  </si>
  <si>
    <t>松江区九亭镇虬泾路116号</t>
  </si>
  <si>
    <t>沪房地松号（2006）第010346号</t>
  </si>
  <si>
    <t>松江区九亭镇虬泾路118号</t>
  </si>
  <si>
    <t>沪房地松号（2006）第010347号</t>
  </si>
  <si>
    <t>松江区九亭镇虬泾路122号203室</t>
  </si>
  <si>
    <t>沪房地松字（2006）第010348号</t>
  </si>
  <si>
    <t>203室</t>
  </si>
  <si>
    <t>松江区九亭镇虬泾路122号401室</t>
  </si>
  <si>
    <t>沪房地松字（2006）第010349号</t>
  </si>
  <si>
    <t>401室</t>
  </si>
  <si>
    <t>松江区九亭镇虬泾路124号</t>
  </si>
  <si>
    <t>沪房地松字（2006）第010350号</t>
  </si>
  <si>
    <t>松江区九亭镇虬泾路122号403室</t>
  </si>
  <si>
    <t>沪房地松字（2006）第010351号</t>
  </si>
  <si>
    <t>403室</t>
  </si>
  <si>
    <t>松江区九亭镇虬泾路122号501室</t>
  </si>
  <si>
    <t>沪房地松字（2006）第010352号</t>
  </si>
  <si>
    <t>501室</t>
  </si>
  <si>
    <t>松江区九亭镇虬泾路122号202层</t>
  </si>
  <si>
    <t>沪房地松字（2006）第011863号</t>
  </si>
  <si>
    <t>松江区九亭镇虬泾路122号302层</t>
  </si>
  <si>
    <t>沪房地松字（2006）第011864号</t>
  </si>
  <si>
    <t>松江区九亭镇虬泾路122号502层</t>
  </si>
  <si>
    <t>沪房地松字（2006）第011865号</t>
  </si>
  <si>
    <t>松江区九亭镇虬泾路122号201层</t>
  </si>
  <si>
    <t>沪房地松字（2006）第011866号</t>
  </si>
  <si>
    <t>松江区九亭镇虬泾路122号301层</t>
  </si>
  <si>
    <t>沪房地松字（2006）第011867号</t>
  </si>
  <si>
    <t>松江区九亭镇虬泾路126号1_3层</t>
  </si>
  <si>
    <t>沪房地松字（2006）第011868号</t>
  </si>
  <si>
    <t>1_3层</t>
  </si>
  <si>
    <t>松江区九亭镇虬泾路118号地下1层地下车库</t>
  </si>
  <si>
    <t>沪房地松字（2006）第011869号</t>
  </si>
  <si>
    <t>地下1层地下车库</t>
  </si>
  <si>
    <t>序号</t>
    <phoneticPr fontId="143" type="noConversion"/>
  </si>
  <si>
    <t>坐落</t>
    <phoneticPr fontId="143" type="noConversion"/>
  </si>
  <si>
    <t>房地产权证号</t>
    <phoneticPr fontId="143" type="noConversion"/>
  </si>
  <si>
    <t>位置</t>
    <phoneticPr fontId="143" type="noConversion"/>
  </si>
  <si>
    <t>建筑面积</t>
    <phoneticPr fontId="143" type="noConversion"/>
  </si>
  <si>
    <t>地下车库</t>
    <phoneticPr fontId="3" type="noConversion"/>
  </si>
  <si>
    <t>地下</t>
  </si>
  <si>
    <t>车库</t>
  </si>
  <si>
    <t>位置</t>
    <phoneticPr fontId="143" type="noConversion"/>
  </si>
  <si>
    <t>租金</t>
    <phoneticPr fontId="143" type="noConversion"/>
  </si>
  <si>
    <t>租期</t>
    <phoneticPr fontId="143" type="noConversion"/>
  </si>
  <si>
    <t>当前租金</t>
    <phoneticPr fontId="143" type="noConversion"/>
  </si>
  <si>
    <t>地下车库</t>
    <phoneticPr fontId="143" type="noConversion"/>
  </si>
  <si>
    <r>
      <t>2</t>
    </r>
    <r>
      <rPr>
        <sz val="11"/>
        <color theme="1"/>
        <rFont val="宋体"/>
        <family val="3"/>
        <charset val="134"/>
        <scheme val="minor"/>
      </rPr>
      <t>018-8-1至2027-7-31</t>
    </r>
    <phoneticPr fontId="143" type="noConversion"/>
  </si>
  <si>
    <r>
      <t>3年</t>
    </r>
    <r>
      <rPr>
        <sz val="11"/>
        <color theme="1"/>
        <rFont val="宋体"/>
        <family val="3"/>
        <charset val="134"/>
        <scheme val="minor"/>
      </rPr>
      <t>3%</t>
    </r>
    <phoneticPr fontId="143" type="noConversion"/>
  </si>
  <si>
    <t>到期</t>
    <phoneticPr fontId="143" type="noConversion"/>
  </si>
  <si>
    <t>116-118-120部分</t>
    <phoneticPr fontId="143" type="noConversion"/>
  </si>
  <si>
    <t>2018-10-1至2024-9-30</t>
    <phoneticPr fontId="143" type="noConversion"/>
  </si>
  <si>
    <t>126及124部分</t>
    <phoneticPr fontId="143" type="noConversion"/>
  </si>
  <si>
    <t>2013-5-1至2023-8-31</t>
    <phoneticPr fontId="143" type="noConversion"/>
  </si>
  <si>
    <r>
      <t>2年</t>
    </r>
    <r>
      <rPr>
        <sz val="11"/>
        <color theme="1"/>
        <rFont val="宋体"/>
        <family val="3"/>
        <charset val="134"/>
        <scheme val="minor"/>
      </rPr>
      <t>5%</t>
    </r>
    <phoneticPr fontId="143" type="noConversion"/>
  </si>
  <si>
    <t>地上总面积</t>
    <phoneticPr fontId="143" type="noConversion"/>
  </si>
  <si>
    <t>商铺</t>
  </si>
  <si>
    <t>商铺</t>
    <phoneticPr fontId="7" type="noConversion"/>
  </si>
  <si>
    <t>成新度</t>
  </si>
  <si>
    <t>收益法</t>
  </si>
  <si>
    <t>押二</t>
  </si>
  <si>
    <t>按租金收入计税</t>
  </si>
  <si>
    <t>钢混</t>
  </si>
  <si>
    <t>非生产用房</t>
  </si>
  <si>
    <t>售价</t>
  </si>
  <si>
    <t>商业</t>
    <phoneticPr fontId="31" type="noConversion"/>
  </si>
  <si>
    <t>自定义</t>
  </si>
  <si>
    <t>收益法 (元)</t>
  </si>
  <si>
    <t>20-30（含）</t>
  </si>
  <si>
    <t>正常</t>
  </si>
  <si>
    <t>九亭镇</t>
    <phoneticPr fontId="3" type="noConversion"/>
  </si>
  <si>
    <r>
      <rPr>
        <sz val="11"/>
        <color theme="9" tint="-0.249977111117893"/>
        <rFont val="宋体"/>
        <family val="3"/>
        <charset val="134"/>
      </rPr>
      <t>虬泾路</t>
    </r>
    <r>
      <rPr>
        <sz val="11"/>
        <color theme="9" tint="-0.249977111117893"/>
        <rFont val="Arial"/>
        <family val="2"/>
      </rPr>
      <t>116</t>
    </r>
    <r>
      <rPr>
        <sz val="11"/>
        <color theme="9" tint="-0.249977111117893"/>
        <rFont val="宋体"/>
        <family val="3"/>
        <charset val="134"/>
      </rPr>
      <t>号</t>
    </r>
    <phoneticPr fontId="31"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</si>
  <si>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</si>
  <si>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</si>
  <si>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</si>
  <si>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</si>
  <si>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</si>
  <si>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</si>
  <si>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</si>
  <si>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</si>
  <si>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</si>
  <si>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</si>
  <si>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</si>
  <si>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</si>
  <si>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</si>
  <si>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</si>
  <si>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</si>
  <si>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</si>
  <si>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</si>
  <si>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</si>
  <si>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</si>
  <si>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</si>
  <si>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</si>
  <si>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</si>
  <si>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</si>
  <si>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</si>
  <si>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</si>
  <si>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</si>
  <si>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</si>
  <si>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</si>
  <si>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</si>
  <si>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</si>
  <si>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</si>
  <si>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</si>
  <si>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</si>
  <si>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</si>
  <si>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比例适宜</t>
  </si>
  <si>
    <t>比例适宜</t>
    <phoneticPr fontId="31" type="noConversion"/>
  </si>
  <si>
    <t>比例不适宜</t>
    <phoneticPr fontId="31" type="noConversion"/>
  </si>
  <si>
    <t>1~3</t>
  </si>
  <si>
    <t>1~3</t>
    <phoneticPr fontId="25" type="noConversion"/>
  </si>
  <si>
    <t>典型户型修正</t>
  </si>
  <si>
    <t>项目局部</t>
  </si>
  <si>
    <t>收益比率</t>
  </si>
  <si>
    <t>楼号/房号/坐落</t>
  </si>
  <si>
    <t>房地产权证号</t>
  </si>
  <si>
    <t>室号或部位</t>
  </si>
  <si>
    <t>建筑面积</t>
  </si>
  <si>
    <t>房地产总价</t>
  </si>
  <si>
    <t>30-40（含）</t>
  </si>
  <si>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</si>
  <si>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</si>
  <si>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住宅</t>
  </si>
  <si>
    <t>住宅</t>
    <phoneticPr fontId="32" type="noConversion"/>
  </si>
  <si>
    <t>普通装修</t>
  </si>
  <si>
    <t>普通装修</t>
    <phoneticPr fontId="32" type="noConversion"/>
  </si>
  <si>
    <t>专业</t>
  </si>
  <si>
    <t>专业</t>
    <phoneticPr fontId="32" type="noConversion"/>
  </si>
  <si>
    <t>普通</t>
    <phoneticPr fontId="32" type="noConversion"/>
  </si>
  <si>
    <t>普通车位</t>
  </si>
  <si>
    <t>普通车位</t>
    <phoneticPr fontId="32" type="noConversion"/>
  </si>
  <si>
    <t>是</t>
    <phoneticPr fontId="32" type="noConversion"/>
  </si>
  <si>
    <t>车位</t>
  </si>
  <si>
    <t>车位</t>
    <phoneticPr fontId="32" type="noConversion"/>
  </si>
  <si>
    <t>新桥</t>
    <phoneticPr fontId="3" type="noConversion"/>
  </si>
  <si>
    <t>比较法-车位</t>
  </si>
  <si>
    <t>建筑物价值</t>
  </si>
  <si>
    <t>分摊土地面积</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</si>
  <si>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</si>
  <si>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r>
      <t>第3年起</t>
    </r>
    <r>
      <rPr>
        <sz val="11"/>
        <color theme="1"/>
        <rFont val="宋体"/>
        <family val="3"/>
        <charset val="134"/>
        <scheme val="minor"/>
      </rPr>
      <t>5%</t>
    </r>
    <phoneticPr fontId="143" type="noConversion"/>
  </si>
  <si>
    <t>3年3%</t>
    <phoneticPr fontId="143" type="noConversion"/>
  </si>
  <si>
    <t>年收入</t>
    <phoneticPr fontId="143" type="noConversion"/>
  </si>
  <si>
    <t>年收入合计</t>
    <phoneticPr fontId="143" type="noConversion"/>
  </si>
  <si>
    <t>收益年期</t>
    <phoneticPr fontId="143" type="noConversion"/>
  </si>
  <si>
    <t>平均年收益</t>
    <phoneticPr fontId="143" type="noConversion"/>
  </si>
  <si>
    <t>租约单价</t>
    <phoneticPr fontId="143" type="noConversion"/>
  </si>
  <si>
    <t>市调租金</t>
    <phoneticPr fontId="143" type="noConversion"/>
  </si>
  <si>
    <t>租约期结束时租金</t>
    <phoneticPr fontId="143" type="noConversion"/>
  </si>
  <si>
    <t>增长率</t>
    <phoneticPr fontId="143" type="noConversion"/>
  </si>
  <si>
    <t>未知分布位置，故未计算租金收入</t>
    <phoneticPr fontId="143" type="noConversion"/>
  </si>
  <si>
    <t>位置</t>
    <phoneticPr fontId="143" type="noConversion"/>
  </si>
  <si>
    <t>建筑面积</t>
    <phoneticPr fontId="143" type="noConversion"/>
  </si>
  <si>
    <r>
      <t>1</t>
    </r>
    <r>
      <rPr>
        <sz val="11"/>
        <color theme="1"/>
        <rFont val="宋体"/>
        <family val="3"/>
        <charset val="134"/>
        <scheme val="minor"/>
      </rPr>
      <t>-3</t>
    </r>
    <phoneticPr fontId="143" type="noConversion"/>
  </si>
  <si>
    <t>合计</t>
    <phoneticPr fontId="143" type="noConversion"/>
  </si>
  <si>
    <t>租金</t>
    <phoneticPr fontId="143" type="noConversion"/>
  </si>
  <si>
    <t>系数</t>
    <phoneticPr fontId="143" type="noConversion"/>
  </si>
  <si>
    <t>未出租部分</t>
    <phoneticPr fontId="143" type="noConversion"/>
  </si>
  <si>
    <t>年增幅</t>
    <phoneticPr fontId="143" type="noConversion"/>
  </si>
  <si>
    <t>记录</t>
    <phoneticPr fontId="143" type="noConversion"/>
  </si>
  <si>
    <t>出租面积</t>
    <phoneticPr fontId="143" type="noConversion"/>
  </si>
  <si>
    <t>建筑面积</t>
    <phoneticPr fontId="143" type="noConversion"/>
  </si>
  <si>
    <t>承租人</t>
    <phoneticPr fontId="143" type="noConversion"/>
  </si>
  <si>
    <t>全季酒店</t>
    <phoneticPr fontId="143" type="noConversion"/>
  </si>
  <si>
    <t>和家足浴</t>
    <phoneticPr fontId="143" type="noConversion"/>
  </si>
  <si>
    <t>126号3层局部</t>
    <phoneticPr fontId="143" type="noConversion"/>
  </si>
  <si>
    <t>中国银行</t>
    <phoneticPr fontId="143" type="noConversion"/>
  </si>
  <si>
    <t>上岛咖啡</t>
    <phoneticPr fontId="143" type="noConversion"/>
  </si>
  <si>
    <t>2-5层（无车库）</t>
    <phoneticPr fontId="143" type="noConversion"/>
  </si>
  <si>
    <t>合个数</t>
    <phoneticPr fontId="143" type="noConversion"/>
  </si>
  <si>
    <t>3250/35</t>
    <phoneticPr fontId="3" type="noConversion"/>
  </si>
  <si>
    <r>
      <t>市调租金1</t>
    </r>
    <r>
      <rPr>
        <sz val="11"/>
        <color theme="1"/>
        <rFont val="宋体"/>
        <family val="3"/>
        <charset val="134"/>
        <scheme val="minor"/>
      </rPr>
      <t>-3层</t>
    </r>
    <phoneticPr fontId="143" type="noConversion"/>
  </si>
  <si>
    <t>旭辉丰禄纯真中心商铺</t>
    <phoneticPr fontId="3" type="noConversion"/>
  </si>
  <si>
    <t>商业街</t>
  </si>
  <si>
    <t>配套商业</t>
  </si>
  <si>
    <t>配套商业</t>
    <phoneticPr fontId="31" type="noConversion"/>
  </si>
  <si>
    <t>商业街</t>
    <phoneticPr fontId="31" type="noConversion"/>
  </si>
  <si>
    <t>华澳国际信托有限公司</t>
    <phoneticPr fontId="6" type="noConversion"/>
  </si>
  <si>
    <t>加工商店</t>
    <phoneticPr fontId="143" type="noConversion"/>
  </si>
  <si>
    <t>2015-10-25至2020-10-24</t>
    <phoneticPr fontId="143" type="noConversion"/>
  </si>
  <si>
    <t>超市</t>
    <phoneticPr fontId="143" type="noConversion"/>
  </si>
  <si>
    <r>
      <t>2</t>
    </r>
    <r>
      <rPr>
        <sz val="11"/>
        <color theme="1"/>
        <rFont val="宋体"/>
        <family val="3"/>
        <charset val="134"/>
        <scheme val="minor"/>
      </rPr>
      <t>015-9-1至2018-8-31</t>
    </r>
    <phoneticPr fontId="143" type="noConversion"/>
  </si>
  <si>
    <t>美容美发</t>
    <phoneticPr fontId="143" type="noConversion"/>
  </si>
  <si>
    <r>
      <t>2</t>
    </r>
    <r>
      <rPr>
        <sz val="11"/>
        <color theme="1"/>
        <rFont val="宋体"/>
        <family val="3"/>
        <charset val="134"/>
        <scheme val="minor"/>
      </rPr>
      <t>014-3-1至2019-2-28</t>
    </r>
    <phoneticPr fontId="143" type="noConversion"/>
  </si>
  <si>
    <t>联华超市</t>
    <phoneticPr fontId="143" type="noConversion"/>
  </si>
  <si>
    <r>
      <t>1</t>
    </r>
    <r>
      <rPr>
        <sz val="11"/>
        <color theme="1"/>
        <rFont val="宋体"/>
        <family val="3"/>
        <charset val="134"/>
        <scheme val="minor"/>
      </rPr>
      <t>-2层商业</t>
    </r>
    <phoneticPr fontId="143" type="noConversion"/>
  </si>
  <si>
    <r>
      <t>2</t>
    </r>
    <r>
      <rPr>
        <sz val="11"/>
        <color theme="1"/>
        <rFont val="宋体"/>
        <family val="3"/>
        <charset val="134"/>
        <scheme val="minor"/>
      </rPr>
      <t>012年3-10至2019-3-9</t>
    </r>
    <phoneticPr fontId="143" type="noConversion"/>
  </si>
  <si>
    <t>增幅</t>
    <phoneticPr fontId="143" type="noConversion"/>
  </si>
  <si>
    <t>九亭镇</t>
    <phoneticPr fontId="3" type="noConversion"/>
  </si>
  <si>
    <r>
      <rPr>
        <sz val="12"/>
        <color theme="9" tint="-0.249977111117893"/>
        <rFont val="宋体"/>
        <family val="3"/>
        <charset val="134"/>
      </rPr>
      <t>松江区九亭镇虬泾路</t>
    </r>
    <r>
      <rPr>
        <sz val="12"/>
        <color theme="9" tint="-0.249977111117893"/>
        <rFont val="Arial"/>
        <family val="2"/>
      </rPr>
      <t>116</t>
    </r>
    <r>
      <rPr>
        <sz val="12"/>
        <color theme="9" tint="-0.249977111117893"/>
        <rFont val="宋体"/>
        <family val="3"/>
        <charset val="134"/>
      </rPr>
      <t>号等</t>
    </r>
    <r>
      <rPr>
        <sz val="12"/>
        <color theme="9" tint="-0.249977111117893"/>
        <rFont val="Arial"/>
        <family val="2"/>
      </rPr>
      <t>18</t>
    </r>
    <r>
      <rPr>
        <sz val="12"/>
        <color theme="9" tint="-0.249977111117893"/>
        <rFont val="宋体"/>
        <family val="3"/>
        <charset val="134"/>
      </rPr>
      <t>套商业、地下车库用房</t>
    </r>
    <phoneticPr fontId="6" type="noConversion"/>
  </si>
  <si>
    <t>知雅汇</t>
    <phoneticPr fontId="3" type="noConversion"/>
  </si>
  <si>
    <t>奥林匹克花园</t>
    <phoneticPr fontId="3" type="noConversion"/>
  </si>
  <si>
    <t>万科梦想派</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</si>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</sst>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9"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64" fillId="7" borderId="54"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99" fillId="17" borderId="0" xfId="0" applyFont="1" applyFill="1" applyAlignment="1">
      <alignment horizontal="left" vertical="center"/>
    </xf>
    <xf numFmtId="0" fontId="0" fillId="17" borderId="0" xfId="0" applyFill="1" applyAlignment="1">
      <alignment horizontal="left" vertical="center"/>
    </xf>
    <xf numFmtId="9" fontId="0" fillId="17" borderId="0" xfId="0" applyNumberFormat="1" applyFill="1" applyAlignment="1">
      <alignment horizontal="left"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58" fontId="50" fillId="10" borderId="9" xfId="0" applyNumberFormat="1" applyFont="1" applyFill="1" applyBorder="1" applyAlignment="1" applyProtection="1">
      <alignment horizontal="center" vertical="center" wrapText="1"/>
      <protection locked="0"/>
    </xf>
    <xf numFmtId="0" fontId="130" fillId="0" borderId="156" xfId="0" applyFont="1" applyBorder="1" applyAlignment="1">
      <alignment horizontal="center" vertical="center" wrapText="1"/>
    </xf>
    <xf numFmtId="0" fontId="130" fillId="0" borderId="157" xfId="0" applyFont="1" applyBorder="1" applyAlignment="1">
      <alignment horizontal="center" vertical="center" wrapText="1"/>
    </xf>
    <xf numFmtId="0" fontId="130" fillId="0" borderId="158" xfId="0" applyFont="1" applyBorder="1" applyAlignment="1">
      <alignment horizontal="center" vertical="center" wrapText="1"/>
    </xf>
    <xf numFmtId="0" fontId="130" fillId="0" borderId="159" xfId="0" applyFont="1" applyBorder="1" applyAlignment="1">
      <alignment horizontal="center" vertical="center" wrapText="1"/>
    </xf>
    <xf numFmtId="0" fontId="130" fillId="0" borderId="43" xfId="0" applyFont="1" applyBorder="1" applyAlignment="1">
      <alignment horizontal="center" vertical="center" wrapText="1"/>
    </xf>
    <xf numFmtId="0" fontId="130" fillId="0" borderId="160" xfId="0" applyFont="1" applyBorder="1" applyAlignment="1">
      <alignment horizontal="center" vertical="center" wrapText="1"/>
    </xf>
    <xf numFmtId="0" fontId="130" fillId="0" borderId="161" xfId="0" applyFont="1" applyBorder="1" applyAlignment="1">
      <alignment horizontal="center" vertical="center" wrapText="1"/>
    </xf>
    <xf numFmtId="0" fontId="130" fillId="0" borderId="162" xfId="0" applyFont="1" applyBorder="1" applyAlignment="1">
      <alignment horizontal="center" vertical="center" wrapText="1"/>
    </xf>
    <xf numFmtId="0" fontId="130" fillId="0" borderId="163" xfId="0" applyFont="1" applyBorder="1" applyAlignment="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9" fontId="99" fillId="0" borderId="0" xfId="0" applyNumberFormat="1" applyFont="1" applyAlignment="1">
      <alignment horizontal="left" vertical="center"/>
    </xf>
    <xf numFmtId="181" fontId="99" fillId="0" borderId="0" xfId="0" applyNumberFormat="1" applyFont="1" applyAlignment="1">
      <alignment horizontal="left" vertical="center"/>
    </xf>
    <xf numFmtId="181" fontId="0" fillId="17" borderId="0" xfId="0" applyNumberFormat="1" applyFill="1" applyAlignment="1">
      <alignment horizontal="left" vertical="center"/>
    </xf>
    <xf numFmtId="10" fontId="50" fillId="9" borderId="1" xfId="1" applyNumberFormat="1" applyFont="1" applyFill="1" applyBorder="1" applyAlignment="1" applyProtection="1">
      <alignment horizontal="center" vertical="center"/>
      <protection locked="0"/>
    </xf>
    <xf numFmtId="0" fontId="61" fillId="9" borderId="3" xfId="0" applyNumberFormat="1" applyFont="1" applyFill="1" applyBorder="1" applyAlignment="1" applyProtection="1">
      <alignment horizontal="center" vertical="center" wrapText="1"/>
      <protection locked="0"/>
    </xf>
    <xf numFmtId="0" fontId="50" fillId="9" borderId="16" xfId="0" applyNumberFormat="1" applyFont="1" applyFill="1" applyBorder="1" applyAlignment="1" applyProtection="1">
      <alignment horizontal="center" vertical="center" wrapText="1"/>
    </xf>
    <xf numFmtId="0" fontId="50" fillId="9" borderId="1" xfId="0" applyFont="1" applyFill="1" applyBorder="1" applyAlignment="1" applyProtection="1">
      <alignment horizontal="center" vertical="center"/>
    </xf>
    <xf numFmtId="179" fontId="50" fillId="9" borderId="1"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49" fontId="0" fillId="0" borderId="0" xfId="0" applyNumberFormat="1" applyAlignment="1">
      <alignment horizontal="right" vertical="center"/>
    </xf>
    <xf numFmtId="49" fontId="99" fillId="0" borderId="0" xfId="0" applyNumberFormat="1" applyFont="1" applyAlignment="1">
      <alignment horizontal="right" vertical="center"/>
    </xf>
    <xf numFmtId="0" fontId="0" fillId="0" borderId="0" xfId="0" applyAlignment="1">
      <alignment horizontal="right" vertical="center"/>
    </xf>
    <xf numFmtId="0" fontId="0" fillId="17" borderId="0" xfId="0" applyFill="1" applyAlignment="1">
      <alignment horizontal="right" vertical="center"/>
    </xf>
    <xf numFmtId="14" fontId="0" fillId="0" borderId="0" xfId="0" applyNumberFormat="1" applyAlignment="1">
      <alignment horizontal="right" vertical="center"/>
    </xf>
    <xf numFmtId="0" fontId="99" fillId="0" borderId="0" xfId="0" applyFont="1" applyAlignment="1">
      <alignment horizontal="right" vertical="center"/>
    </xf>
    <xf numFmtId="2" fontId="99" fillId="17" borderId="0" xfId="0" applyNumberFormat="1" applyFont="1" applyFill="1" applyAlignment="1">
      <alignment horizontal="right" vertical="center"/>
    </xf>
    <xf numFmtId="2" fontId="99" fillId="0" borderId="0" xfId="0" applyNumberFormat="1" applyFont="1" applyAlignment="1">
      <alignment horizontal="right" vertical="center"/>
    </xf>
    <xf numFmtId="49" fontId="99" fillId="0" borderId="0" xfId="0" applyNumberFormat="1" applyFont="1" applyAlignment="1">
      <alignment horizontal="left" vertical="center"/>
    </xf>
    <xf numFmtId="179" fontId="99" fillId="0" borderId="0" xfId="0" applyNumberFormat="1" applyFont="1" applyAlignment="1">
      <alignment horizontal="right" vertical="center"/>
    </xf>
    <xf numFmtId="179" fontId="0" fillId="0" borderId="0" xfId="0" applyNumberFormat="1" applyAlignment="1">
      <alignment horizontal="left" vertical="center"/>
    </xf>
    <xf numFmtId="179" fontId="0" fillId="0" borderId="0" xfId="0" applyNumberFormat="1">
      <alignment vertical="center"/>
    </xf>
    <xf numFmtId="0" fontId="114" fillId="0" borderId="0" xfId="0" applyFont="1">
      <alignment vertical="center"/>
    </xf>
    <xf numFmtId="0" fontId="114" fillId="0" borderId="0" xfId="0" applyFont="1" applyAlignment="1">
      <alignment horizontal="right" vertical="center"/>
    </xf>
    <xf numFmtId="181" fontId="105" fillId="8" borderId="1"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50" fillId="9" borderId="1" xfId="0" applyFont="1" applyFill="1" applyBorder="1" applyAlignment="1" applyProtection="1">
      <alignment horizontal="left" vertical="center" wrapText="1"/>
      <protection locked="0"/>
    </xf>
    <xf numFmtId="49" fontId="50" fillId="6" borderId="0" xfId="0" applyNumberFormat="1" applyFont="1" applyFill="1" applyAlignment="1" applyProtection="1">
      <alignment vertical="center"/>
      <protection locked="0"/>
    </xf>
    <xf numFmtId="0" fontId="47" fillId="9" borderId="23"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9" fontId="114" fillId="0" borderId="0" xfId="0" applyNumberFormat="1" applyFont="1">
      <alignment vertical="center"/>
    </xf>
    <xf numFmtId="0" fontId="47" fillId="8" borderId="3" xfId="0" applyFont="1" applyFill="1" applyBorder="1" applyAlignment="1" applyProtection="1">
      <alignment vertical="center"/>
      <protection locked="0"/>
    </xf>
    <xf numFmtId="181" fontId="47" fillId="8" borderId="1"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99" fontId="50" fillId="6" borderId="1" xfId="0" applyNumberFormat="1"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6</xdr:col>
      <xdr:colOff>599486</xdr:colOff>
      <xdr:row>80</xdr:row>
      <xdr:rowOff>85265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115550"/>
          <a:ext cx="4714286" cy="3685715"/>
        </a:xfrm>
        <a:prstGeom prst="rect">
          <a:avLst/>
        </a:prstGeom>
      </xdr:spPr>
    </xdr:pic>
    <xdr:clientData/>
  </xdr:twoCellAnchor>
  <xdr:twoCellAnchor editAs="oneCell">
    <xdr:from>
      <xdr:col>0</xdr:col>
      <xdr:colOff>0</xdr:colOff>
      <xdr:row>80</xdr:row>
      <xdr:rowOff>47625</xdr:rowOff>
    </xdr:from>
    <xdr:to>
      <xdr:col>7</xdr:col>
      <xdr:colOff>180353</xdr:colOff>
      <xdr:row>90</xdr:row>
      <xdr:rowOff>56935</xdr:rowOff>
    </xdr:to>
    <xdr:pic>
      <xdr:nvPicPr>
        <xdr:cNvPr id="9" name="图片 8"/>
        <xdr:cNvPicPr>
          <a:picLocks noChangeAspect="1"/>
        </xdr:cNvPicPr>
      </xdr:nvPicPr>
      <xdr:blipFill>
        <a:blip xmlns:r="http://schemas.openxmlformats.org/officeDocument/2006/relationships" r:embed="rId2"/>
        <a:stretch>
          <a:fillRect/>
        </a:stretch>
      </xdr:blipFill>
      <xdr:spPr>
        <a:xfrm>
          <a:off x="0" y="13763625"/>
          <a:ext cx="4980953" cy="1723810"/>
        </a:xfrm>
        <a:prstGeom prst="rect">
          <a:avLst/>
        </a:prstGeom>
      </xdr:spPr>
    </xdr:pic>
    <xdr:clientData/>
  </xdr:twoCellAnchor>
  <xdr:twoCellAnchor editAs="oneCell">
    <xdr:from>
      <xdr:col>0</xdr:col>
      <xdr:colOff>0</xdr:colOff>
      <xdr:row>91</xdr:row>
      <xdr:rowOff>0</xdr:rowOff>
    </xdr:from>
    <xdr:to>
      <xdr:col>7</xdr:col>
      <xdr:colOff>370829</xdr:colOff>
      <xdr:row>103</xdr:row>
      <xdr:rowOff>123553</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5601950"/>
          <a:ext cx="5171429" cy="2180953"/>
        </a:xfrm>
        <a:prstGeom prst="rect">
          <a:avLst/>
        </a:prstGeom>
      </xdr:spPr>
    </xdr:pic>
    <xdr:clientData/>
  </xdr:twoCellAnchor>
  <xdr:twoCellAnchor editAs="oneCell">
    <xdr:from>
      <xdr:col>0</xdr:col>
      <xdr:colOff>0</xdr:colOff>
      <xdr:row>104</xdr:row>
      <xdr:rowOff>0</xdr:rowOff>
    </xdr:from>
    <xdr:to>
      <xdr:col>7</xdr:col>
      <xdr:colOff>47019</xdr:colOff>
      <xdr:row>112</xdr:row>
      <xdr:rowOff>171257</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7830800"/>
          <a:ext cx="4847619" cy="1542857"/>
        </a:xfrm>
        <a:prstGeom prst="rect">
          <a:avLst/>
        </a:prstGeom>
      </xdr:spPr>
    </xdr:pic>
    <xdr:clientData/>
  </xdr:twoCellAnchor>
  <xdr:twoCellAnchor editAs="oneCell">
    <xdr:from>
      <xdr:col>0</xdr:col>
      <xdr:colOff>0</xdr:colOff>
      <xdr:row>20</xdr:row>
      <xdr:rowOff>161925</xdr:rowOff>
    </xdr:from>
    <xdr:to>
      <xdr:col>6</xdr:col>
      <xdr:colOff>666153</xdr:colOff>
      <xdr:row>43</xdr:row>
      <xdr:rowOff>9051</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3590925"/>
          <a:ext cx="4780953" cy="3790476"/>
        </a:xfrm>
        <a:prstGeom prst="rect">
          <a:avLst/>
        </a:prstGeom>
      </xdr:spPr>
    </xdr:pic>
    <xdr:clientData/>
  </xdr:twoCellAnchor>
  <xdr:twoCellAnchor editAs="oneCell">
    <xdr:from>
      <xdr:col>0</xdr:col>
      <xdr:colOff>0</xdr:colOff>
      <xdr:row>0</xdr:row>
      <xdr:rowOff>0</xdr:rowOff>
    </xdr:from>
    <xdr:to>
      <xdr:col>6</xdr:col>
      <xdr:colOff>589962</xdr:colOff>
      <xdr:row>21</xdr:row>
      <xdr:rowOff>75741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0"/>
          <a:ext cx="4704762" cy="3676191"/>
        </a:xfrm>
        <a:prstGeom prst="rect">
          <a:avLst/>
        </a:prstGeom>
      </xdr:spPr>
    </xdr:pic>
    <xdr:clientData/>
  </xdr:twoCellAnchor>
  <xdr:twoCellAnchor editAs="oneCell">
    <xdr:from>
      <xdr:col>7</xdr:col>
      <xdr:colOff>0</xdr:colOff>
      <xdr:row>0</xdr:row>
      <xdr:rowOff>0</xdr:rowOff>
    </xdr:from>
    <xdr:to>
      <xdr:col>13</xdr:col>
      <xdr:colOff>542343</xdr:colOff>
      <xdr:row>22</xdr:row>
      <xdr:rowOff>123338</xdr:rowOff>
    </xdr:to>
    <xdr:pic>
      <xdr:nvPicPr>
        <xdr:cNvPr id="16" name="图片 15"/>
        <xdr:cNvPicPr>
          <a:picLocks noChangeAspect="1"/>
        </xdr:cNvPicPr>
      </xdr:nvPicPr>
      <xdr:blipFill>
        <a:blip xmlns:r="http://schemas.openxmlformats.org/officeDocument/2006/relationships" r:embed="rId7"/>
        <a:stretch>
          <a:fillRect/>
        </a:stretch>
      </xdr:blipFill>
      <xdr:spPr>
        <a:xfrm>
          <a:off x="4800600" y="0"/>
          <a:ext cx="4657143" cy="3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上海市松江区九亭镇虬泾路116号等18套商业、地下车库用房房地产抵押价值预评估</v>
      </c>
    </row>
    <row r="3" spans="1:2" s="1594" customFormat="1">
      <c r="A3" s="1592" t="s">
        <v>1221</v>
      </c>
      <c r="B3" s="1593" t="str">
        <f>'预评函-封皮'!B40</f>
        <v>上海三盛宏业投资(集团)有限责任公司</v>
      </c>
    </row>
    <row r="4" spans="1:2" s="1594" customFormat="1">
      <c r="A4" s="1592" t="s">
        <v>1222</v>
      </c>
      <c r="B4" s="1593" t="str">
        <f ca="1">'预评函-封皮'!B46</f>
        <v>王鹏（注册号：1120050019)、郑燚（注册号：1120070131)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受贵公司委托，我公司对上海市松江区九亭镇虬泾路116号等18套商业、地下车库用房房地产抵押价值进行了预评估。</v>
      </c>
    </row>
    <row r="7" spans="1:2" s="1594" customFormat="1">
      <c r="A7" s="1592" t="s">
        <v>1264</v>
      </c>
      <c r="B7" s="1593" t="str">
        <f>'预评函-1'!A7</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为估价委托人在向华澳国际信托有限公司办理贷款手续过程中，确定房地产抵押贷款额度提供参考依据而评估房地产抵押价值。</v>
      </c>
    </row>
    <row r="12" spans="1:2" s="1594" customFormat="1">
      <c r="A12" s="1592" t="s">
        <v>1226</v>
      </c>
      <c r="B12" s="1593" t="str">
        <f>'预评函-1'!A15</f>
        <v>2018年9月1日（评估专业人员实地查勘之日）</v>
      </c>
    </row>
    <row r="13" spans="1:2" s="1594" customFormat="1">
      <c r="A13" s="1592" t="s">
        <v>1227</v>
      </c>
      <c r="B13" s="1593" t="str">
        <f>'预评函-1'!A18</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4" spans="1:2" s="1594" customFormat="1">
      <c r="A14" s="1592" t="s">
        <v>1228</v>
      </c>
      <c r="B14" s="1593" t="str">
        <f>'预评函-1'!A19</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37430</v>
      </c>
    </row>
    <row r="21" spans="1:2" s="1594" customFormat="1">
      <c r="A21" s="1592" t="s">
        <v>1235</v>
      </c>
      <c r="B21" s="1593">
        <f ca="1">'预评函-2'!D7</f>
        <v>28539</v>
      </c>
    </row>
    <row r="22" spans="1:2" s="1594" customFormat="1">
      <c r="A22" s="1592" t="s">
        <v>1236</v>
      </c>
      <c r="B22" s="1593" t="str">
        <f ca="1">'预评函-2'!D6</f>
        <v>叁亿柒仟肆佰叁拾万元整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37430</v>
      </c>
    </row>
    <row r="31" spans="1:2" s="1594" customFormat="1">
      <c r="A31" s="1592" t="s">
        <v>1274</v>
      </c>
      <c r="B31" s="1593">
        <f ca="1">'预评函-2'!D15</f>
        <v>22872</v>
      </c>
    </row>
    <row r="32" spans="1:2" s="1594" customFormat="1">
      <c r="A32" s="1592" t="s">
        <v>1241</v>
      </c>
      <c r="B32" s="1593" t="str">
        <f ca="1">'预评函-2'!D14</f>
        <v>叁亿柒仟肆佰叁拾万元整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上海市松江区九亭镇虬泾路116号等18套商业、地下车库用房房地产</v>
      </c>
    </row>
    <row r="42" spans="1:2" s="1594" customFormat="1">
      <c r="A42" s="1592" t="s">
        <v>1288</v>
      </c>
      <c r="B42" s="1593" t="str">
        <f>'预评函-3'!B2</f>
        <v>建筑面积</v>
      </c>
    </row>
    <row r="43" spans="1:2" s="1594" customFormat="1">
      <c r="A43" s="1592" t="s">
        <v>1289</v>
      </c>
      <c r="B43" s="1593">
        <f>'预评函-3'!B4</f>
        <v>16365.18</v>
      </c>
    </row>
    <row r="44" spans="1:2" s="1594" customFormat="1">
      <c r="A44" s="1592" t="s">
        <v>1273</v>
      </c>
      <c r="B44" s="1593" t="str">
        <f>'预评函-3'!C2</f>
        <v>(分摊)土地面积</v>
      </c>
    </row>
    <row r="45" spans="1:2" s="1594" customFormat="1">
      <c r="A45" s="1592" t="s">
        <v>1245</v>
      </c>
      <c r="B45" s="1593">
        <f>'预评函-3'!C4</f>
        <v>13637.65</v>
      </c>
    </row>
    <row r="46" spans="1:2" s="1594" customFormat="1">
      <c r="A46" s="1592" t="s">
        <v>1271</v>
      </c>
      <c r="B46" s="1593" t="str">
        <f>'预评函-3'!D2</f>
        <v>出让国有建设用地使用权价值</v>
      </c>
    </row>
    <row r="47" spans="1:2" s="1594" customFormat="1">
      <c r="A47" s="1592" t="s">
        <v>1246</v>
      </c>
      <c r="B47" s="1593">
        <f ca="1">'预评函-3'!D4</f>
        <v>11154</v>
      </c>
    </row>
    <row r="48" spans="1:2" s="1594" customFormat="1">
      <c r="A48" s="1592" t="s">
        <v>1247</v>
      </c>
      <c r="B48" s="1593">
        <f ca="1">'预评函-3'!E4</f>
        <v>8504</v>
      </c>
    </row>
    <row r="49" spans="1:2" s="1594" customFormat="1">
      <c r="A49" s="1592" t="s">
        <v>1248</v>
      </c>
      <c r="B49" s="1593" t="str">
        <f ca="1">'预评函-3'!D5</f>
        <v>壹亿壹仟壹佰伍拾肆万元整</v>
      </c>
    </row>
    <row r="50" spans="1:2" s="1594" customFormat="1">
      <c r="A50" s="1592" t="s">
        <v>1272</v>
      </c>
      <c r="B50" s="1593" t="str">
        <f>'预评函-3'!F2</f>
        <v>建筑物价值</v>
      </c>
    </row>
    <row r="51" spans="1:2" s="1594" customFormat="1">
      <c r="A51" s="1592" t="s">
        <v>1249</v>
      </c>
      <c r="B51" s="1593">
        <f ca="1">'预评函-3'!F4</f>
        <v>26276</v>
      </c>
    </row>
    <row r="52" spans="1:2" s="1594" customFormat="1">
      <c r="A52" s="1592" t="s">
        <v>1250</v>
      </c>
      <c r="B52" s="1593">
        <f ca="1">'预评函-3'!G4</f>
        <v>20035</v>
      </c>
    </row>
    <row r="53" spans="1:2" s="1594" customFormat="1">
      <c r="A53" s="1592" t="s">
        <v>1278</v>
      </c>
      <c r="B53" s="1593" t="str">
        <f ca="1">'预评函-3'!F5</f>
        <v>贰亿陆仟贰佰柒拾陆万元整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王鹏</v>
      </c>
    </row>
    <row r="71" spans="1:2">
      <c r="A71" s="1592" t="s">
        <v>1261</v>
      </c>
      <c r="B71" s="1593">
        <f ca="1">'预评函-4'!B4</f>
        <v>1120050019</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7" sqref="X17"/>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3185</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三盛宏业投资(集团)有限责任公司拟使用上海市松江区九亭镇虬泾路116号等18套商业、地下车库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4"/>
      <c r="B54" s="2022" t="s">
        <v>864</v>
      </c>
      <c r="C54" s="2019" t="s">
        <v>1281</v>
      </c>
    </row>
    <row r="55" spans="1:4">
      <c r="A55" s="3064"/>
      <c r="B55" s="2022" t="s">
        <v>865</v>
      </c>
      <c r="C55" s="2019" t="s">
        <v>1282</v>
      </c>
    </row>
    <row r="56" spans="1:4">
      <c r="A56" s="3064"/>
      <c r="B56" s="2022" t="s">
        <v>866</v>
      </c>
      <c r="C56" s="2019" t="s">
        <v>1286</v>
      </c>
    </row>
    <row r="57" spans="1:4">
      <c r="A57" s="306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20" sqref="K20:K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073" t="str">
        <f>IF(B10="北京市","北京市",C10)&amp;F10&amp;IF(结果表!G1="在建","出让国有建设用地使用权及在建建筑物",IF(结果表!G1="土地","出让国有建设用地使用权",))&amp;B9&amp;"预评估"</f>
        <v>上海市松江区九亭镇虬泾路116号等18套商业、地下车库用房房地产抵押价值预评估</v>
      </c>
      <c r="C1" s="3074"/>
      <c r="D1" s="3074"/>
      <c r="E1" s="3074"/>
      <c r="F1" s="3074"/>
      <c r="G1" s="3074"/>
      <c r="H1" s="3074"/>
      <c r="I1" s="307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上海市松江区九亭镇虬泾路116号等18套商业、地下车库用房房地产抵押价值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上海市松江区九亭镇虬泾路116号等18套商业、地下车库用房房地产</v>
      </c>
    </row>
    <row r="3" spans="1:19" ht="18" customHeight="1">
      <c r="A3" s="2035" t="s">
        <v>1778</v>
      </c>
      <c r="B3" s="2036">
        <v>43344</v>
      </c>
      <c r="C3" s="2037" t="s">
        <v>1779</v>
      </c>
      <c r="D3" s="2036">
        <v>43344</v>
      </c>
      <c r="E3" s="2026"/>
      <c r="F3" s="2026"/>
      <c r="G3" s="2026"/>
      <c r="H3" s="2026"/>
      <c r="I3" s="2026"/>
      <c r="J3" s="2026"/>
      <c r="K3" s="2027"/>
      <c r="L3" s="2028"/>
      <c r="M3" s="2028"/>
      <c r="N3" s="2029"/>
      <c r="O3" s="2030"/>
      <c r="P3" s="2029"/>
      <c r="Q3" s="2029"/>
      <c r="R3" s="2029"/>
      <c r="S3" s="2031"/>
    </row>
    <row r="4" spans="1:19" ht="18" customHeight="1" thickBot="1">
      <c r="A4" s="2038" t="s">
        <v>1780</v>
      </c>
      <c r="B4" s="2039" t="s">
        <v>3034</v>
      </c>
      <c r="C4" s="1038">
        <f ca="1">SUMIF(注册房地产估价师,B4,估价师及机构信息!B3:B24)</f>
        <v>1120050019</v>
      </c>
      <c r="D4" s="2039" t="s">
        <v>3035</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2" t="s">
        <v>3036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3019" t="s">
        <v>3250</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
        <v>3212</v>
      </c>
      <c r="C7" s="2049"/>
      <c r="D7" s="2050"/>
      <c r="E7" s="2034"/>
      <c r="F7" s="2042"/>
      <c r="G7" s="2042"/>
      <c r="H7" s="2042"/>
      <c r="I7" s="2042"/>
      <c r="J7" s="2042"/>
      <c r="K7" s="2052"/>
      <c r="L7" s="2028"/>
      <c r="M7" s="2028"/>
      <c r="N7" s="2029"/>
      <c r="O7" s="2030"/>
      <c r="P7" s="2029"/>
      <c r="Q7" s="2029"/>
      <c r="R7" s="2029"/>
    </row>
    <row r="8" spans="1:19" ht="18" customHeight="1">
      <c r="A8" s="2047" t="s">
        <v>1784</v>
      </c>
      <c r="B8" s="2053" t="s">
        <v>3037</v>
      </c>
      <c r="C8" s="2054"/>
      <c r="D8" s="3076" t="s">
        <v>1785</v>
      </c>
      <c r="E8" s="2055" t="s">
        <v>3038</v>
      </c>
      <c r="F8" s="2056"/>
      <c r="G8" s="2026"/>
      <c r="H8" s="2026"/>
      <c r="I8" s="2026"/>
      <c r="J8" s="2042"/>
      <c r="K8" s="2043"/>
      <c r="L8" s="2028"/>
      <c r="M8" s="2028"/>
      <c r="N8" s="2029"/>
      <c r="O8" s="2030"/>
      <c r="P8" s="2029"/>
      <c r="Q8" s="2029"/>
      <c r="R8" s="2029"/>
    </row>
    <row r="9" spans="1:19" ht="18" customHeight="1" thickBot="1">
      <c r="A9" s="2040" t="s">
        <v>1786</v>
      </c>
      <c r="B9" s="2057" t="s">
        <v>3038</v>
      </c>
      <c r="C9" s="2058"/>
      <c r="D9" s="3077"/>
      <c r="E9" s="2057" t="s">
        <v>70</v>
      </c>
      <c r="F9" s="2059"/>
      <c r="G9" s="2060"/>
      <c r="H9" s="2060"/>
      <c r="I9" s="2060"/>
      <c r="J9" s="2042"/>
      <c r="K9" s="2052"/>
      <c r="L9" s="2028"/>
      <c r="M9" s="2028"/>
      <c r="N9" s="2029"/>
      <c r="O9" s="2030"/>
      <c r="P9" s="2029"/>
      <c r="Q9" s="2029"/>
      <c r="R9" s="2029"/>
    </row>
    <row r="10" spans="1:19" ht="18" customHeight="1" thickTop="1">
      <c r="A10" s="2061" t="s">
        <v>1787</v>
      </c>
      <c r="B10" s="2062" t="s">
        <v>3039</v>
      </c>
      <c r="C10" s="2943" t="s">
        <v>3040</v>
      </c>
      <c r="D10" s="2046"/>
      <c r="E10" s="2063" t="s">
        <v>1788</v>
      </c>
      <c r="F10" s="2064" t="s">
        <v>3262</v>
      </c>
      <c r="G10" s="2065"/>
      <c r="H10" s="2066"/>
      <c r="I10" s="2046"/>
      <c r="J10" s="2042"/>
      <c r="K10" s="2052"/>
      <c r="L10" s="2028"/>
      <c r="M10" s="2028"/>
      <c r="N10" s="2029"/>
      <c r="O10" s="2030"/>
      <c r="P10" s="2029"/>
      <c r="Q10" s="2029"/>
      <c r="R10" s="2029"/>
    </row>
    <row r="11" spans="1:19" ht="18" customHeight="1">
      <c r="A11" s="2067" t="s">
        <v>1789</v>
      </c>
      <c r="B11" s="2068" t="s">
        <v>3041</v>
      </c>
      <c r="C11" s="2946" t="s">
        <v>3036</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3042</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v>52008</v>
      </c>
      <c r="F13" s="2076"/>
      <c r="G13" s="2076">
        <v>55661</v>
      </c>
      <c r="H13" s="2076"/>
      <c r="I13" s="1048"/>
      <c r="J13" s="2042"/>
      <c r="K13" s="2052"/>
      <c r="L13" s="2028"/>
      <c r="M13" s="2028"/>
      <c r="N13" s="2029"/>
      <c r="O13" s="2030"/>
      <c r="P13" s="2029"/>
      <c r="Q13" s="2029"/>
      <c r="R13" s="2029"/>
    </row>
    <row r="14" spans="1:19" ht="18" customHeight="1">
      <c r="A14" s="2073"/>
      <c r="B14" s="2074"/>
      <c r="C14" s="2075" t="s">
        <v>1799</v>
      </c>
      <c r="D14" s="1051"/>
      <c r="E14" s="1051">
        <v>40</v>
      </c>
      <c r="F14" s="1051"/>
      <c r="G14" s="1051">
        <v>50</v>
      </c>
      <c r="H14" s="1051"/>
      <c r="I14" s="1051"/>
      <c r="J14" s="2042"/>
      <c r="K14" s="2077"/>
      <c r="L14" s="2028"/>
      <c r="M14" s="2028"/>
      <c r="N14" s="2029"/>
      <c r="O14" s="2030"/>
      <c r="P14" s="2029"/>
      <c r="Q14" s="2029"/>
      <c r="R14" s="2029"/>
    </row>
    <row r="15" spans="1:19" ht="18" customHeight="1">
      <c r="A15" s="2061"/>
      <c r="B15" s="2078"/>
      <c r="C15" s="2075" t="s">
        <v>1800</v>
      </c>
      <c r="D15" s="1050" t="str">
        <f>IF(B12="出让",IF(D13="","",ROUNDDOWN(MIN((D13-$D$3)/365,D14),2)),D14)</f>
        <v/>
      </c>
      <c r="E15" s="1050">
        <f>IF(B12="出让",IF(E13="","",ROUNDDOWN(MIN((E13-$D$3)/365,E14),2)),E14)</f>
        <v>23.73</v>
      </c>
      <c r="F15" s="1050" t="str">
        <f>IF(B12="出让",IF(F13="","",ROUNDDOWN(MIN((F13-$D$3)/365,F14),2)),F14)</f>
        <v/>
      </c>
      <c r="G15" s="1050">
        <f>IF(B12="出让",IF(G13="","",ROUNDDOWN(MIN((G13-$D$3)/365,G14),2)),G14)</f>
        <v>33.74</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3" t="s">
        <v>1801</v>
      </c>
      <c r="B16" s="3083" t="s">
        <v>3043</v>
      </c>
      <c r="C16" s="3084"/>
      <c r="D16" s="3085"/>
      <c r="E16" s="2082" t="s">
        <v>1802</v>
      </c>
      <c r="F16" s="3086" t="s">
        <v>3044</v>
      </c>
      <c r="G16" s="3087"/>
      <c r="H16" s="3087"/>
      <c r="I16" s="3088"/>
      <c r="J16" s="2029"/>
      <c r="K16" s="2079"/>
      <c r="L16" s="2080"/>
      <c r="M16" s="2080"/>
      <c r="N16" s="2081"/>
      <c r="O16" s="2080"/>
      <c r="P16" s="2081"/>
      <c r="Q16" s="2029"/>
      <c r="R16" s="2029"/>
    </row>
    <row r="17" spans="1:22" ht="18" customHeight="1">
      <c r="A17" s="2083" t="s">
        <v>1803</v>
      </c>
      <c r="B17" s="2035" t="s">
        <v>1804</v>
      </c>
      <c r="C17" s="1055">
        <f>'数据-汇总表'!E3</f>
        <v>16365.18</v>
      </c>
      <c r="D17" s="2084" t="s">
        <v>1805</v>
      </c>
      <c r="E17" s="3089" t="s">
        <v>3045</v>
      </c>
      <c r="F17" s="3090"/>
      <c r="G17" s="3090"/>
      <c r="H17" s="3090"/>
      <c r="I17" s="3091"/>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5">
        <f>'数据-汇总表'!D3</f>
        <v>13637.65</v>
      </c>
      <c r="D18" s="2087" t="s">
        <v>1805</v>
      </c>
      <c r="E18" s="3092"/>
      <c r="F18" s="3093"/>
      <c r="G18" s="3093"/>
      <c r="H18" s="3093"/>
      <c r="I18" s="3094"/>
      <c r="J18" s="2029"/>
      <c r="K18" s="2085"/>
      <c r="L18" s="2080"/>
      <c r="M18" s="2080"/>
      <c r="N18" s="2081"/>
      <c r="O18" s="2080"/>
      <c r="P18" s="2081"/>
      <c r="Q18" s="2029"/>
      <c r="R18" s="2029"/>
      <c r="S18" s="2029"/>
      <c r="T18" s="2029"/>
      <c r="U18" s="2029"/>
      <c r="V18" s="2029"/>
    </row>
    <row r="19" spans="1:22" ht="37.5" customHeight="1" thickTop="1" thickBot="1">
      <c r="A19" s="372" t="s">
        <v>1808</v>
      </c>
      <c r="B19" s="351" t="s">
        <v>1809</v>
      </c>
      <c r="C19" s="2088" t="s">
        <v>3046</v>
      </c>
      <c r="D19" s="2089" t="s">
        <v>1810</v>
      </c>
      <c r="E19" s="2090"/>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1811</v>
      </c>
      <c r="B20" s="3079" t="s">
        <v>1812</v>
      </c>
      <c r="C20" s="3080"/>
      <c r="D20" s="3081" t="s">
        <v>1813</v>
      </c>
      <c r="E20" s="3082"/>
      <c r="F20" s="2094" t="s">
        <v>1814</v>
      </c>
      <c r="G20" s="2042"/>
      <c r="H20" s="2042"/>
      <c r="I20" s="2042"/>
      <c r="J20" s="2042"/>
      <c r="K20" s="3078" t="s">
        <v>1815</v>
      </c>
      <c r="L20" s="746"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095" t="s">
        <v>1816</v>
      </c>
      <c r="C21" s="2096" t="s">
        <v>3047</v>
      </c>
      <c r="D21" s="2097"/>
      <c r="E21" s="2098"/>
      <c r="F21" s="2099"/>
      <c r="G21" s="2042"/>
      <c r="H21" s="2042"/>
      <c r="I21" s="2042"/>
      <c r="J21" s="2042"/>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1817</v>
      </c>
      <c r="B23" s="182" t="s">
        <v>1818</v>
      </c>
      <c r="C23" s="2103"/>
      <c r="D23" s="2104" t="s">
        <v>1818</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2" t="s">
        <v>1819</v>
      </c>
      <c r="C24" s="2108"/>
      <c r="D24" s="2102" t="s">
        <v>1819</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2" t="s">
        <v>1820</v>
      </c>
      <c r="C25" s="2108"/>
      <c r="D25" s="2102" t="s">
        <v>1820</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1821</v>
      </c>
      <c r="C26" s="2112"/>
      <c r="D26" s="2113" t="s">
        <v>1822</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66" t="s">
        <v>1823</v>
      </c>
      <c r="B27" s="2061" t="s">
        <v>1824</v>
      </c>
      <c r="C27" s="2116" t="s">
        <v>3048</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66"/>
      <c r="B28" s="2035" t="s">
        <v>1825</v>
      </c>
      <c r="C28" s="2118" t="s">
        <v>3049</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66"/>
      <c r="B29" s="2035" t="s">
        <v>1826</v>
      </c>
      <c r="C29" s="2121" t="s">
        <v>3046</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67"/>
      <c r="B30" s="2035" t="s">
        <v>1827</v>
      </c>
      <c r="C30" s="3068"/>
      <c r="D30" s="3069"/>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70" t="s">
        <v>1828</v>
      </c>
      <c r="B31" s="2123" t="s">
        <v>3050</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71"/>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71"/>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1829</v>
      </c>
      <c r="B34" s="2130" t="s">
        <v>3051</v>
      </c>
      <c r="C34" s="2130" t="s">
        <v>3052</v>
      </c>
      <c r="D34" s="2130" t="s">
        <v>3053</v>
      </c>
      <c r="E34" s="2130" t="s">
        <v>3054</v>
      </c>
      <c r="F34" s="2130" t="s">
        <v>3055</v>
      </c>
      <c r="G34" s="2130" t="s">
        <v>3056</v>
      </c>
      <c r="H34" s="2130"/>
      <c r="I34" s="2042"/>
      <c r="J34" s="2042"/>
      <c r="K34" s="1795">
        <f>COUNTIF(B34:H34,"——")</f>
        <v>0</v>
      </c>
      <c r="L34" s="2071" t="s">
        <v>1830</v>
      </c>
      <c r="M34" s="2071" t="s">
        <v>1831</v>
      </c>
      <c r="N34" s="2071" t="s">
        <v>1832</v>
      </c>
      <c r="O34" s="2071" t="s">
        <v>1833</v>
      </c>
      <c r="P34" s="2071" t="s">
        <v>1834</v>
      </c>
      <c r="Q34" s="2071" t="s">
        <v>1835</v>
      </c>
      <c r="R34" s="2071" t="s">
        <v>1836</v>
      </c>
      <c r="S34" s="3065" t="s">
        <v>1837</v>
      </c>
      <c r="T34" s="2131" t="str">
        <f>NUMBERSTRING(7-K34,1)&amp;"通"</f>
        <v>七通</v>
      </c>
      <c r="U34" s="2029"/>
      <c r="V34" s="2029"/>
    </row>
    <row r="35" spans="1:22" ht="18" customHeight="1">
      <c r="A35" s="2132"/>
      <c r="B35" s="3072" t="s">
        <v>1838</v>
      </c>
      <c r="C35" s="3072"/>
      <c r="D35" s="3072"/>
      <c r="E35" s="3072"/>
      <c r="F35" s="2133" t="str">
        <f>C10</f>
        <v>上海市</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65"/>
      <c r="T35" s="47" t="str">
        <f>IF(T34="一通",L35,IF(T34="二通",M35,IF(T34="三通",N35,IF(T34="四通",O35,IF(T34="五通",P35,IF(T34="六通",Q35,R35))))))</f>
        <v>通路、通电、通讯、通上水、通下水、燃气、</v>
      </c>
      <c r="U35" s="2029"/>
      <c r="V35" s="2029"/>
    </row>
    <row r="36" spans="1:22" ht="18" customHeight="1">
      <c r="A36" s="2134"/>
      <c r="B36" s="2133" t="s">
        <v>1839</v>
      </c>
      <c r="C36" s="2133" t="s">
        <v>1840</v>
      </c>
      <c r="D36" s="2133" t="s">
        <v>1841</v>
      </c>
      <c r="E36" s="2133" t="s">
        <v>1842</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1843</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1844</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1846</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9"/>
      <c r="T42" s="2029"/>
      <c r="U42" s="2029"/>
      <c r="V42" s="2029"/>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1870</v>
      </c>
      <c r="AZ2" s="1271"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93">
        <v>13637.65</v>
      </c>
      <c r="B3" s="13">
        <f>IF(C3="否",G5-AT5,G5)</f>
        <v>16365.18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1874</v>
      </c>
      <c r="B5" s="1803"/>
      <c r="C5" s="1803"/>
      <c r="D5" s="1806"/>
      <c r="E5" s="15" t="s">
        <v>1</v>
      </c>
      <c r="F5" s="15">
        <f>SUM(F13:F587)</f>
        <v>0</v>
      </c>
      <c r="G5" s="15">
        <f>SUM(G13:G587)</f>
        <v>16365.18</v>
      </c>
      <c r="H5" s="15">
        <f t="shared" ref="H5:AT5" si="0">SUM(H13:H656)</f>
        <v>16365.18</v>
      </c>
      <c r="I5" s="15">
        <f t="shared" si="0"/>
        <v>13115.18</v>
      </c>
      <c r="J5" s="15">
        <f t="shared" si="0"/>
        <v>0</v>
      </c>
      <c r="K5" s="15">
        <f t="shared" si="0"/>
        <v>3250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1874</v>
      </c>
      <c r="AW5" s="1803"/>
      <c r="AX5" s="1803"/>
      <c r="AY5" s="16" t="s">
        <v>3</v>
      </c>
      <c r="AZ5" s="17">
        <f t="shared" ref="AZ5:BT5" si="1">SUM(AZ13:AZ656)</f>
        <v>16365.18</v>
      </c>
      <c r="BA5" s="17">
        <f t="shared" si="1"/>
        <v>16365.18</v>
      </c>
      <c r="BB5" s="17">
        <f t="shared" si="1"/>
        <v>13115.18</v>
      </c>
      <c r="BC5" s="17">
        <f t="shared" si="1"/>
        <v>3250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1875</v>
      </c>
      <c r="B6" s="2171"/>
      <c r="C6" s="2171"/>
      <c r="D6" s="2172"/>
      <c r="E6" s="15">
        <f>H6+AC6+AT6</f>
        <v>13637.65</v>
      </c>
      <c r="F6" s="15" t="s">
        <v>1</v>
      </c>
      <c r="G6" s="15" t="s">
        <v>2</v>
      </c>
      <c r="H6" s="19">
        <f>SUMIF(I$12:AB$12,"总值",I6:AB6)</f>
        <v>13637.65</v>
      </c>
      <c r="I6" s="15">
        <f t="shared" ref="I6:AB6" si="2">ROUND($A$3*I5/$B$3,2)</f>
        <v>10929.32</v>
      </c>
      <c r="J6" s="15">
        <f t="shared" si="2"/>
        <v>0</v>
      </c>
      <c r="K6" s="15">
        <f t="shared" si="2"/>
        <v>2708.33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1875</v>
      </c>
      <c r="AW6" s="2171"/>
      <c r="AX6" s="2171"/>
      <c r="AY6" s="20">
        <f>IF(AY3&gt;0,AY3,ROUND($A$3*AZ5/$B$3,2))</f>
        <v>13637.65</v>
      </c>
      <c r="AZ6" s="15" t="s">
        <v>3</v>
      </c>
      <c r="BA6" s="15">
        <f>ROUND($AY$6*BA5/$AZ$5,2)</f>
        <v>13637.65</v>
      </c>
      <c r="BB6" s="15">
        <f>ROUND($AY$6*BB5/$AZ$5,2)</f>
        <v>10929.32</v>
      </c>
      <c r="BC6" s="15">
        <f t="shared" ref="BC6:BH6" si="4">ROUND($AY$6*BC5/$AZ$5,2)</f>
        <v>2708.33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2" t="s">
        <v>1884</v>
      </c>
      <c r="AW7" s="2163" t="s">
        <v>1885</v>
      </c>
      <c r="AX7" s="22"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2" t="s">
        <v>1889</v>
      </c>
      <c r="AD8" s="2185"/>
      <c r="AE8" s="2177"/>
      <c r="AF8" s="1818"/>
      <c r="AG8" s="1818"/>
      <c r="AH8" s="1818"/>
      <c r="AI8" s="1818"/>
      <c r="AJ8" s="1818"/>
      <c r="AK8" s="1818"/>
      <c r="AL8" s="1818"/>
      <c r="AM8" s="1818"/>
      <c r="AN8" s="1818"/>
      <c r="AO8" s="1818"/>
      <c r="AP8" s="1818"/>
      <c r="AQ8" s="1818"/>
      <c r="AR8" s="1818"/>
      <c r="AS8" s="1818"/>
      <c r="AT8" s="1293" t="s">
        <v>1890</v>
      </c>
      <c r="AU8" s="2179" t="s">
        <v>1891</v>
      </c>
      <c r="AV8" s="1293"/>
      <c r="AW8" s="2162"/>
      <c r="AX8" s="1293"/>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3"/>
      <c r="H9" s="2187" t="s">
        <v>1894</v>
      </c>
      <c r="I9" s="2188" t="s">
        <v>3058</v>
      </c>
      <c r="J9" s="982"/>
      <c r="K9" s="2188" t="s">
        <v>3114</v>
      </c>
      <c r="L9" s="982"/>
      <c r="M9" s="2188"/>
      <c r="N9" s="982"/>
      <c r="O9" s="2188"/>
      <c r="P9" s="982"/>
      <c r="Q9" s="2188"/>
      <c r="R9" s="982"/>
      <c r="S9" s="2188"/>
      <c r="T9" s="982"/>
      <c r="U9" s="2188"/>
      <c r="V9" s="982"/>
      <c r="W9" s="2188"/>
      <c r="X9" s="2189"/>
      <c r="Y9" s="2188"/>
      <c r="Z9" s="982"/>
      <c r="AA9" s="2188"/>
      <c r="AB9" s="982"/>
      <c r="AC9" s="2180" t="s">
        <v>1894</v>
      </c>
      <c r="AD9" s="14" t="s">
        <v>1895</v>
      </c>
      <c r="AE9" s="1299"/>
      <c r="AF9" s="14" t="s">
        <v>1896</v>
      </c>
      <c r="AG9" s="1299"/>
      <c r="AH9" s="14" t="s">
        <v>1895</v>
      </c>
      <c r="AI9" s="1299"/>
      <c r="AJ9" s="14" t="s">
        <v>1896</v>
      </c>
      <c r="AK9" s="1299"/>
      <c r="AL9" s="14" t="s">
        <v>1895</v>
      </c>
      <c r="AM9" s="1299"/>
      <c r="AN9" s="14" t="s">
        <v>1896</v>
      </c>
      <c r="AO9" s="1299"/>
      <c r="AP9" s="14" t="s">
        <v>1895</v>
      </c>
      <c r="AQ9" s="1299"/>
      <c r="AR9" s="14" t="s">
        <v>1896</v>
      </c>
      <c r="AS9" s="2190"/>
      <c r="AT9" s="2179"/>
      <c r="AU9" s="2179" t="s">
        <v>1897</v>
      </c>
      <c r="AV9" s="1293"/>
      <c r="AW9" s="2162"/>
      <c r="AX9" s="1293"/>
      <c r="AY9" s="27"/>
      <c r="AZ9" s="27" t="s">
        <v>1887</v>
      </c>
      <c r="BA9" s="2191" t="s">
        <v>1898</v>
      </c>
      <c r="BB9" s="2192"/>
      <c r="BC9" s="1339"/>
      <c r="BD9" s="1339"/>
      <c r="BE9" s="1339"/>
      <c r="BF9" s="1339"/>
      <c r="BG9" s="1339"/>
      <c r="BH9" s="1339"/>
      <c r="BI9" s="1339"/>
      <c r="BJ9" s="1339"/>
      <c r="BK9" s="2193"/>
      <c r="BL9" s="14" t="s">
        <v>1899</v>
      </c>
      <c r="BM9" s="1818"/>
      <c r="BN9" s="2182"/>
      <c r="BO9" s="1818"/>
      <c r="BP9" s="1818"/>
      <c r="BQ9" s="1818"/>
      <c r="BR9" s="1818"/>
      <c r="BS9" s="1818"/>
      <c r="BT9" s="25"/>
    </row>
    <row r="10" spans="1:72" s="2186" customFormat="1" ht="12.75">
      <c r="A10" s="2179"/>
      <c r="B10" s="2179"/>
      <c r="C10" s="2179"/>
      <c r="D10" s="2179"/>
      <c r="E10" s="2179"/>
      <c r="F10" s="2179"/>
      <c r="G10" s="1293"/>
      <c r="H10" s="27"/>
      <c r="I10" s="2188" t="s">
        <v>1377</v>
      </c>
      <c r="J10" s="982"/>
      <c r="K10" s="2194" t="s">
        <v>3115</v>
      </c>
      <c r="L10" s="982"/>
      <c r="M10" s="2194"/>
      <c r="N10" s="982"/>
      <c r="O10" s="2194"/>
      <c r="P10" s="982"/>
      <c r="Q10" s="2194"/>
      <c r="R10" s="982"/>
      <c r="S10" s="2194"/>
      <c r="T10" s="982"/>
      <c r="U10" s="2194"/>
      <c r="V10" s="982"/>
      <c r="W10" s="2194"/>
      <c r="X10" s="982"/>
      <c r="Y10" s="2194"/>
      <c r="Z10" s="982"/>
      <c r="AA10" s="2194"/>
      <c r="AB10" s="982"/>
      <c r="AC10" s="1293"/>
      <c r="AD10" s="14" t="s">
        <v>1900</v>
      </c>
      <c r="AE10" s="2195"/>
      <c r="AF10" s="14" t="s">
        <v>1900</v>
      </c>
      <c r="AG10" s="2195"/>
      <c r="AH10" s="14" t="s">
        <v>1901</v>
      </c>
      <c r="AI10" s="2195"/>
      <c r="AJ10" s="14" t="s">
        <v>1901</v>
      </c>
      <c r="AK10" s="2195"/>
      <c r="AL10" s="14" t="s">
        <v>1902</v>
      </c>
      <c r="AM10" s="1299"/>
      <c r="AN10" s="14" t="s">
        <v>1902</v>
      </c>
      <c r="AO10" s="1299"/>
      <c r="AP10" s="14" t="s">
        <v>1903</v>
      </c>
      <c r="AQ10" s="1299"/>
      <c r="AR10" s="14" t="s">
        <v>1903</v>
      </c>
      <c r="AS10" s="1299"/>
      <c r="AT10" s="2179"/>
      <c r="AU10" s="2179"/>
      <c r="AV10" s="1293"/>
      <c r="AW10" s="2162"/>
      <c r="AX10" s="1293"/>
      <c r="AY10" s="27"/>
      <c r="AZ10" s="27"/>
      <c r="BA10" s="2196" t="s">
        <v>1894</v>
      </c>
      <c r="BB10" s="2197" t="str">
        <f>I9</f>
        <v>地上</v>
      </c>
      <c r="BC10" s="28" t="str">
        <f>K9</f>
        <v>地下</v>
      </c>
      <c r="BD10" s="28">
        <f>M9</f>
        <v>0</v>
      </c>
      <c r="BE10" s="28">
        <f>O9</f>
        <v>0</v>
      </c>
      <c r="BF10" s="28">
        <f>Q9</f>
        <v>0</v>
      </c>
      <c r="BG10" s="28">
        <f>S9</f>
        <v>0</v>
      </c>
      <c r="BH10" s="28">
        <f>U9</f>
        <v>0</v>
      </c>
      <c r="BI10" s="28">
        <f>W9</f>
        <v>0</v>
      </c>
      <c r="BJ10" s="28">
        <f>Y9</f>
        <v>0</v>
      </c>
      <c r="BK10" s="28">
        <f>AA9</f>
        <v>0</v>
      </c>
      <c r="BL10" s="24" t="s">
        <v>1894</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3"/>
      <c r="H11" s="2196"/>
      <c r="I11" s="2199" t="s">
        <v>3059</v>
      </c>
      <c r="J11" s="2200"/>
      <c r="K11" s="2199" t="s">
        <v>3115</v>
      </c>
      <c r="L11" s="2200"/>
      <c r="M11" s="2199"/>
      <c r="N11" s="2200"/>
      <c r="O11" s="2199"/>
      <c r="P11" s="2200"/>
      <c r="Q11" s="2199"/>
      <c r="R11" s="2200"/>
      <c r="S11" s="2199"/>
      <c r="T11" s="2200"/>
      <c r="U11" s="2199"/>
      <c r="V11" s="2200"/>
      <c r="W11" s="2199"/>
      <c r="X11" s="2200"/>
      <c r="Y11" s="2199"/>
      <c r="Z11" s="2200"/>
      <c r="AA11" s="2199"/>
      <c r="AB11" s="2200"/>
      <c r="AC11" s="1293"/>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3"/>
      <c r="AW11" s="2162"/>
      <c r="AX11" s="1293"/>
      <c r="AY11" s="27"/>
      <c r="AZ11" s="27"/>
      <c r="BA11" s="27"/>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4" t="s">
        <v>1907</v>
      </c>
      <c r="AT12" s="2207"/>
      <c r="AU12" s="2204"/>
      <c r="AV12" s="30"/>
      <c r="AW12" s="2163"/>
      <c r="AX12" s="30"/>
      <c r="AY12" s="2208"/>
      <c r="AZ12" s="27"/>
      <c r="BA12" s="2196"/>
      <c r="BB12" s="23" t="str">
        <f>I11</f>
        <v>独立商业</v>
      </c>
      <c r="BC12" s="2209" t="str">
        <f>K11</f>
        <v>车库</v>
      </c>
      <c r="BD12" s="2209">
        <f>M11</f>
        <v>0</v>
      </c>
      <c r="BE12" s="2184">
        <f>O11</f>
        <v>0</v>
      </c>
      <c r="BF12" s="2184">
        <f>Q11</f>
        <v>0</v>
      </c>
      <c r="BG12" s="2184">
        <f>S11</f>
        <v>0</v>
      </c>
      <c r="BH12" s="2184">
        <f>U11</f>
        <v>0</v>
      </c>
      <c r="BI12" s="2184">
        <f>W11</f>
        <v>0</v>
      </c>
      <c r="BJ12" s="2184">
        <f>Y11</f>
        <v>0</v>
      </c>
      <c r="BK12" s="2184">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3"/>
      <c r="B13" s="1273"/>
      <c r="C13" s="1273" t="s">
        <v>3060</v>
      </c>
      <c r="D13" s="2210" t="s">
        <v>3057</v>
      </c>
      <c r="E13" s="15">
        <f>IF($C$3="是",ROUND($A$3*G13/$B$3,2),ROUND($A$3*(G13-AT13)/$B$3,2))</f>
        <v>297.74</v>
      </c>
      <c r="F13" s="31"/>
      <c r="G13" s="32">
        <f>H13+AC13+AT13</f>
        <v>357.29</v>
      </c>
      <c r="H13" s="19">
        <f>SUMIF(I$12:AB$12,"总值",I13:AB13)</f>
        <v>357.29</v>
      </c>
      <c r="I13" s="2211">
        <f>面积!E2</f>
        <v>357.29</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116号商铺</v>
      </c>
      <c r="AY13" s="1806">
        <f>ROUND($AY$6*AZ13/$AZ$5,2)</f>
        <v>297.74</v>
      </c>
      <c r="AZ13" s="15">
        <f>BA13+BL13</f>
        <v>357.29</v>
      </c>
      <c r="BA13" s="15">
        <f>SUM(BB13:BK13)</f>
        <v>357.29</v>
      </c>
      <c r="BB13" s="15">
        <f>IF($D13="是",I13-J13,0)</f>
        <v>357.29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3"/>
      <c r="B14" s="1273"/>
      <c r="C14" s="1273" t="s">
        <v>3061</v>
      </c>
      <c r="D14" s="2210" t="s">
        <v>3057</v>
      </c>
      <c r="E14" s="15">
        <f>IF($C$3="是",ROUND($A$3*G14/$B$3,2),ROUND($A$3*(G14-AT14)/$B$3,2))</f>
        <v>10631.58</v>
      </c>
      <c r="F14" s="31"/>
      <c r="G14" s="32">
        <f>H14+AC14+AT14</f>
        <v>12757.89</v>
      </c>
      <c r="H14" s="19">
        <f>SUMIF(I$12:AB$12,"总值",I14:AB14)</f>
        <v>12757.89</v>
      </c>
      <c r="I14" s="2211">
        <f>SUM(面积!E3:E18)</f>
        <v>12757.89</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其他商铺</v>
      </c>
      <c r="AY14" s="1806">
        <f>ROUND($AY$6*AZ14/$AZ$5,2)</f>
        <v>10631.58</v>
      </c>
      <c r="AZ14" s="15">
        <f>BA14+BL14</f>
        <v>12757.89</v>
      </c>
      <c r="BA14" s="15">
        <f>SUM(BB14:BK14)</f>
        <v>12757.89</v>
      </c>
      <c r="BB14" s="15">
        <f>IF($D14="是",I14-J14,0)</f>
        <v>12757.89</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3"/>
      <c r="B15" s="1273"/>
      <c r="C15" s="1273" t="s">
        <v>3113</v>
      </c>
      <c r="D15" s="2210" t="s">
        <v>3057</v>
      </c>
      <c r="E15" s="15">
        <f>IF($C$3="是",ROUND($A$3*G15/$B$3,2),ROUND($A$3*(G15-AT15)/$B$3,2))</f>
        <v>2708.33</v>
      </c>
      <c r="F15" s="31"/>
      <c r="G15" s="32">
        <f>H15+AC15+AT15</f>
        <v>3250</v>
      </c>
      <c r="H15" s="19">
        <f>SUMIF(I$12:AB$12,"总值",I15:AB15)</f>
        <v>3250</v>
      </c>
      <c r="I15" s="2211"/>
      <c r="J15" s="2211"/>
      <c r="K15" s="2211">
        <f>面积!E19</f>
        <v>3250</v>
      </c>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2708.33</v>
      </c>
      <c r="AZ15" s="15">
        <f>BA15+BL15</f>
        <v>3250</v>
      </c>
      <c r="BA15" s="15">
        <f>SUM(BB15:BK15)</f>
        <v>3250</v>
      </c>
      <c r="BB15" s="15">
        <f>IF($D15="是",I15-J15,0)</f>
        <v>0</v>
      </c>
      <c r="BC15" s="15">
        <f>IF($D15="是",K15-L15,0)</f>
        <v>3250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3"/>
      <c r="B16" s="1273"/>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3"/>
      <c r="B17" s="1273"/>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3" sqref="H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3"/>
      <c r="C1" s="1393"/>
      <c r="D1" s="1393"/>
      <c r="E1" s="1393"/>
      <c r="F1" s="1393"/>
      <c r="G1" s="1393"/>
      <c r="H1" s="1393"/>
      <c r="I1" s="1393"/>
      <c r="J1" s="1393"/>
      <c r="K1" s="1393"/>
      <c r="L1" s="1393"/>
      <c r="M1" s="1393"/>
      <c r="N1" s="1393"/>
      <c r="O1" s="1393"/>
      <c r="P1" s="1393"/>
    </row>
    <row r="2" spans="1:16" ht="15">
      <c r="A2" s="3106" t="s">
        <v>1934</v>
      </c>
      <c r="B2" s="3106"/>
      <c r="C2" s="3106"/>
      <c r="D2" s="968" t="s">
        <v>1910</v>
      </c>
      <c r="E2" s="2224" t="s">
        <v>1911</v>
      </c>
      <c r="F2" s="1393"/>
      <c r="G2" s="2225"/>
      <c r="H2" s="2226"/>
      <c r="I2" s="2227" t="s">
        <v>1935</v>
      </c>
      <c r="J2" s="1393"/>
      <c r="K2" s="1393"/>
      <c r="L2" s="1393"/>
      <c r="M2" s="1393"/>
      <c r="N2" s="1428"/>
      <c r="O2" s="1393"/>
      <c r="P2" s="1393"/>
    </row>
    <row r="3" spans="1:16" ht="15.75" thickBot="1">
      <c r="A3" s="3107" t="s">
        <v>1908</v>
      </c>
      <c r="B3" s="3107"/>
      <c r="C3" s="3107"/>
      <c r="D3" s="45">
        <f>'数据-基础表'!AY6</f>
        <v>13637.65</v>
      </c>
      <c r="E3" s="45">
        <f>'数据-基础表'!AZ5</f>
        <v>16365.18</v>
      </c>
      <c r="F3" s="1393"/>
      <c r="G3" s="1400"/>
      <c r="H3" s="1248" t="s">
        <v>1909</v>
      </c>
      <c r="I3" s="54">
        <f>ROUND('数据-基础表'!B3/'数据-基础表'!A3,2)</f>
        <v>1.2</v>
      </c>
      <c r="J3" s="1393"/>
      <c r="K3" s="1393"/>
      <c r="L3" s="1393"/>
      <c r="M3" s="1393"/>
      <c r="N3" s="1428"/>
      <c r="O3" s="1393"/>
      <c r="P3" s="1393"/>
    </row>
    <row r="4" spans="1:16" ht="15">
      <c r="A4" s="3108"/>
      <c r="B4" s="3109"/>
      <c r="C4" s="3110"/>
      <c r="D4" s="2228" t="s">
        <v>1910</v>
      </c>
      <c r="E4" s="2229" t="s">
        <v>1911</v>
      </c>
      <c r="F4" s="1393"/>
      <c r="G4" s="2230" t="s">
        <v>1936</v>
      </c>
      <c r="H4" s="1248" t="s">
        <v>1916</v>
      </c>
      <c r="I4" s="54">
        <f>ROUND(SUMIF('数据-基础表'!I9:AS9,"地上",'数据-基础表'!I5:AS5)/'数据-基础表'!A3,2)</f>
        <v>0.96</v>
      </c>
      <c r="J4" s="1393"/>
      <c r="K4" s="1393"/>
      <c r="L4" s="1393"/>
      <c r="M4" s="1393"/>
      <c r="N4" s="1428"/>
      <c r="O4" s="1393"/>
      <c r="P4" s="1393"/>
    </row>
    <row r="5" spans="1:16">
      <c r="A5" s="46" t="s">
        <v>1912</v>
      </c>
      <c r="B5" s="3111" t="s">
        <v>1913</v>
      </c>
      <c r="C5" s="3111"/>
      <c r="D5" s="47">
        <f>ROUND($D$3*E5/$E$3,2)</f>
        <v>0</v>
      </c>
      <c r="E5" s="48">
        <f>SUMIF('数据-基础表'!$11:$11,"住宅",'数据-基础表'!$5:$5)</f>
        <v>0</v>
      </c>
      <c r="F5" s="1393"/>
      <c r="G5" s="1400"/>
      <c r="H5" s="1248" t="s">
        <v>1909</v>
      </c>
      <c r="I5" s="54">
        <f>ROUND(E31/D31,2)</f>
        <v>1.2</v>
      </c>
      <c r="J5" s="1393"/>
      <c r="K5" s="1393"/>
      <c r="L5" s="1393"/>
      <c r="M5" s="1393"/>
      <c r="N5" s="1393"/>
      <c r="O5" s="1393"/>
      <c r="P5" s="1393"/>
    </row>
    <row r="6" spans="1:16" ht="15" thickBot="1">
      <c r="A6" s="2231"/>
      <c r="B6" s="3111" t="s">
        <v>1914</v>
      </c>
      <c r="C6" s="3111"/>
      <c r="D6" s="47">
        <f>ROUND($D$3*E6/$E$3,2)</f>
        <v>13637.65</v>
      </c>
      <c r="E6" s="48">
        <f>E3-E5</f>
        <v>16365.18</v>
      </c>
      <c r="F6" s="1393"/>
      <c r="G6" s="2232" t="s">
        <v>1915</v>
      </c>
      <c r="H6" s="1400" t="s">
        <v>1916</v>
      </c>
      <c r="I6" s="940">
        <f>ROUND(F31/D31,2)</f>
        <v>0.96</v>
      </c>
      <c r="J6" s="1393"/>
      <c r="K6" s="1393"/>
      <c r="L6" s="1393"/>
      <c r="M6" s="1393"/>
      <c r="N6" s="1393"/>
      <c r="O6" s="1393"/>
      <c r="P6" s="1393"/>
    </row>
    <row r="7" spans="1:16" ht="15">
      <c r="A7" s="3103"/>
      <c r="B7" s="3104"/>
      <c r="C7" s="3105"/>
      <c r="D7" s="2228" t="s">
        <v>1910</v>
      </c>
      <c r="E7" s="2233" t="s">
        <v>1917</v>
      </c>
      <c r="F7" s="1393"/>
      <c r="G7" s="2225" t="s">
        <v>1918</v>
      </c>
      <c r="H7" s="63"/>
      <c r="I7" s="419"/>
      <c r="J7" s="1393"/>
      <c r="K7" s="1393"/>
      <c r="L7" s="1393"/>
      <c r="M7" s="1393"/>
      <c r="N7" s="1393"/>
      <c r="O7" s="1393"/>
      <c r="P7" s="1393"/>
    </row>
    <row r="8" spans="1:16">
      <c r="A8" s="46" t="s">
        <v>1919</v>
      </c>
      <c r="B8" s="49" t="s">
        <v>1920</v>
      </c>
      <c r="C8" s="47" t="s">
        <v>1921</v>
      </c>
      <c r="D8" s="47">
        <f t="shared" ref="D8:D15" si="0">ROUND($D$3*E8/$E$3,2)</f>
        <v>10929.32</v>
      </c>
      <c r="E8" s="50">
        <f>SUMIF('数据-基础表'!BB10:BK10,"地上",'数据-基础表'!BB5:BK5)</f>
        <v>13115.18</v>
      </c>
      <c r="F8" s="1393"/>
      <c r="G8" s="2234"/>
      <c r="H8" s="2234"/>
      <c r="I8" s="1393"/>
      <c r="J8" s="1393"/>
      <c r="K8" s="1393"/>
      <c r="L8" s="1393"/>
      <c r="M8" s="1393"/>
      <c r="N8" s="1393"/>
      <c r="O8" s="1393"/>
      <c r="P8" s="1393"/>
    </row>
    <row r="9" spans="1:16">
      <c r="A9" s="2235"/>
      <c r="B9" s="2236"/>
      <c r="C9" s="47" t="s">
        <v>1922</v>
      </c>
      <c r="D9" s="47">
        <f t="shared" si="0"/>
        <v>0</v>
      </c>
      <c r="E9" s="51">
        <v>0</v>
      </c>
      <c r="F9" s="1393"/>
      <c r="G9" s="2234"/>
      <c r="H9" s="2234"/>
      <c r="I9" s="1393"/>
      <c r="J9" s="1393"/>
      <c r="K9" s="1393"/>
      <c r="L9" s="1393"/>
      <c r="M9" s="1393"/>
      <c r="N9" s="1393"/>
      <c r="O9" s="1393"/>
      <c r="P9" s="1393"/>
    </row>
    <row r="10" spans="1:16">
      <c r="A10" s="2235"/>
      <c r="B10" s="2236"/>
      <c r="C10" s="47" t="s">
        <v>1931</v>
      </c>
      <c r="D10" s="47">
        <f t="shared" si="0"/>
        <v>0</v>
      </c>
      <c r="E10" s="50">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7" t="s">
        <v>1923</v>
      </c>
      <c r="D11" s="47">
        <f t="shared" si="0"/>
        <v>0</v>
      </c>
      <c r="E11" s="50">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7" t="s">
        <v>1924</v>
      </c>
      <c r="D12" s="47">
        <f t="shared" si="0"/>
        <v>0</v>
      </c>
      <c r="E12" s="50">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7" t="s">
        <v>1925</v>
      </c>
      <c r="D13" s="47">
        <f t="shared" si="0"/>
        <v>2708.33</v>
      </c>
      <c r="E13" s="50">
        <f>SUMPRODUCT(('数据-基础表'!BB10:BK10="地下")*('数据-基础表'!BB11:BK11="车库")*('数据-基础表'!BB5:BK5))</f>
        <v>3250</v>
      </c>
      <c r="F13" s="1393"/>
      <c r="G13" s="2234"/>
      <c r="H13" s="2234"/>
      <c r="I13" s="1393"/>
      <c r="J13" s="1393"/>
      <c r="K13" s="1393"/>
      <c r="L13" s="1393"/>
      <c r="M13" s="1393"/>
      <c r="N13" s="1393"/>
      <c r="O13" s="1393"/>
      <c r="P13" s="1393"/>
    </row>
    <row r="14" spans="1:16">
      <c r="A14" s="2235"/>
      <c r="B14" s="2236"/>
      <c r="C14" s="47" t="s">
        <v>1937</v>
      </c>
      <c r="D14" s="47">
        <f t="shared" si="0"/>
        <v>0</v>
      </c>
      <c r="E14" s="50">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7" t="s">
        <v>1932</v>
      </c>
      <c r="D15" s="47">
        <f t="shared" si="0"/>
        <v>0</v>
      </c>
      <c r="E15" s="50">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49" t="s">
        <v>1926</v>
      </c>
      <c r="D16" s="49">
        <f>SUM(D8:D15)</f>
        <v>13637.65</v>
      </c>
      <c r="E16" s="52">
        <f>SUM(E8:E15)</f>
        <v>16365.18</v>
      </c>
      <c r="F16" s="1393"/>
      <c r="G16" s="2234"/>
      <c r="H16" s="2237" t="s">
        <v>1938</v>
      </c>
      <c r="I16" s="2238"/>
      <c r="J16" s="1393"/>
      <c r="K16" s="3100" t="s">
        <v>1938</v>
      </c>
      <c r="L16" s="3101"/>
      <c r="M16" s="3101"/>
      <c r="N16" s="3101"/>
      <c r="O16" s="3101"/>
      <c r="P16" s="3102"/>
    </row>
    <row r="17" spans="1:19" ht="15">
      <c r="A17" s="2239" t="s">
        <v>1939</v>
      </c>
      <c r="B17" s="2240" t="s">
        <v>1940</v>
      </c>
      <c r="C17" s="2241" t="s">
        <v>1941</v>
      </c>
      <c r="D17" s="2242" t="s">
        <v>1929</v>
      </c>
      <c r="E17" s="2243" t="s">
        <v>1930</v>
      </c>
      <c r="F17" s="2244"/>
      <c r="G17" s="2245"/>
      <c r="H17" s="2246" t="s">
        <v>1942</v>
      </c>
      <c r="I17" s="2247" t="s">
        <v>1927</v>
      </c>
      <c r="J17" s="1393"/>
      <c r="K17" s="3097" t="s">
        <v>1943</v>
      </c>
      <c r="L17" s="3098"/>
      <c r="M17" s="3099"/>
      <c r="N17" s="3097" t="s">
        <v>1944</v>
      </c>
      <c r="O17" s="3098"/>
      <c r="P17" s="3099"/>
      <c r="R17" s="2225" t="s">
        <v>1945</v>
      </c>
      <c r="S17" s="63"/>
    </row>
    <row r="18" spans="1:19" ht="15">
      <c r="A18" s="2235"/>
      <c r="B18" s="2248"/>
      <c r="C18" s="2249"/>
      <c r="D18" s="2250"/>
      <c r="E18" s="2251" t="s">
        <v>1946</v>
      </c>
      <c r="F18" s="2252" t="s">
        <v>1947</v>
      </c>
      <c r="G18" s="2253" t="s">
        <v>1948</v>
      </c>
      <c r="H18" s="1263" t="s">
        <v>1949</v>
      </c>
      <c r="I18" s="2254" t="s">
        <v>1950</v>
      </c>
      <c r="J18" s="1393"/>
      <c r="K18" s="1263" t="s">
        <v>1951</v>
      </c>
      <c r="L18" s="2255" t="s">
        <v>1952</v>
      </c>
      <c r="M18" s="1047" t="s">
        <v>1953</v>
      </c>
      <c r="N18" s="1263" t="s">
        <v>1951</v>
      </c>
      <c r="O18" s="2255" t="s">
        <v>1952</v>
      </c>
      <c r="P18" s="1047" t="s">
        <v>1953</v>
      </c>
      <c r="R18" s="1248" t="s">
        <v>1954</v>
      </c>
      <c r="S18" s="1248" t="s">
        <v>1955</v>
      </c>
    </row>
    <row r="19" spans="1:19">
      <c r="A19" s="2256"/>
      <c r="B19" s="49" t="s">
        <v>1928</v>
      </c>
      <c r="C19" s="2968" t="s">
        <v>3131</v>
      </c>
      <c r="D19" s="47">
        <f>ROUND($D$3*E19/$E$3,2)</f>
        <v>10929.32</v>
      </c>
      <c r="E19" s="55">
        <f t="shared" ref="E19:E26" si="1">SUM(F19:G19)</f>
        <v>13115.18</v>
      </c>
      <c r="F19" s="56">
        <f>'数据-基础表'!I13+'数据-基础表'!I14</f>
        <v>13115.18</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10929.32</v>
      </c>
      <c r="S19" s="1249">
        <f t="shared" si="5"/>
        <v>13115.18</v>
      </c>
    </row>
    <row r="20" spans="1:19">
      <c r="A20" s="2260"/>
      <c r="B20" s="49" t="s">
        <v>1956</v>
      </c>
      <c r="C20" s="2257" t="s">
        <v>48</v>
      </c>
      <c r="D20" s="47">
        <f t="shared" ref="D20:D26" si="6">ROUND($D$3*E20/$E$3,2)</f>
        <v>2708.33</v>
      </c>
      <c r="E20" s="55">
        <f t="shared" si="1"/>
        <v>3250</v>
      </c>
      <c r="F20" s="56"/>
      <c r="G20" s="57">
        <f>'数据-基础表'!K15</f>
        <v>3250</v>
      </c>
      <c r="H20" s="721">
        <f t="shared" ref="H20:H26" si="7">ROUND($D$3*I20/$E$3,2)</f>
        <v>0</v>
      </c>
      <c r="I20" s="50">
        <f t="shared" si="2"/>
        <v>0</v>
      </c>
      <c r="J20" s="1393"/>
      <c r="K20" s="1392">
        <f t="shared" si="3"/>
        <v>0</v>
      </c>
      <c r="L20" s="1248">
        <f t="shared" si="4"/>
        <v>0</v>
      </c>
      <c r="M20" s="1404">
        <f t="shared" ref="M20:M26" si="8">K20+L20</f>
        <v>0</v>
      </c>
      <c r="N20" s="2258"/>
      <c r="O20" s="2259"/>
      <c r="P20" s="1404">
        <f t="shared" ref="P20:P26" si="9">N20+O20</f>
        <v>0</v>
      </c>
      <c r="R20" s="1248">
        <f t="shared" si="5"/>
        <v>2708.33</v>
      </c>
      <c r="S20" s="1249">
        <f t="shared" si="5"/>
        <v>3250</v>
      </c>
    </row>
    <row r="21" spans="1:19">
      <c r="A21" s="2260"/>
      <c r="B21" s="49" t="s">
        <v>1956</v>
      </c>
      <c r="C21" s="2257"/>
      <c r="D21" s="47">
        <f t="shared" si="6"/>
        <v>0</v>
      </c>
      <c r="E21" s="55">
        <f t="shared" si="1"/>
        <v>0</v>
      </c>
      <c r="F21" s="56"/>
      <c r="G21" s="57"/>
      <c r="H21" s="721">
        <f t="shared" si="7"/>
        <v>0</v>
      </c>
      <c r="I21" s="50">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49" t="s">
        <v>1956</v>
      </c>
      <c r="C22" s="59"/>
      <c r="D22" s="47">
        <f t="shared" si="6"/>
        <v>0</v>
      </c>
      <c r="E22" s="55">
        <f t="shared" si="1"/>
        <v>0</v>
      </c>
      <c r="F22" s="60"/>
      <c r="G22" s="61"/>
      <c r="H22" s="721">
        <f t="shared" si="7"/>
        <v>0</v>
      </c>
      <c r="I22" s="50">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49" t="s">
        <v>1956</v>
      </c>
      <c r="C23" s="59"/>
      <c r="D23" s="47">
        <f>ROUND($D$3*E23/$E$3,2)</f>
        <v>0</v>
      </c>
      <c r="E23" s="55">
        <f>SUM(F23:G23)</f>
        <v>0</v>
      </c>
      <c r="F23" s="60"/>
      <c r="G23" s="61"/>
      <c r="H23" s="721">
        <f>ROUND($D$3*I23/$E$3,2)</f>
        <v>0</v>
      </c>
      <c r="I23" s="50">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49" t="s">
        <v>1956</v>
      </c>
      <c r="C24" s="59"/>
      <c r="D24" s="47">
        <f>ROUND($D$3*E24/$E$3,2)</f>
        <v>0</v>
      </c>
      <c r="E24" s="55">
        <f>SUM(F24:G24)</f>
        <v>0</v>
      </c>
      <c r="F24" s="60"/>
      <c r="G24" s="61"/>
      <c r="H24" s="721">
        <f>ROUND($D$3*I24/$E$3,2)</f>
        <v>0</v>
      </c>
      <c r="I24" s="50">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49" t="s">
        <v>1956</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49" t="s">
        <v>1956</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1"/>
      <c r="O26" s="2262"/>
      <c r="P26" s="66">
        <f t="shared" si="9"/>
        <v>0</v>
      </c>
      <c r="R26" s="1248">
        <f t="shared" si="5"/>
        <v>0</v>
      </c>
      <c r="S26" s="1249">
        <f t="shared" si="5"/>
        <v>0</v>
      </c>
    </row>
    <row r="27" spans="1:19" ht="15.75" thickBot="1">
      <c r="A27" s="2260"/>
      <c r="B27" s="47"/>
      <c r="C27" s="2263" t="s">
        <v>1957</v>
      </c>
      <c r="D27" s="1394">
        <f>SUM(D19:D26)</f>
        <v>13637.65</v>
      </c>
      <c r="E27" s="1395">
        <f>IF(SUM(E19:E26)='数据-基础表'!BA5,SUM(E19:E26),IF(F27="地上面积有误","面积有误","地下面积有误"))</f>
        <v>16365.18</v>
      </c>
      <c r="F27" s="1394">
        <f>IF(SUM(F19:F26)=E8,SUM(F19:F26),"地上面积有误")</f>
        <v>13115.18</v>
      </c>
      <c r="G27" s="1396">
        <f>SUM(G19:G26)</f>
        <v>3250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13637.65</v>
      </c>
      <c r="S27" s="1248">
        <f>IF(SUM(S19:S26)=$E$3,SUM(S19:S26),SUM(S19:S26)&amp;"误差"&amp;ROUND(SUM(S19:S26)-E3,2))</f>
        <v>16365.18</v>
      </c>
    </row>
    <row r="28" spans="1:19">
      <c r="A28" s="2260"/>
      <c r="B28" s="49" t="s">
        <v>1958</v>
      </c>
      <c r="C28" s="1260" t="s">
        <v>1959</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0"/>
      <c r="B29" s="49" t="s">
        <v>1958</v>
      </c>
      <c r="C29" s="2264" t="s">
        <v>1960</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0"/>
      <c r="B30" s="49"/>
      <c r="C30" s="2265"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1961</v>
      </c>
      <c r="D31" s="727">
        <f>D27+D30</f>
        <v>13637.65</v>
      </c>
      <c r="E31" s="727">
        <f>E27+E30</f>
        <v>16365.18</v>
      </c>
      <c r="F31" s="728">
        <f>F27+F30</f>
        <v>13115.18</v>
      </c>
      <c r="G31" s="729">
        <f>G27+G30</f>
        <v>3250</v>
      </c>
      <c r="H31" s="1393"/>
      <c r="I31" s="1393"/>
      <c r="J31" s="1393"/>
      <c r="K31" s="1393"/>
      <c r="L31" s="1393"/>
      <c r="M31" s="1393"/>
      <c r="N31" s="1393"/>
      <c r="O31" s="1393"/>
      <c r="P31" s="1393"/>
    </row>
    <row r="32" spans="1:19">
      <c r="A32" s="2230"/>
      <c r="B32" s="2230" t="s">
        <v>1962</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hidden="1" customWidth="1"/>
    <col min="16" max="16" width="10.875" style="2272" hidden="1" customWidth="1"/>
    <col min="17"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0"/>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3" t="s">
        <v>1964</v>
      </c>
      <c r="B2" s="1267">
        <f>项目基本情况!D3</f>
        <v>43344</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1971</v>
      </c>
      <c r="B5" s="2287" t="s">
        <v>1972</v>
      </c>
      <c r="C5" s="2288" t="s">
        <v>1973</v>
      </c>
      <c r="D5" s="2289" t="s">
        <v>1974</v>
      </c>
      <c r="E5" s="1269" t="s">
        <v>1975</v>
      </c>
      <c r="F5" s="2290" t="s">
        <v>1976</v>
      </c>
      <c r="G5" s="1269" t="s">
        <v>1977</v>
      </c>
      <c r="H5" s="1269" t="s">
        <v>1978</v>
      </c>
      <c r="I5" s="1269" t="s">
        <v>1979</v>
      </c>
      <c r="J5" s="2291" t="s">
        <v>1980</v>
      </c>
      <c r="K5" s="2292" t="s">
        <v>1981</v>
      </c>
      <c r="L5" s="2293" t="s">
        <v>1982</v>
      </c>
      <c r="M5" s="2294" t="s">
        <v>1983</v>
      </c>
      <c r="N5" s="2295" t="s">
        <v>3132</v>
      </c>
      <c r="O5" s="2293" t="s">
        <v>1984</v>
      </c>
      <c r="P5" s="2296" t="s">
        <v>1985</v>
      </c>
      <c r="Q5" s="68" t="s">
        <v>1986</v>
      </c>
      <c r="R5" s="2297" t="s">
        <v>1987</v>
      </c>
      <c r="S5" s="2298" t="s">
        <v>1988</v>
      </c>
      <c r="T5" s="2299" t="s">
        <v>1989</v>
      </c>
      <c r="U5" s="1268" t="s">
        <v>1990</v>
      </c>
      <c r="V5" s="1269" t="s">
        <v>1991</v>
      </c>
      <c r="W5" s="1269" t="s">
        <v>1992</v>
      </c>
      <c r="X5" s="70"/>
      <c r="Y5" s="69" t="s">
        <v>1993</v>
      </c>
      <c r="Z5" s="2300" t="s">
        <v>1990</v>
      </c>
      <c r="AA5" s="1269" t="s">
        <v>1991</v>
      </c>
      <c r="AB5" s="1269" t="s">
        <v>1992</v>
      </c>
      <c r="AC5" s="70"/>
      <c r="AD5" s="70" t="s">
        <v>1993</v>
      </c>
      <c r="AE5" s="1268" t="s">
        <v>1994</v>
      </c>
      <c r="AF5" s="1269" t="s">
        <v>1995</v>
      </c>
      <c r="AG5" s="69" t="s">
        <v>1996</v>
      </c>
      <c r="AH5" s="1268" t="s">
        <v>1997</v>
      </c>
      <c r="AI5" s="2300" t="s">
        <v>1998</v>
      </c>
      <c r="AJ5" s="2300" t="s">
        <v>1999</v>
      </c>
      <c r="AK5" s="1269" t="s">
        <v>2000</v>
      </c>
      <c r="AL5" s="1269" t="s">
        <v>2001</v>
      </c>
      <c r="AM5" s="69" t="s">
        <v>2002</v>
      </c>
      <c r="AN5" s="2301" t="s">
        <v>2003</v>
      </c>
      <c r="AO5" s="2071" t="s">
        <v>2004</v>
      </c>
      <c r="AP5" s="1250"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商铺</v>
      </c>
      <c r="B6" s="2304" t="str">
        <f>IF(A6=0,"","经营性")</f>
        <v>经营性</v>
      </c>
      <c r="C6" s="2305" t="s">
        <v>1377</v>
      </c>
      <c r="D6" s="1052">
        <f>SUMIF(项目基本情况!D$12:I$12,C6,项目基本情况!D$14:I$14)</f>
        <v>40</v>
      </c>
      <c r="E6" s="1049">
        <f>IF(B6="","",SUMIF(项目基本情况!D$12:I$12,C6,项目基本情况!D$13:I$13))</f>
        <v>52008</v>
      </c>
      <c r="F6" s="71">
        <f>SUMIF(项目基本情况!D$12:I$12,C6,项目基本情况!D$15:I$15)</f>
        <v>23.73</v>
      </c>
      <c r="G6" s="72">
        <f>IF(ISERROR(ROUND(POWER(1+H6,D6-F6)*(POWER(1+H6,F6)-1)/(POWER(1+H6,D6)-1),3)),0,ROUND(POWER(1+H6,D6-F6)*(POWER(1+H6,F6)-1)/(POWER(1+H6,D6)-1),3))</f>
        <v>0.78300000000000003</v>
      </c>
      <c r="H6" s="800">
        <v>4.4999999999999998E-2</v>
      </c>
      <c r="I6" s="3009">
        <v>4.4999999999999998E-2</v>
      </c>
      <c r="J6" s="73">
        <v>8.5000000000000006E-2</v>
      </c>
      <c r="K6" s="1252">
        <f>SUMIF('数据-汇总表'!C$19:C$33,A6,'数据-汇总表'!E$19:E$33)</f>
        <v>13115.18</v>
      </c>
      <c r="L6" s="801">
        <v>3000</v>
      </c>
      <c r="M6" s="74">
        <f t="shared" ref="M6:M14" si="0">ROUND(K6*L6/10000,0)</f>
        <v>3935</v>
      </c>
      <c r="N6" s="2989">
        <f>ROUND(((1-(2018-2005)/60)+90%)/2,2)</f>
        <v>0.84</v>
      </c>
      <c r="O6" s="74" t="str">
        <f>IF($N$5="成新度","——",ROUND(M6*N6,0))</f>
        <v>——</v>
      </c>
      <c r="P6" s="75" t="str">
        <f>IF($N$5="成新度","——",M6-O6)</f>
        <v>——</v>
      </c>
      <c r="Q6" s="802">
        <v>0.25</v>
      </c>
      <c r="R6" s="76">
        <f ca="1">SUMIF('数据-汇总表'!C$19:C$33,A6,'数据-汇总表'!R$19:R$27)</f>
        <v>10929.32</v>
      </c>
      <c r="S6" s="53">
        <f>IF('数据-汇总表'!$I$17="按面积比例",SUMIF('数据-汇总表'!C$19:C$33,A6,'数据-汇总表'!K$19:K$33),SUMIF('数据-汇总表'!C$19:C$33,A6,'数据-汇总表'!N$19:N$33))</f>
        <v>0</v>
      </c>
      <c r="T6" s="1444">
        <f>ROUND($L$14*S6/10000,0)</f>
        <v>0</v>
      </c>
      <c r="U6" s="3011">
        <f>租金!L11</f>
        <v>1.91</v>
      </c>
      <c r="V6" s="78">
        <v>0</v>
      </c>
      <c r="W6" s="78">
        <v>0</v>
      </c>
      <c r="X6" s="1262"/>
      <c r="Y6" s="79">
        <f>N6</f>
        <v>0.84</v>
      </c>
      <c r="Z6" s="3017">
        <f>租金!J9</f>
        <v>6.63</v>
      </c>
      <c r="AA6" s="3018">
        <v>0.04</v>
      </c>
      <c r="AB6" s="73">
        <v>0.1</v>
      </c>
      <c r="AC6" s="1262"/>
      <c r="AD6" s="81">
        <f>ROUND(1-(2027-2005)/60,2)</f>
        <v>0.63</v>
      </c>
      <c r="AE6" s="1263">
        <f ca="1">IF(AN6="",0,SUMIF(INDIRECT("'"&amp;AN6&amp;"'"&amp;"!E:E"),$AE$5,INDIRECT("'"&amp;AN6&amp;"'"&amp;"!F:F")))</f>
        <v>23.73</v>
      </c>
      <c r="AF6" s="1804">
        <f>租金!L9</f>
        <v>8.92</v>
      </c>
      <c r="AG6" s="146">
        <f ca="1">IF(AF6="",0,AE6-AF6)</f>
        <v>14.81</v>
      </c>
      <c r="AH6" s="82"/>
      <c r="AI6" s="84">
        <v>365</v>
      </c>
      <c r="AJ6" s="85"/>
      <c r="AK6" s="86">
        <v>1.4999999999999999E-2</v>
      </c>
      <c r="AL6" s="87">
        <v>1.5E-3</v>
      </c>
      <c r="AM6" s="88">
        <v>0.01</v>
      </c>
      <c r="AN6" s="2306" t="s">
        <v>3133</v>
      </c>
      <c r="AO6" s="54">
        <f ca="1">SUMIF(INDIRECT("'"&amp;AN6&amp;"'"&amp;"!A:A"),"总价",INDIRECT("'"&amp;AN6&amp;"'"&amp;"!B:B"))</f>
        <v>25511</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地下车库</v>
      </c>
      <c r="B7" s="2304" t="str">
        <f t="shared" ref="B7:B13" si="1">IF(A7=0,"","经营性")</f>
        <v>经营性</v>
      </c>
      <c r="C7" s="2305" t="s">
        <v>3115</v>
      </c>
      <c r="D7" s="1052">
        <f>SUMIF(项目基本情况!D$12:I$12,C7,项目基本情况!D$14:I$14)</f>
        <v>50</v>
      </c>
      <c r="E7" s="1049">
        <f>IF(B7="","",SUMIF(项目基本情况!D$12:I$12,C7,项目基本情况!D$13:I$13))</f>
        <v>55661</v>
      </c>
      <c r="F7" s="71">
        <f>SUMIF(项目基本情况!D$12:I$12,C7,项目基本情况!D$15:I$15)</f>
        <v>33.74</v>
      </c>
      <c r="G7" s="72">
        <f t="shared" ref="G7:G11" si="2">IF(ISERROR(ROUND(POWER(1+H7,D7-F7)*(POWER(1+H7,F7)-1)/(POWER(1+H7,D7)-1),3)),0,ROUND(POWER(1+H7,D7-F7)*(POWER(1+H7,F7)-1)/(POWER(1+H7,D7)-1),3))</f>
        <v>0.87</v>
      </c>
      <c r="H7" s="800">
        <v>4.4999999999999998E-2</v>
      </c>
      <c r="I7" s="3009">
        <v>4.4999999999999998E-2</v>
      </c>
      <c r="J7" s="73">
        <v>8.5000000000000006E-2</v>
      </c>
      <c r="K7" s="1252">
        <f>SUMIF('数据-汇总表'!C$19:C$33,A7,'数据-汇总表'!E$19:E$33)</f>
        <v>3250</v>
      </c>
      <c r="L7" s="3010">
        <v>1500</v>
      </c>
      <c r="M7" s="74">
        <f t="shared" si="0"/>
        <v>488</v>
      </c>
      <c r="N7" s="2989">
        <f>N6</f>
        <v>0.84</v>
      </c>
      <c r="O7" s="74" t="str">
        <f t="shared" ref="O7:O14" si="3">IF($N$5="成新度","——",ROUND(M7*N7,0))</f>
        <v>——</v>
      </c>
      <c r="P7" s="75" t="str">
        <f t="shared" ref="P7:P14" si="4">IF($N$5="成新度","——",M7-O7)</f>
        <v>——</v>
      </c>
      <c r="Q7" s="802">
        <v>0.05</v>
      </c>
      <c r="R7" s="76">
        <f ca="1">SUMIF('数据-汇总表'!C$19:C$33,A7,'数据-汇总表'!R$19:R$27)</f>
        <v>2708.33</v>
      </c>
      <c r="S7" s="53">
        <f>IF('数据-汇总表'!$I$17="按面积比例",SUMIF('数据-汇总表'!C$19:C$33,A7,'数据-汇总表'!K$19:K$33),SUMIF('数据-汇总表'!C$19:C$33,A7,'数据-汇总表'!N$19:N$33))</f>
        <v>0</v>
      </c>
      <c r="T7" s="1444">
        <f t="shared" ref="T7:T13" si="5">ROUND($L$14*S7/10000,0)</f>
        <v>0</v>
      </c>
      <c r="U7" s="3011">
        <f>租金!L17</f>
        <v>190.76</v>
      </c>
      <c r="V7" s="78">
        <v>0</v>
      </c>
      <c r="W7" s="78">
        <v>0</v>
      </c>
      <c r="X7" s="1262"/>
      <c r="Y7" s="79">
        <f>N7</f>
        <v>0.84</v>
      </c>
      <c r="Z7" s="3017">
        <f>租金!J15</f>
        <v>425.66</v>
      </c>
      <c r="AA7" s="3018">
        <v>0.04</v>
      </c>
      <c r="AB7" s="73">
        <v>0.05</v>
      </c>
      <c r="AC7" s="1262"/>
      <c r="AD7" s="81">
        <f>ROUND(1-(2027-2005)/60,2)</f>
        <v>0.63</v>
      </c>
      <c r="AE7" s="1263">
        <f t="shared" ref="AE7:AE13" ca="1" si="6">IF(AN7="",0,SUMIF(INDIRECT("'"&amp;AN7&amp;"'"&amp;"!E:E"),$AE$5,INDIRECT("'"&amp;AN7&amp;"'"&amp;"!F:F")))</f>
        <v>33.74</v>
      </c>
      <c r="AF7" s="1804">
        <f>租金!L9</f>
        <v>8.92</v>
      </c>
      <c r="AG7" s="146">
        <f t="shared" ref="AG7:AG13" ca="1" si="7">IF(AF7="",0,AE7-AF7)</f>
        <v>24.82</v>
      </c>
      <c r="AH7" s="3014">
        <v>92</v>
      </c>
      <c r="AI7" s="3015">
        <v>12</v>
      </c>
      <c r="AJ7" s="85"/>
      <c r="AK7" s="86">
        <v>1.4999999999999999E-2</v>
      </c>
      <c r="AL7" s="87">
        <v>1.5E-3</v>
      </c>
      <c r="AM7" s="88">
        <v>0.01</v>
      </c>
      <c r="AN7" s="2306" t="s">
        <v>3141</v>
      </c>
      <c r="AO7" s="54">
        <f t="shared" ref="AO7:AO13" ca="1" si="8">SUMIF(INDIRECT("'"&amp;AN7&amp;"'"&amp;"!A:A"),"总价",INDIRECT("'"&amp;AN7&amp;"'"&amp;"!B:B"))</f>
        <v>372</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hidden="1">
      <c r="A8" s="2303">
        <f>'数据-汇总表'!C21</f>
        <v>0</v>
      </c>
      <c r="B8" s="2304" t="str">
        <f t="shared" si="1"/>
        <v/>
      </c>
      <c r="C8" s="2305"/>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4"/>
      <c r="AG8" s="146">
        <f t="shared" si="7"/>
        <v>0</v>
      </c>
      <c r="AH8" s="806"/>
      <c r="AI8" s="84"/>
      <c r="AJ8" s="85"/>
      <c r="AK8" s="807"/>
      <c r="AL8" s="808"/>
      <c r="AM8" s="809"/>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hidden="1">
      <c r="A9" s="2303">
        <f>'数据-汇总表'!C22</f>
        <v>0</v>
      </c>
      <c r="B9" s="2304" t="str">
        <f t="shared" si="1"/>
        <v/>
      </c>
      <c r="C9" s="2305"/>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4"/>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hidden="1">
      <c r="A10" s="2303">
        <f>'数据-汇总表'!C23</f>
        <v>0</v>
      </c>
      <c r="B10" s="2304" t="str">
        <f t="shared" si="1"/>
        <v/>
      </c>
      <c r="C10" s="2305"/>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4"/>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hidden="1">
      <c r="A11" s="2303">
        <f>'数据-汇总表'!C24</f>
        <v>0</v>
      </c>
      <c r="B11" s="2304" t="str">
        <f t="shared" si="1"/>
        <v/>
      </c>
      <c r="C11" s="2305"/>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4"/>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hidden="1">
      <c r="A12" s="2303">
        <f>'数据-汇总表'!C25</f>
        <v>0</v>
      </c>
      <c r="B12" s="2304" t="str">
        <f t="shared" si="1"/>
        <v/>
      </c>
      <c r="C12" s="2305"/>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4"/>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hidden="1">
      <c r="A13" s="2303">
        <f>'数据-汇总表'!C26</f>
        <v>0</v>
      </c>
      <c r="B13" s="2304" t="str">
        <f t="shared" si="1"/>
        <v/>
      </c>
      <c r="C13" s="2305"/>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4"/>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2008</v>
      </c>
      <c r="B14" s="2304" t="s">
        <v>2009</v>
      </c>
      <c r="C14" s="2309" t="s">
        <v>2008</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1"/>
      <c r="V14" s="1257"/>
      <c r="W14" s="1257"/>
      <c r="X14" s="1258"/>
      <c r="Y14" s="1259"/>
      <c r="Z14" s="1260"/>
      <c r="AA14" s="1261"/>
      <c r="AB14" s="1261"/>
      <c r="AC14" s="1262"/>
      <c r="AD14" s="1258"/>
      <c r="AE14" s="1263"/>
      <c r="AF14" s="54"/>
      <c r="AG14" s="146"/>
      <c r="AH14" s="1263"/>
      <c r="AI14" s="1815"/>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2010</v>
      </c>
      <c r="B15" s="2304" t="s">
        <v>2009</v>
      </c>
      <c r="C15" s="2309" t="s">
        <v>2011</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5"/>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2012</v>
      </c>
      <c r="B16" s="96"/>
      <c r="C16" s="1006"/>
      <c r="D16" s="2311"/>
      <c r="E16" s="96"/>
      <c r="F16" s="96"/>
      <c r="G16" s="97">
        <f>ROUND(SUMPRODUCT(G6:G13,K6:K13)/SUMPRODUCT((G6:G13&gt;0)*(K6:K13)),3)</f>
        <v>0.8</v>
      </c>
      <c r="H16" s="98">
        <f>ROUND(SUMPRODUCT(H6:H13,K6:K13)/SUMPRODUCT((H6:H13&gt;0)*(K6:K13)),3)</f>
        <v>4.4999999999999998E-2</v>
      </c>
      <c r="I16" s="99"/>
      <c r="J16" s="99"/>
      <c r="K16" s="100">
        <f>SUM(K6:K15)</f>
        <v>16365.18</v>
      </c>
      <c r="L16" s="101">
        <f>ROUND(M16*10000/SUM(K6:K14),0)</f>
        <v>2703</v>
      </c>
      <c r="M16" s="101">
        <f>SUM(M6:M14)</f>
        <v>4423</v>
      </c>
      <c r="N16" s="102">
        <f>ROUND(SUMPRODUCT(M6:M14,N6:N14)/M16,3)</f>
        <v>0.84</v>
      </c>
      <c r="O16" s="101">
        <f>SUM(O6:O14)</f>
        <v>0</v>
      </c>
      <c r="P16" s="101">
        <f>SUM(P6:P14)</f>
        <v>0</v>
      </c>
      <c r="Q16" s="103">
        <f>ROUND(SUMPRODUCT(Q6:Q13,K6:K13)/SUMPRODUCT((Q6:Q13&gt;0)*(K6:K13)),2)</f>
        <v>0.21</v>
      </c>
      <c r="R16" s="1256">
        <f ca="1">SUM(R6:R13)</f>
        <v>13637.65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3013" t="s">
        <v>3243</v>
      </c>
      <c r="AI17" s="1582"/>
      <c r="AJ17" s="1582"/>
      <c r="AK17" s="1582"/>
      <c r="AL17" s="1582"/>
      <c r="AM17" s="1582"/>
    </row>
    <row r="18" spans="1:67" ht="15" thickBot="1">
      <c r="A18" s="67" t="s">
        <v>2013</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2014</v>
      </c>
      <c r="B19" s="111">
        <v>0</v>
      </c>
      <c r="C19" s="2274" t="s">
        <v>2015</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2016</v>
      </c>
      <c r="B20" s="112">
        <v>1.5</v>
      </c>
      <c r="C20" s="2274" t="s">
        <v>2017</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2018</v>
      </c>
      <c r="B21" s="112">
        <v>1.5</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2019</v>
      </c>
      <c r="B22" s="113">
        <f>B19+B20</f>
        <v>1.5</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2020</v>
      </c>
      <c r="B23" s="113">
        <f>B19+B21</f>
        <v>1.5</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2021</v>
      </c>
      <c r="B24" s="114">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2022</v>
      </c>
      <c r="B26" s="2317" t="s">
        <v>2023</v>
      </c>
      <c r="C26" s="2318" t="s">
        <v>2024</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2025</v>
      </c>
      <c r="B27" s="115">
        <v>430</v>
      </c>
      <c r="C27" s="1764" t="s">
        <v>2026</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2027</v>
      </c>
      <c r="B28" s="118">
        <v>430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2028</v>
      </c>
      <c r="B29" s="120">
        <f>ROUND(K16*B28/10000,0)</f>
        <v>704</v>
      </c>
      <c r="C29" s="1764" t="s">
        <v>2029</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2030</v>
      </c>
      <c r="B30" s="722">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2031</v>
      </c>
      <c r="B31" s="119">
        <f>B30-B32</f>
        <v>200</v>
      </c>
      <c r="C31" s="1764"/>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2032</v>
      </c>
      <c r="B32" s="723">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2033</v>
      </c>
      <c r="B33" s="724">
        <v>0.03</v>
      </c>
      <c r="C33" s="1763" t="s">
        <v>2034</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2035</v>
      </c>
      <c r="B34" s="121">
        <v>0</v>
      </c>
      <c r="C34" s="1763" t="s">
        <v>2036</v>
      </c>
      <c r="D34" s="2275" t="s">
        <v>2037</v>
      </c>
      <c r="E34" s="730"/>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2038</v>
      </c>
      <c r="B35" s="118">
        <v>200</v>
      </c>
      <c r="C35" s="1763" t="s">
        <v>2039</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2040</v>
      </c>
      <c r="B36" s="122">
        <v>1.4999999999999999E-2</v>
      </c>
      <c r="C36" s="1763" t="s">
        <v>2041</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2042</v>
      </c>
      <c r="B37" s="123">
        <v>0.02</v>
      </c>
      <c r="C37" s="1763" t="s">
        <v>2043</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2044</v>
      </c>
      <c r="B38" s="121">
        <v>0.02</v>
      </c>
      <c r="C38" s="1763" t="s">
        <v>2043</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2045</v>
      </c>
      <c r="B39" s="361">
        <f ca="1">存贷款利率!I1</f>
        <v>1.4999999999999999E-2</v>
      </c>
      <c r="C39" s="1763"/>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2046</v>
      </c>
      <c r="B40" s="1301">
        <f ca="1">存贷款利率!G1</f>
        <v>4.7500000000000001E-2</v>
      </c>
      <c r="C40" s="1763" t="s">
        <v>2047</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2048</v>
      </c>
      <c r="B41" s="124">
        <f>B42+B43</f>
        <v>5.6000000000000001E-2</v>
      </c>
      <c r="C41" s="1764"/>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2049</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2050</v>
      </c>
      <c r="B43" s="126">
        <f>B42*(B44+B45+B46)+B47</f>
        <v>6.000000000000001E-3</v>
      </c>
      <c r="C43" s="1764"/>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2051</v>
      </c>
      <c r="B44" s="127">
        <v>7.0000000000000007E-2</v>
      </c>
      <c r="C44" s="1763" t="s">
        <v>2052</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2053</v>
      </c>
      <c r="B45" s="125">
        <v>0.03</v>
      </c>
      <c r="C45" s="1764" t="s">
        <v>2054</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2055</v>
      </c>
      <c r="B46" s="125">
        <v>0.02</v>
      </c>
      <c r="C46" s="1764" t="s">
        <v>2056</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2057</v>
      </c>
      <c r="B47" s="128">
        <v>0</v>
      </c>
      <c r="C47" s="1764" t="s">
        <v>2058</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2059</v>
      </c>
      <c r="B48" s="129">
        <v>0.03</v>
      </c>
      <c r="C48" s="1771" t="s">
        <v>2060</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2061</v>
      </c>
      <c r="B49" s="125">
        <v>5.0000000000000001E-4</v>
      </c>
      <c r="C49" s="1771" t="s">
        <v>2062</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2063</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2064</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2065</v>
      </c>
      <c r="B52" s="132">
        <f>SUMIF(A54:A63,B53,B54:B63)</f>
        <v>12</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2066</v>
      </c>
      <c r="B53" s="2333" t="s">
        <v>442</v>
      </c>
      <c r="C53" s="1428" t="s">
        <v>2067</v>
      </c>
      <c r="D53" s="2334" t="s">
        <v>2068</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2069</v>
      </c>
      <c r="B54" s="83">
        <v>30</v>
      </c>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2070</v>
      </c>
      <c r="B55" s="83">
        <v>20</v>
      </c>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2071</v>
      </c>
      <c r="B56" s="83">
        <v>12</v>
      </c>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2072</v>
      </c>
      <c r="B57" s="83">
        <v>6</v>
      </c>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2073</v>
      </c>
      <c r="B58" s="83">
        <v>3</v>
      </c>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2074</v>
      </c>
      <c r="B59" s="83">
        <v>1.5</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2075</v>
      </c>
      <c r="B60" s="83"/>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2076</v>
      </c>
      <c r="B61" s="83"/>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2077</v>
      </c>
      <c r="B62" s="83"/>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2078</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2" t="s">
        <v>2079</v>
      </c>
      <c r="B1" s="3113"/>
      <c r="C1" s="3113"/>
      <c r="D1" s="3113"/>
      <c r="E1" s="3113"/>
      <c r="F1" s="3113"/>
      <c r="G1" s="311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27">
      <c r="A3" s="414" t="s">
        <v>2082</v>
      </c>
      <c r="B3" s="1269" t="s">
        <v>2083</v>
      </c>
      <c r="C3" s="2367"/>
      <c r="D3" s="2368"/>
      <c r="E3" s="430" t="s">
        <v>2082</v>
      </c>
      <c r="F3" s="2369" t="s">
        <v>2084</v>
      </c>
      <c r="G3" s="2370"/>
      <c r="H3" s="2365"/>
      <c r="I3" s="2365"/>
      <c r="J3" s="2365"/>
      <c r="K3" s="2365"/>
      <c r="L3" s="2365"/>
      <c r="M3" s="2365"/>
      <c r="N3" s="2365"/>
      <c r="O3" s="2365"/>
      <c r="P3" s="2365"/>
      <c r="Q3" s="2365"/>
      <c r="R3" s="2365"/>
    </row>
    <row r="4" spans="1:29" ht="15">
      <c r="A4" s="430"/>
      <c r="B4" s="1795" t="s">
        <v>2085</v>
      </c>
      <c r="C4" s="2371"/>
      <c r="D4" s="2368"/>
      <c r="E4" s="2372"/>
      <c r="F4" s="41" t="s">
        <v>2086</v>
      </c>
      <c r="G4" s="2373"/>
      <c r="H4" s="2365"/>
      <c r="I4" s="2365"/>
      <c r="J4" s="2365"/>
      <c r="K4" s="2365"/>
      <c r="L4" s="2365"/>
      <c r="M4" s="2365"/>
      <c r="N4" s="2365"/>
      <c r="O4" s="2365"/>
      <c r="P4" s="2365"/>
      <c r="Q4" s="2365"/>
      <c r="R4" s="2365"/>
    </row>
    <row r="5" spans="1:29" ht="15">
      <c r="A5" s="430"/>
      <c r="B5" s="1795" t="s">
        <v>2087</v>
      </c>
      <c r="C5" s="2371"/>
      <c r="D5" s="2368"/>
      <c r="E5" s="2372"/>
      <c r="F5" s="1795" t="s">
        <v>2088</v>
      </c>
      <c r="G5" s="2373"/>
      <c r="H5" s="2365"/>
      <c r="I5" s="2365"/>
      <c r="J5" s="2365"/>
      <c r="K5" s="2365"/>
      <c r="L5" s="2365"/>
      <c r="M5" s="2365"/>
      <c r="N5" s="2365"/>
      <c r="O5" s="2365"/>
      <c r="P5" s="2365"/>
      <c r="Q5" s="2365"/>
      <c r="R5" s="2365"/>
    </row>
    <row r="6" spans="1:29" ht="15">
      <c r="A6" s="430"/>
      <c r="B6" s="1795" t="s">
        <v>2089</v>
      </c>
      <c r="C6" s="2373"/>
      <c r="D6" s="2368"/>
      <c r="E6" s="2372"/>
      <c r="F6" s="1795" t="s">
        <v>2090</v>
      </c>
      <c r="G6" s="2373"/>
      <c r="H6" s="2365"/>
      <c r="I6" s="2365"/>
      <c r="J6" s="2365"/>
      <c r="K6" s="2365"/>
      <c r="L6" s="2365"/>
      <c r="M6" s="2365"/>
      <c r="N6" s="2365"/>
      <c r="O6" s="2365"/>
      <c r="P6" s="2365"/>
      <c r="Q6" s="2365"/>
      <c r="R6" s="2365"/>
    </row>
    <row r="7" spans="1:29" ht="15.75" thickBot="1">
      <c r="A7" s="430"/>
      <c r="B7" s="1795" t="s">
        <v>2088</v>
      </c>
      <c r="C7" s="2373"/>
      <c r="D7" s="2374"/>
      <c r="E7" s="2375"/>
      <c r="F7" s="2376" t="s">
        <v>2091</v>
      </c>
      <c r="G7" s="2377"/>
      <c r="H7" s="2365"/>
      <c r="I7" s="2365"/>
      <c r="J7" s="2365"/>
      <c r="K7" s="2365"/>
      <c r="L7" s="2365"/>
      <c r="M7" s="2365"/>
      <c r="N7" s="2365"/>
      <c r="O7" s="2365"/>
      <c r="P7" s="2365"/>
      <c r="Q7" s="2365"/>
      <c r="R7" s="2365"/>
    </row>
    <row r="8" spans="1:29" ht="15">
      <c r="A8" s="430"/>
      <c r="B8" s="1795" t="s">
        <v>2090</v>
      </c>
      <c r="C8" s="2373"/>
      <c r="D8" s="2374"/>
      <c r="E8" s="2374"/>
      <c r="F8" s="1134"/>
      <c r="G8" s="1134"/>
      <c r="H8" s="2365"/>
      <c r="I8" s="2365"/>
      <c r="J8" s="2365"/>
      <c r="K8" s="2365"/>
      <c r="L8" s="2365"/>
      <c r="M8" s="2365"/>
      <c r="N8" s="2365"/>
      <c r="O8" s="2365"/>
      <c r="P8" s="2365"/>
      <c r="Q8" s="2365"/>
      <c r="R8" s="2365"/>
    </row>
    <row r="9" spans="1:29" ht="15">
      <c r="A9" s="430"/>
      <c r="B9" s="1795" t="s">
        <v>2092</v>
      </c>
      <c r="C9" s="2371"/>
      <c r="D9" s="2368"/>
      <c r="E9" s="2374"/>
      <c r="F9" s="1134"/>
      <c r="G9" s="1134"/>
      <c r="H9" s="2365"/>
      <c r="I9" s="2365"/>
      <c r="J9" s="2365"/>
      <c r="K9" s="2365"/>
      <c r="L9" s="2365"/>
      <c r="M9" s="2365"/>
      <c r="N9" s="2365"/>
      <c r="O9" s="2365"/>
      <c r="P9" s="2365"/>
      <c r="Q9" s="2365"/>
      <c r="R9" s="2365"/>
    </row>
    <row r="10" spans="1:29" s="116" customFormat="1" ht="15.75" thickBot="1">
      <c r="A10" s="2378"/>
      <c r="B10" s="2379" t="s">
        <v>2093</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2094</v>
      </c>
      <c r="B13" s="2385"/>
      <c r="C13" s="2385"/>
      <c r="D13" s="2392"/>
      <c r="E13" s="2385"/>
      <c r="F13" s="2385"/>
      <c r="G13" s="2385"/>
    </row>
    <row r="14" spans="1:29" ht="15.75" thickBot="1">
      <c r="A14" s="2396"/>
      <c r="B14" s="2397"/>
      <c r="C14" s="2398" t="s">
        <v>2095</v>
      </c>
      <c r="D14" s="2368"/>
      <c r="E14" s="2399"/>
      <c r="F14" s="2399"/>
      <c r="G14" s="2362" t="s">
        <v>2096</v>
      </c>
    </row>
    <row r="15" spans="1:29" ht="27">
      <c r="A15" s="67" t="s">
        <v>2097</v>
      </c>
      <c r="B15" s="1268" t="s">
        <v>2083</v>
      </c>
      <c r="C15" s="2400">
        <f>C3</f>
        <v>0</v>
      </c>
      <c r="D15" s="2368"/>
      <c r="E15" s="2401" t="s">
        <v>2098</v>
      </c>
      <c r="F15" s="1268" t="s">
        <v>2099</v>
      </c>
      <c r="G15" s="134">
        <f>G3</f>
        <v>0</v>
      </c>
    </row>
    <row r="16" spans="1:29" ht="15">
      <c r="A16" s="644"/>
      <c r="B16" s="2402" t="s">
        <v>2085</v>
      </c>
      <c r="C16" s="2403">
        <f>C4</f>
        <v>0</v>
      </c>
      <c r="D16" s="2368"/>
      <c r="E16" s="2404"/>
      <c r="F16" s="2405" t="s">
        <v>2086</v>
      </c>
      <c r="G16" s="135">
        <f>G4</f>
        <v>0</v>
      </c>
    </row>
    <row r="17" spans="1:18" ht="15">
      <c r="A17" s="644"/>
      <c r="B17" s="2402" t="s">
        <v>2087</v>
      </c>
      <c r="C17" s="2403">
        <f>C5</f>
        <v>0</v>
      </c>
      <c r="D17" s="2374"/>
      <c r="E17" s="2404"/>
      <c r="F17" s="2405" t="s">
        <v>2100</v>
      </c>
      <c r="G17" s="1570"/>
    </row>
    <row r="18" spans="1:18" ht="15">
      <c r="A18" s="644"/>
      <c r="B18" s="2405" t="s">
        <v>2089</v>
      </c>
      <c r="C18" s="135">
        <f>C6</f>
        <v>0</v>
      </c>
      <c r="D18" s="2374"/>
      <c r="E18" s="2404"/>
      <c r="F18" s="2405" t="s">
        <v>2091</v>
      </c>
      <c r="G18" s="135">
        <f>G7</f>
        <v>0</v>
      </c>
    </row>
    <row r="19" spans="1:18" ht="15">
      <c r="A19" s="644"/>
      <c r="B19" s="2405" t="s">
        <v>2101</v>
      </c>
      <c r="C19" s="1570"/>
      <c r="D19" s="2368"/>
      <c r="E19" s="2404"/>
      <c r="F19" s="1795" t="s">
        <v>2088</v>
      </c>
      <c r="G19" s="135">
        <f>G5</f>
        <v>0</v>
      </c>
    </row>
    <row r="20" spans="1:18" ht="15">
      <c r="A20" s="644"/>
      <c r="B20" s="2405" t="s">
        <v>2102</v>
      </c>
      <c r="C20" s="2403">
        <f>C9</f>
        <v>0</v>
      </c>
      <c r="D20" s="2374"/>
      <c r="E20" s="2404"/>
      <c r="F20" s="1795" t="s">
        <v>2103</v>
      </c>
      <c r="G20" s="135">
        <f>G6</f>
        <v>0</v>
      </c>
    </row>
    <row r="21" spans="1:18" ht="15">
      <c r="A21" s="644"/>
      <c r="B21" s="1795" t="s">
        <v>2088</v>
      </c>
      <c r="C21" s="135">
        <f>C7</f>
        <v>0</v>
      </c>
      <c r="D21" s="2368"/>
      <c r="E21" s="2404"/>
      <c r="F21" s="2405" t="s">
        <v>2104</v>
      </c>
      <c r="G21" s="2406"/>
    </row>
    <row r="22" spans="1:18" ht="13.5" customHeight="1">
      <c r="A22" s="644"/>
      <c r="B22" s="1795" t="s">
        <v>2090</v>
      </c>
      <c r="C22" s="135">
        <f>C8</f>
        <v>0</v>
      </c>
      <c r="D22" s="2368"/>
      <c r="E22" s="2404"/>
      <c r="F22" s="2405" t="s">
        <v>2093</v>
      </c>
      <c r="G22" s="1570"/>
    </row>
    <row r="23" spans="1:18" s="2365" customFormat="1" ht="15.75" thickBot="1">
      <c r="A23" s="644"/>
      <c r="B23" s="2405" t="s">
        <v>2104</v>
      </c>
      <c r="C23" s="2406"/>
      <c r="D23" s="2393"/>
      <c r="E23" s="2407"/>
      <c r="F23" s="2408" t="s">
        <v>2105</v>
      </c>
      <c r="G23" s="2409"/>
      <c r="H23" s="2393"/>
      <c r="I23" s="2394"/>
      <c r="J23" s="2393"/>
      <c r="K23" s="2393"/>
      <c r="L23" s="2394"/>
      <c r="M23" s="2393"/>
      <c r="N23" s="2393"/>
      <c r="O23" s="2394"/>
      <c r="P23" s="2393"/>
      <c r="Q23" s="2393"/>
      <c r="R23" s="2395"/>
    </row>
    <row r="24" spans="1:18" s="2365" customFormat="1" ht="15.75" thickBot="1">
      <c r="A24" s="2410"/>
      <c r="B24" s="2408" t="s">
        <v>2106</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31264.6</v>
      </c>
      <c r="C1" s="1742"/>
      <c r="D1" s="1742"/>
      <c r="E1" s="1742"/>
      <c r="F1" s="1742"/>
      <c r="G1" s="1740"/>
    </row>
    <row r="2" spans="1:10" ht="16.5">
      <c r="A2" s="1743" t="s">
        <v>1353</v>
      </c>
      <c r="B2" s="1743">
        <f>SUM(C14:C23)</f>
        <v>20986.93</v>
      </c>
      <c r="C2" s="1742"/>
      <c r="D2" s="1742"/>
      <c r="E2" s="1742"/>
      <c r="F2" s="1742"/>
      <c r="G2" s="1740"/>
    </row>
    <row r="3" spans="1:10" ht="16.5">
      <c r="A3" s="1743" t="s">
        <v>1362</v>
      </c>
      <c r="B3" s="1744">
        <f>项目基本情况!D3</f>
        <v>43344</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65036</v>
      </c>
      <c r="C5" s="1743">
        <f ca="1">ROUND(B5*10000/$B$1,0)</f>
        <v>20802</v>
      </c>
      <c r="D5" s="1743">
        <f ca="1">ROUND(B5*10000/$B$2,0)</f>
        <v>30989</v>
      </c>
      <c r="E5" s="1742"/>
      <c r="F5" s="1740"/>
      <c r="G5" s="1740"/>
    </row>
    <row r="6" spans="1:10" ht="16.5">
      <c r="A6" s="1743" t="s">
        <v>1356</v>
      </c>
      <c r="B6" s="1743">
        <f ca="1">SUM(G14:G23)</f>
        <v>65036</v>
      </c>
      <c r="C6" s="1743">
        <f ca="1">ROUND(B6*10000/$B$1,0)</f>
        <v>20802</v>
      </c>
      <c r="D6" s="1743">
        <f ca="1">ROUND(B6*10000/$B$2,0)</f>
        <v>30989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13115.18</v>
      </c>
      <c r="C14" s="1741">
        <f>结果表!C118</f>
        <v>10929.32</v>
      </c>
      <c r="D14" s="1741">
        <f ca="1">结果表!H118</f>
        <v>37430</v>
      </c>
      <c r="E14" s="1741">
        <f ca="1">ROUND(D14*10000/B14,0)</f>
        <v>28539</v>
      </c>
      <c r="F14" s="1741">
        <f ca="1">ROUND(D14*10000/C14,0)</f>
        <v>34247</v>
      </c>
      <c r="G14" s="1741">
        <f ca="1">结果表!D122</f>
        <v>37430</v>
      </c>
      <c r="H14" s="1741" t="str">
        <f>结果表!D124</f>
        <v>——</v>
      </c>
      <c r="I14" s="1741" t="str">
        <f>结果表!D126</f>
        <v>——</v>
      </c>
      <c r="J14" s="1740"/>
    </row>
    <row r="15" spans="1:10" ht="16.5">
      <c r="A15" s="1739" t="s">
        <v>1349</v>
      </c>
      <c r="B15" s="2985">
        <f>'结果表-车位'!B118</f>
        <v>3250</v>
      </c>
      <c r="C15" s="2985">
        <f>'结果表-车位'!C118</f>
        <v>2708.33</v>
      </c>
      <c r="D15" s="2985">
        <f ca="1">'结果表-车位'!H101</f>
        <v>1070</v>
      </c>
      <c r="E15" s="1741">
        <f t="shared" ref="E15:E23" ca="1" si="0">ROUND(D15*10000/B15,0)</f>
        <v>3292</v>
      </c>
      <c r="F15" s="1741">
        <f t="shared" ref="F15:F23" ca="1" si="1">ROUND(D15*10000/C15,0)</f>
        <v>3951</v>
      </c>
      <c r="G15" s="2985">
        <f ca="1">'结果表-车位'!H107</f>
        <v>1070</v>
      </c>
      <c r="H15" s="1747"/>
      <c r="I15" s="1746"/>
      <c r="J15" s="1740"/>
    </row>
    <row r="16" spans="1:10" ht="16.5">
      <c r="A16" s="1739" t="s">
        <v>1348</v>
      </c>
      <c r="B16" s="2985">
        <v>410.72</v>
      </c>
      <c r="C16" s="2985">
        <v>0</v>
      </c>
      <c r="D16" s="2985">
        <v>1739</v>
      </c>
      <c r="E16" s="1741">
        <f t="shared" si="0"/>
        <v>42340</v>
      </c>
      <c r="F16" s="1741" t="e">
        <f t="shared" si="1"/>
        <v>#DIV/0!</v>
      </c>
      <c r="G16" s="2985">
        <v>1739</v>
      </c>
      <c r="H16" s="1747"/>
      <c r="I16" s="1746"/>
    </row>
    <row r="17" spans="1:9" ht="16.5">
      <c r="A17" s="1739" t="s">
        <v>1347</v>
      </c>
      <c r="B17" s="2985">
        <v>6551.48</v>
      </c>
      <c r="C17" s="2985">
        <v>0</v>
      </c>
      <c r="D17" s="2985">
        <v>2341</v>
      </c>
      <c r="E17" s="1741">
        <f t="shared" si="0"/>
        <v>3573</v>
      </c>
      <c r="F17" s="1741" t="e">
        <f t="shared" si="1"/>
        <v>#DIV/0!</v>
      </c>
      <c r="G17" s="2985">
        <v>2341</v>
      </c>
      <c r="H17" s="1747"/>
      <c r="I17" s="1746"/>
    </row>
    <row r="18" spans="1:9" ht="16.5">
      <c r="A18" s="1739" t="s">
        <v>1346</v>
      </c>
      <c r="B18" s="2985">
        <v>6034.12</v>
      </c>
      <c r="C18" s="2985">
        <v>5587.15</v>
      </c>
      <c r="D18" s="2985">
        <v>21832</v>
      </c>
      <c r="E18" s="1741">
        <f t="shared" si="0"/>
        <v>36181</v>
      </c>
      <c r="F18" s="1741">
        <f t="shared" si="1"/>
        <v>39075</v>
      </c>
      <c r="G18" s="2985">
        <v>21832</v>
      </c>
      <c r="H18" s="1746"/>
      <c r="I18" s="1746"/>
    </row>
    <row r="19" spans="1:9" ht="16.5">
      <c r="A19" s="1739" t="s">
        <v>1345</v>
      </c>
      <c r="B19" s="2985">
        <v>1903.1</v>
      </c>
      <c r="C19" s="2985">
        <v>1762.13</v>
      </c>
      <c r="D19" s="2985">
        <v>624</v>
      </c>
      <c r="E19" s="1741">
        <f t="shared" si="0"/>
        <v>3279</v>
      </c>
      <c r="F19" s="1741">
        <f t="shared" si="1"/>
        <v>3541</v>
      </c>
      <c r="G19" s="2985">
        <v>624</v>
      </c>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102" sqref="H10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3130</v>
      </c>
      <c r="D1" s="2416"/>
      <c r="E1" s="2416"/>
      <c r="F1" s="2418" t="s">
        <v>2108</v>
      </c>
      <c r="G1" s="2068" t="s">
        <v>3050</v>
      </c>
      <c r="H1" s="2419" t="str">
        <f>IF(G1="现房","——","估价对象范围")</f>
        <v>——</v>
      </c>
      <c r="I1" s="2420" t="s">
        <v>3186</v>
      </c>
    </row>
    <row r="2" spans="1:12" ht="21.75" customHeight="1" thickBot="1">
      <c r="A2" s="3147" t="str">
        <f>项目基本情况!S2</f>
        <v>上海市松江区九亭镇虬泾路116号等18套商业、地下车库用房房地产</v>
      </c>
      <c r="B2" s="3148"/>
      <c r="C2" s="3148"/>
      <c r="D2" s="3148"/>
      <c r="E2" s="3148"/>
      <c r="F2" s="3148"/>
      <c r="G2" s="3148"/>
      <c r="H2" s="3148"/>
      <c r="I2" s="3149"/>
    </row>
    <row r="3" spans="1:12" ht="12.75">
      <c r="A3" s="3151" t="s">
        <v>2109</v>
      </c>
      <c r="B3" s="3152"/>
      <c r="C3" s="3152"/>
      <c r="D3" s="3152"/>
      <c r="E3" s="3152"/>
      <c r="F3" s="3152"/>
      <c r="G3" s="3152"/>
      <c r="H3" s="3152"/>
      <c r="I3" s="3152"/>
    </row>
    <row r="4" spans="1:12" ht="14.25">
      <c r="A4" s="2423" t="s">
        <v>2110</v>
      </c>
      <c r="B4" s="2424" t="s">
        <v>2111</v>
      </c>
      <c r="C4" s="2425" t="s">
        <v>3185</v>
      </c>
      <c r="D4" s="2425" t="s">
        <v>3133</v>
      </c>
      <c r="E4" s="3144" t="s">
        <v>2112</v>
      </c>
      <c r="F4" s="3145"/>
      <c r="G4" s="3145"/>
      <c r="H4" s="3145"/>
      <c r="I4" s="3153"/>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收益法</v>
      </c>
    </row>
    <row r="5" spans="1:12" ht="12.75" hidden="1">
      <c r="A5" s="3127" t="s">
        <v>2113</v>
      </c>
      <c r="B5" s="3065">
        <v>25</v>
      </c>
      <c r="C5" s="3130"/>
      <c r="D5" s="3150"/>
      <c r="E5" s="139" t="s">
        <v>2114</v>
      </c>
      <c r="F5" s="2427"/>
      <c r="G5" s="2427"/>
      <c r="H5" s="2427"/>
      <c r="I5" s="1831"/>
    </row>
    <row r="6" spans="1:12" ht="12.75" hidden="1">
      <c r="A6" s="3127"/>
      <c r="B6" s="3065"/>
      <c r="C6" s="3131"/>
      <c r="D6" s="3150"/>
      <c r="E6" s="139" t="s">
        <v>2115</v>
      </c>
      <c r="F6" s="2427"/>
      <c r="G6" s="2427"/>
      <c r="H6" s="2427"/>
      <c r="I6" s="1831"/>
    </row>
    <row r="7" spans="1:12" ht="12.75" hidden="1">
      <c r="A7" s="3127"/>
      <c r="B7" s="3065"/>
      <c r="C7" s="3132"/>
      <c r="D7" s="3150"/>
      <c r="E7" s="139" t="s">
        <v>2116</v>
      </c>
      <c r="F7" s="2427"/>
      <c r="G7" s="2427"/>
      <c r="H7" s="2427"/>
      <c r="I7" s="1831"/>
    </row>
    <row r="8" spans="1:12" ht="12.75" hidden="1">
      <c r="A8" s="3127" t="s">
        <v>2117</v>
      </c>
      <c r="B8" s="3065">
        <v>15</v>
      </c>
      <c r="C8" s="3130"/>
      <c r="D8" s="3150"/>
      <c r="E8" s="139" t="s">
        <v>2118</v>
      </c>
      <c r="F8" s="2427"/>
      <c r="G8" s="2427"/>
      <c r="H8" s="2427"/>
      <c r="I8" s="1831"/>
    </row>
    <row r="9" spans="1:12" ht="12.75" hidden="1">
      <c r="A9" s="3127"/>
      <c r="B9" s="3065"/>
      <c r="C9" s="3132"/>
      <c r="D9" s="3150"/>
      <c r="E9" s="139" t="s">
        <v>2119</v>
      </c>
      <c r="F9" s="2427"/>
      <c r="G9" s="2427"/>
      <c r="H9" s="2427"/>
      <c r="I9" s="1831"/>
    </row>
    <row r="10" spans="1:12" ht="12.75" hidden="1">
      <c r="A10" s="3127" t="s">
        <v>2120</v>
      </c>
      <c r="B10" s="3065">
        <v>15</v>
      </c>
      <c r="C10" s="3130"/>
      <c r="D10" s="3150"/>
      <c r="E10" s="139" t="s">
        <v>2121</v>
      </c>
      <c r="F10" s="2427"/>
      <c r="G10" s="2427"/>
      <c r="H10" s="2427"/>
      <c r="I10" s="1831"/>
    </row>
    <row r="11" spans="1:12" ht="12.75" hidden="1">
      <c r="A11" s="3127"/>
      <c r="B11" s="3065"/>
      <c r="C11" s="3132"/>
      <c r="D11" s="3150"/>
      <c r="E11" s="139" t="s">
        <v>2122</v>
      </c>
      <c r="F11" s="2427"/>
      <c r="G11" s="2427"/>
      <c r="H11" s="2427"/>
      <c r="I11" s="1831"/>
    </row>
    <row r="12" spans="1:12" ht="12.75" hidden="1">
      <c r="A12" s="3127" t="s">
        <v>2123</v>
      </c>
      <c r="B12" s="3065">
        <v>15</v>
      </c>
      <c r="C12" s="3130"/>
      <c r="D12" s="3150"/>
      <c r="E12" s="139" t="s">
        <v>2124</v>
      </c>
      <c r="F12" s="2427"/>
      <c r="G12" s="2427"/>
      <c r="H12" s="2427"/>
      <c r="I12" s="1831"/>
    </row>
    <row r="13" spans="1:12" ht="12.75" hidden="1">
      <c r="A13" s="3127"/>
      <c r="B13" s="3065"/>
      <c r="C13" s="3132"/>
      <c r="D13" s="3150"/>
      <c r="E13" s="139" t="s">
        <v>2125</v>
      </c>
      <c r="F13" s="2427"/>
      <c r="G13" s="2427"/>
      <c r="H13" s="2427"/>
      <c r="I13" s="1831"/>
    </row>
    <row r="14" spans="1:12" ht="12.75">
      <c r="A14" s="3127" t="s">
        <v>2126</v>
      </c>
      <c r="B14" s="3065">
        <v>30</v>
      </c>
      <c r="C14" s="3130">
        <v>8</v>
      </c>
      <c r="D14" s="3150">
        <v>2</v>
      </c>
      <c r="E14" s="139" t="s">
        <v>2127</v>
      </c>
      <c r="F14" s="2427"/>
      <c r="G14" s="2427"/>
      <c r="H14" s="2427"/>
      <c r="I14" s="1831"/>
    </row>
    <row r="15" spans="1:12" ht="12.75">
      <c r="A15" s="3127"/>
      <c r="B15" s="3065"/>
      <c r="C15" s="3131"/>
      <c r="D15" s="3150"/>
      <c r="E15" s="139" t="s">
        <v>2128</v>
      </c>
      <c r="F15" s="2427"/>
      <c r="G15" s="2427"/>
      <c r="H15" s="2427"/>
      <c r="I15" s="1831"/>
    </row>
    <row r="16" spans="1:12" ht="12.75">
      <c r="A16" s="3127"/>
      <c r="B16" s="3065"/>
      <c r="C16" s="3132"/>
      <c r="D16" s="3150"/>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13115.18</v>
      </c>
      <c r="M18" s="2426">
        <f>IF(C1="",'数据-汇总表'!E3,SUMIF(项目类型,C1,'数据-汇总表'!E17:E26))</f>
        <v>13115.18</v>
      </c>
    </row>
    <row r="19" spans="1:35" ht="15">
      <c r="A19" s="2432" t="s">
        <v>2135</v>
      </c>
      <c r="B19" s="2433" t="s">
        <v>2136</v>
      </c>
      <c r="C19" s="142">
        <f ca="1">SUMIF(INDIRECT("'"&amp;C4&amp;"'"&amp;"!A:A"),结果表!B19,INDIRECT("'"&amp;C4&amp;"'"&amp;"!B:B"))</f>
        <v>40410</v>
      </c>
      <c r="D19" s="143">
        <f ca="1">SUMIF(INDIRECT("'"&amp;D4&amp;"'"&amp;"!A:A"),结果表!B19,INDIRECT("'"&amp;D4&amp;"'"&amp;"!B:B"))</f>
        <v>25511</v>
      </c>
      <c r="E19" s="2432" t="s">
        <v>2137</v>
      </c>
      <c r="F19" s="2433" t="s">
        <v>2136</v>
      </c>
      <c r="G19" s="144">
        <f ca="1">ROUND(C19*$C$18+D19*$D$18,0)</f>
        <v>37430</v>
      </c>
      <c r="H19" s="2434" t="s">
        <v>2138</v>
      </c>
      <c r="I19" s="137"/>
      <c r="K19" s="2426" t="s">
        <v>2139</v>
      </c>
      <c r="L19" s="2426">
        <f>IF(C1="",'数据-汇总表'!D3,SUMIF(项目类型,C1,'数据-汇总表'!D17:D26)+SUMIF(项目类型,C1,'数据-汇总表'!H17:H27))</f>
        <v>10929.32</v>
      </c>
      <c r="M19" s="2426">
        <f>IF(C1="",'数据-汇总表'!D3,SUMIF(项目类型,C1,'数据-汇总表'!D17:D26))</f>
        <v>10929.32</v>
      </c>
    </row>
    <row r="20" spans="1:35" ht="15">
      <c r="A20" s="2435"/>
      <c r="B20" s="1248" t="s">
        <v>2140</v>
      </c>
      <c r="C20" s="145">
        <f ca="1">SUMIF(INDIRECT("'"&amp;C4&amp;"'"&amp;"!A:A"),结果表!B20,INDIRECT("'"&amp;C4&amp;"'"&amp;"!B:B"))</f>
        <v>30812</v>
      </c>
      <c r="D20" s="146">
        <f ca="1">SUMIF(INDIRECT("'"&amp;D4&amp;"'"&amp;"!A:A"),结果表!B20,INDIRECT("'"&amp;D4&amp;"'"&amp;"!B:B"))</f>
        <v>19452</v>
      </c>
      <c r="E20" s="2435"/>
      <c r="F20" s="1248" t="s">
        <v>2140</v>
      </c>
      <c r="G20" s="147">
        <f ca="1">ROUND(C20*$C$18+D20*$D$18,0)</f>
        <v>28540</v>
      </c>
      <c r="H20" s="981" t="s">
        <v>2141</v>
      </c>
      <c r="I20" s="137"/>
    </row>
    <row r="21" spans="1:35" ht="15" customHeight="1" thickBot="1">
      <c r="A21" s="1001"/>
      <c r="B21" s="2436" t="s">
        <v>2142</v>
      </c>
      <c r="C21" s="787">
        <f ca="1">ROUND(C19*10000/L19,0)</f>
        <v>36974</v>
      </c>
      <c r="D21" s="788">
        <f ca="1">ROUND(D19*10000/L19,0)</f>
        <v>23342</v>
      </c>
      <c r="E21" s="1001"/>
      <c r="F21" s="2436" t="s">
        <v>2142</v>
      </c>
      <c r="G21" s="148">
        <f ca="1">ROUND(G19*10000/L19,0)</f>
        <v>34247</v>
      </c>
      <c r="H21" s="2437" t="s">
        <v>2141</v>
      </c>
      <c r="I21" s="137"/>
    </row>
    <row r="22" spans="1:35" ht="15" thickBot="1">
      <c r="A22" s="2278" t="s">
        <v>2143</v>
      </c>
      <c r="B22" s="2438"/>
      <c r="C22" s="2439"/>
      <c r="D22" s="789">
        <f ca="1">IF(C19&lt;D19,D19/C19-1,C19/D19-1)</f>
        <v>0.58402257849555084</v>
      </c>
      <c r="E22" s="137"/>
      <c r="F22" s="137"/>
      <c r="G22" s="137"/>
      <c r="H22" s="137"/>
      <c r="I22" s="137"/>
    </row>
    <row r="23" spans="1:35" ht="13.5" hidden="1" thickBot="1">
      <c r="A23" s="2416"/>
      <c r="B23" s="2416"/>
      <c r="C23" s="2416"/>
      <c r="D23" s="2416"/>
      <c r="E23" s="137"/>
      <c r="F23" s="137"/>
      <c r="G23" s="137"/>
      <c r="H23" s="137"/>
      <c r="I23" s="137"/>
    </row>
    <row r="24" spans="1:35" ht="14.25" hidden="1">
      <c r="A24" s="3121" t="s">
        <v>2144</v>
      </c>
      <c r="B24" s="2433" t="s">
        <v>2136</v>
      </c>
      <c r="C24" s="144">
        <f>IF(B30=0,0,D30)</f>
        <v>0</v>
      </c>
      <c r="D24" s="2440"/>
      <c r="E24" s="137"/>
      <c r="F24" s="137"/>
      <c r="G24" s="137"/>
      <c r="H24" s="137"/>
      <c r="I24" s="137"/>
    </row>
    <row r="25" spans="1:35" ht="14.25" hidden="1">
      <c r="A25" s="3122"/>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37430</v>
      </c>
      <c r="D32" s="2447" t="s">
        <v>2151</v>
      </c>
      <c r="E32" s="137"/>
      <c r="F32" s="137"/>
      <c r="G32" s="137"/>
      <c r="H32" s="137"/>
      <c r="I32" s="137"/>
    </row>
    <row r="33" spans="1:15" ht="15">
      <c r="A33" s="958" t="s">
        <v>2152</v>
      </c>
      <c r="B33" s="2448"/>
      <c r="C33" s="2449" t="s">
        <v>3187</v>
      </c>
      <c r="D33" s="2450" t="s">
        <v>3133</v>
      </c>
      <c r="E33" s="2451" t="s">
        <v>2153</v>
      </c>
      <c r="F33" s="2452" t="str">
        <f>IF(D32="楼面单价","取值（单价）","取值（总价）")</f>
        <v>取值（总价）</v>
      </c>
      <c r="G33" s="137"/>
      <c r="H33" s="137"/>
      <c r="I33" s="137"/>
    </row>
    <row r="34" spans="1:15" ht="15">
      <c r="A34" s="2453"/>
      <c r="B34" s="2454" t="s">
        <v>2154</v>
      </c>
      <c r="C34" s="156">
        <f ca="1">IF(C33="自定义",F34,C32-C35)</f>
        <v>11154</v>
      </c>
      <c r="D34" s="1056">
        <f ca="1">IF(C33="自定义",ROUND(C34/C32,3),IF(C33="收益比率",SUMIF(INDIRECT("'"&amp;D33&amp;"'"&amp;"!b:b"),"土地收益比率",INDIRECT("'"&amp;D33&amp;"'"&amp;"!c:c")),SUMIF(INDIRECT("'"&amp;D33&amp;"'"&amp;"!b:b"),"土地成本比率",INDIRECT("'"&amp;D33&amp;"'"&amp;"!c:c"))))</f>
        <v>0.29800000000000004</v>
      </c>
      <c r="E34" s="2455" t="s">
        <v>2155</v>
      </c>
      <c r="F34" s="1736"/>
      <c r="G34" s="137"/>
      <c r="H34" s="137"/>
      <c r="I34" s="137"/>
    </row>
    <row r="35" spans="1:15" ht="15.75" thickBot="1">
      <c r="A35" s="2456"/>
      <c r="B35" s="2457" t="s">
        <v>2156</v>
      </c>
      <c r="C35" s="1442">
        <f ca="1">IF(C33="自定义",F35,ROUND(C32*D35,0))</f>
        <v>26276</v>
      </c>
      <c r="D35" s="1443">
        <f ca="1">IF(C33="自定义",ROUND(C35/C32,3),IF(C33="收益比率",SUMIF(INDIRECT("'"&amp;D33&amp;"'"&amp;"!b:b"),"建筑物收益比率",INDIRECT("'"&amp;D33&amp;"'"&amp;"!c:c")),SUMIF(INDIRECT("'"&amp;D33&amp;"'"&amp;"!b:b"),"建筑物成本比率",INDIRECT("'"&amp;D33&amp;"'"&amp;"!c:c"))))</f>
        <v>0.70199999999999996</v>
      </c>
      <c r="E35" s="2458" t="s">
        <v>2157</v>
      </c>
      <c r="F35" s="162"/>
      <c r="G35" s="137"/>
      <c r="H35" s="137"/>
      <c r="I35" s="137"/>
    </row>
    <row r="36" spans="1:15" ht="15.75" hidden="1" thickBot="1">
      <c r="A36" s="3139" t="s">
        <v>2158</v>
      </c>
      <c r="B36" s="2459" t="s">
        <v>2159</v>
      </c>
      <c r="C36" s="153"/>
      <c r="D36" s="2460"/>
      <c r="E36" s="2461"/>
      <c r="F36" s="2462"/>
      <c r="G36" s="137"/>
      <c r="H36" s="137"/>
      <c r="I36" s="137"/>
    </row>
    <row r="37" spans="1:15" ht="15.75" hidden="1" thickBot="1">
      <c r="A37" s="3140"/>
      <c r="B37" s="2264" t="s">
        <v>2160</v>
      </c>
      <c r="C37" s="155"/>
      <c r="D37" s="1393"/>
      <c r="E37" s="1393"/>
      <c r="F37" s="2462"/>
      <c r="G37" s="137"/>
      <c r="H37" s="137"/>
      <c r="I37" s="137"/>
    </row>
    <row r="38" spans="1:15" ht="15.75" hidden="1" thickBot="1">
      <c r="A38" s="3141"/>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18" t="s">
        <v>2172</v>
      </c>
      <c r="B45" s="3119"/>
      <c r="C45" s="3120"/>
      <c r="D45" s="163">
        <f ca="1">ROUND(H101*F45,0)</f>
        <v>37430</v>
      </c>
      <c r="E45" s="164" t="s">
        <v>2173</v>
      </c>
      <c r="F45" s="165">
        <v>1</v>
      </c>
      <c r="G45" s="166" t="s">
        <v>2174</v>
      </c>
      <c r="H45" s="137"/>
      <c r="I45" s="137"/>
      <c r="J45" s="3178" t="s">
        <v>2175</v>
      </c>
      <c r="K45" s="3178"/>
      <c r="L45" s="3178"/>
      <c r="M45" s="3178"/>
      <c r="N45" s="3178"/>
      <c r="O45" s="3178"/>
    </row>
    <row r="46" spans="1:15" ht="14.25" hidden="1" customHeight="1">
      <c r="A46" s="3115" t="s">
        <v>2176</v>
      </c>
      <c r="B46" s="3116"/>
      <c r="C46" s="3116"/>
      <c r="D46" s="3116"/>
      <c r="E46" s="3116"/>
      <c r="F46" s="3116"/>
      <c r="G46" s="3117"/>
      <c r="H46" s="2478"/>
      <c r="I46" s="167"/>
      <c r="J46" s="1809">
        <v>1</v>
      </c>
      <c r="K46" s="3178" t="s">
        <v>2177</v>
      </c>
      <c r="L46" s="3178"/>
      <c r="M46" s="3198"/>
      <c r="N46" s="3198"/>
      <c r="O46" s="3198"/>
    </row>
    <row r="47" spans="1:15" ht="12" hidden="1" customHeight="1">
      <c r="A47" s="168" t="s">
        <v>2178</v>
      </c>
      <c r="B47" s="169"/>
      <c r="C47" s="170"/>
      <c r="D47" s="171" t="s">
        <v>2179</v>
      </c>
      <c r="E47" s="23" t="s">
        <v>2180</v>
      </c>
      <c r="F47" s="172" t="s">
        <v>2181</v>
      </c>
      <c r="G47" s="173" t="s">
        <v>2182</v>
      </c>
      <c r="H47" s="2478"/>
      <c r="I47" s="167"/>
      <c r="J47" s="1809">
        <v>2</v>
      </c>
      <c r="K47" s="3178" t="s">
        <v>2183</v>
      </c>
      <c r="L47" s="3178"/>
      <c r="M47" s="3199">
        <f>'数据-取费表'!B2</f>
        <v>43344</v>
      </c>
      <c r="N47" s="3199"/>
      <c r="O47" s="3199"/>
    </row>
    <row r="48" spans="1:15" ht="25.5" hidden="1">
      <c r="A48" s="3146" t="s">
        <v>2184</v>
      </c>
      <c r="B48" s="3129"/>
      <c r="C48" s="3129"/>
      <c r="D48" s="139">
        <f>IF(H48="情况1",0,IF(H48="情况2",D52,IF(H48="情况3",D53,IF(H48="情况4",D54))))</f>
        <v>0</v>
      </c>
      <c r="E48" s="1798" t="str">
        <f>IF(H48="情况4","(销售额-原购置价)×税（费）率","销售额×税（费）率")</f>
        <v>销售额×税（费）率</v>
      </c>
      <c r="F48" s="174" t="str">
        <f>IF(H48="情况1","免征",'数据-取费表'!B41)</f>
        <v>免征</v>
      </c>
      <c r="G48" s="2479" t="s">
        <v>2185</v>
      </c>
      <c r="H48" s="2480" t="s">
        <v>2186</v>
      </c>
      <c r="I48" s="2478"/>
      <c r="J48" s="1809">
        <v>3</v>
      </c>
      <c r="K48" s="3178" t="s">
        <v>2187</v>
      </c>
      <c r="L48" s="3178"/>
      <c r="M48" s="3200">
        <f ca="1">H101</f>
        <v>37430</v>
      </c>
      <c r="N48" s="3200"/>
      <c r="O48" s="3200"/>
    </row>
    <row r="49" spans="1:35" ht="25.5" hidden="1" customHeight="1">
      <c r="A49" s="175" t="s">
        <v>2188</v>
      </c>
      <c r="B49" s="3114" t="s">
        <v>2189</v>
      </c>
      <c r="C49" s="3114"/>
      <c r="D49" s="176">
        <v>0</v>
      </c>
      <c r="E49" s="22" t="s">
        <v>2190</v>
      </c>
      <c r="F49" s="27" t="s">
        <v>34</v>
      </c>
      <c r="G49" s="3184"/>
      <c r="H49" s="137"/>
      <c r="I49" s="2481"/>
      <c r="J49" s="1809">
        <v>4</v>
      </c>
      <c r="K49" s="3178" t="str">
        <f>IF(项目基本情况!E8="房地产抵押价值","房地产抵押价值","抵押担保权已注销时的房地产抵押价值")</f>
        <v>房地产抵押价值</v>
      </c>
      <c r="L49" s="3178"/>
      <c r="M49" s="3200">
        <f ca="1">IF(项目基本情况!E8="房地产抵押价值",H107,H109)</f>
        <v>37430</v>
      </c>
      <c r="N49" s="3200"/>
      <c r="O49" s="3200"/>
    </row>
    <row r="50" spans="1:35" ht="25.5" hidden="1" customHeight="1">
      <c r="A50" s="177"/>
      <c r="B50" s="3114" t="s">
        <v>2191</v>
      </c>
      <c r="C50" s="3114"/>
      <c r="D50" s="178"/>
      <c r="E50" s="30"/>
      <c r="F50" s="179"/>
      <c r="G50" s="3185"/>
      <c r="H50" s="137"/>
      <c r="I50" s="2481"/>
      <c r="J50" s="3178" t="s">
        <v>2192</v>
      </c>
      <c r="K50" s="3178"/>
      <c r="L50" s="3178"/>
      <c r="M50" s="3178"/>
      <c r="N50" s="3178"/>
      <c r="O50" s="3178"/>
    </row>
    <row r="51" spans="1:35" ht="12" hidden="1" customHeight="1">
      <c r="A51" s="180"/>
      <c r="B51" s="3114" t="s">
        <v>2193</v>
      </c>
      <c r="C51" s="3114"/>
      <c r="D51" s="181"/>
      <c r="E51" s="29"/>
      <c r="F51" s="179"/>
      <c r="G51" s="3186"/>
      <c r="H51" s="137"/>
      <c r="I51" s="2481"/>
      <c r="J51" s="2482" t="s">
        <v>2194</v>
      </c>
      <c r="K51" s="3178" t="s">
        <v>2195</v>
      </c>
      <c r="L51" s="3178"/>
      <c r="M51" s="2482" t="s">
        <v>2196</v>
      </c>
      <c r="N51" s="2482" t="s">
        <v>2197</v>
      </c>
      <c r="O51" s="2482" t="s">
        <v>2198</v>
      </c>
    </row>
    <row r="52" spans="1:35" ht="24" hidden="1" customHeight="1">
      <c r="A52" s="182" t="s">
        <v>2199</v>
      </c>
      <c r="B52" s="3114" t="s">
        <v>2200</v>
      </c>
      <c r="C52" s="3114"/>
      <c r="D52" s="181">
        <f ca="1">ROUND(D45*'数据-取费表'!B41/(1+'数据-取费表'!C42),0)</f>
        <v>1996</v>
      </c>
      <c r="E52" s="11" t="s">
        <v>2201</v>
      </c>
      <c r="F52" s="183">
        <f>'数据-取费表'!B41</f>
        <v>5.6000000000000001E-2</v>
      </c>
      <c r="G52" s="2483"/>
      <c r="H52" s="137"/>
      <c r="I52" s="2481"/>
      <c r="J52" s="1809">
        <v>1</v>
      </c>
      <c r="K52" s="3179" t="s">
        <v>2202</v>
      </c>
      <c r="L52" s="3179"/>
      <c r="M52" s="1751">
        <f>D48</f>
        <v>0</v>
      </c>
      <c r="N52" s="1809" t="str">
        <f>E48</f>
        <v>销售额×税（费）率</v>
      </c>
      <c r="O52" s="1752" t="str">
        <f>F48</f>
        <v>免征</v>
      </c>
    </row>
    <row r="53" spans="1:35" ht="12" hidden="1" customHeight="1">
      <c r="A53" s="182" t="s">
        <v>2203</v>
      </c>
      <c r="B53" s="3137" t="s">
        <v>2204</v>
      </c>
      <c r="C53" s="3138"/>
      <c r="D53" s="181">
        <f ca="1">ROUND(D45*'数据-取费表'!B41/(1+'数据-取费表'!C42),0)</f>
        <v>1996</v>
      </c>
      <c r="E53" s="11" t="s">
        <v>2201</v>
      </c>
      <c r="F53" s="183">
        <f>'数据-取费表'!B41</f>
        <v>5.6000000000000001E-2</v>
      </c>
      <c r="G53" s="2483"/>
      <c r="H53" s="137"/>
      <c r="I53" s="2481"/>
      <c r="J53" s="1809">
        <v>2</v>
      </c>
      <c r="K53" s="3179" t="s">
        <v>2205</v>
      </c>
      <c r="L53" s="3179"/>
      <c r="M53" s="1751">
        <f t="shared" ref="M53:O54" ca="1" si="0">D55</f>
        <v>19</v>
      </c>
      <c r="N53" s="1809" t="str">
        <f t="shared" si="0"/>
        <v>销售额×税（费）率</v>
      </c>
      <c r="O53" s="1752">
        <f t="shared" si="0"/>
        <v>5.0000000000000001E-4</v>
      </c>
    </row>
    <row r="54" spans="1:35" ht="12" hidden="1" customHeight="1">
      <c r="A54" s="182" t="s">
        <v>2206</v>
      </c>
      <c r="B54" s="3137" t="s">
        <v>2207</v>
      </c>
      <c r="C54" s="3138"/>
      <c r="D54" s="181">
        <f ca="1">C68</f>
        <v>1996</v>
      </c>
      <c r="E54" s="29" t="s">
        <v>2208</v>
      </c>
      <c r="F54" s="183">
        <f>'数据-取费表'!B41</f>
        <v>5.6000000000000001E-2</v>
      </c>
      <c r="G54" s="2483"/>
      <c r="H54" s="2484"/>
      <c r="I54" s="2481"/>
      <c r="J54" s="1809">
        <v>3</v>
      </c>
      <c r="K54" s="3179" t="s">
        <v>2209</v>
      </c>
      <c r="L54" s="3179"/>
      <c r="M54" s="1751">
        <f t="shared" ca="1" si="0"/>
        <v>21186</v>
      </c>
      <c r="N54" s="1809" t="str">
        <f t="shared" si="0"/>
        <v>增值额×税（费）率</v>
      </c>
      <c r="O54" s="1753" t="str">
        <f t="shared" si="0"/>
        <v>——</v>
      </c>
    </row>
    <row r="55" spans="1:35" ht="24" hidden="1" customHeight="1">
      <c r="A55" s="3128" t="s">
        <v>2210</v>
      </c>
      <c r="B55" s="3129"/>
      <c r="C55" s="3129"/>
      <c r="D55" s="184">
        <f ca="1">IF(H55="个人住宅",0,ROUND(D45*I55,0))</f>
        <v>19</v>
      </c>
      <c r="E55" s="11" t="s">
        <v>2211</v>
      </c>
      <c r="F55" s="183">
        <f>IF(H55="正常",I55,"免征")</f>
        <v>5.0000000000000001E-4</v>
      </c>
      <c r="G55" s="2483"/>
      <c r="H55" s="2480" t="s">
        <v>2212</v>
      </c>
      <c r="I55" s="185">
        <f>'数据-取费表'!B49</f>
        <v>5.0000000000000001E-4</v>
      </c>
      <c r="J55" s="1809" t="str">
        <f>IF(H59="非个人房产","",4)</f>
        <v/>
      </c>
      <c r="K55" s="3179" t="str">
        <f>IF(H59="非个人房产","——","个人所得税")</f>
        <v>——</v>
      </c>
      <c r="L55" s="3179"/>
      <c r="M55" s="1754" t="str">
        <f>D59</f>
        <v>——</v>
      </c>
      <c r="N55" s="1807" t="str">
        <f>E59</f>
        <v>——</v>
      </c>
      <c r="O55" s="1755" t="str">
        <f>F59</f>
        <v>——</v>
      </c>
    </row>
    <row r="56" spans="1:35" ht="24.75" hidden="1">
      <c r="A56" s="3128" t="s">
        <v>2213</v>
      </c>
      <c r="B56" s="3129"/>
      <c r="C56" s="3129"/>
      <c r="D56" s="184">
        <f ca="1">IF(H56="个人住宅",D57,D58)</f>
        <v>21186</v>
      </c>
      <c r="E56" s="11" t="s">
        <v>2214</v>
      </c>
      <c r="F56" s="183" t="str">
        <f>IF(H56="正常",F58,"免征")</f>
        <v>——</v>
      </c>
      <c r="G56" s="2485" t="s">
        <v>2215</v>
      </c>
      <c r="H56" s="2486" t="s">
        <v>2212</v>
      </c>
      <c r="I56" s="2487"/>
      <c r="J56" s="1809" t="str">
        <f>IF(项目基本情况!K6="上海银行",IF(J55="",4,J55+1),"")</f>
        <v/>
      </c>
      <c r="K56" s="3202" t="str">
        <f>IF(项目基本情况!K6="上海银行","其他处置费用","")</f>
        <v/>
      </c>
      <c r="L56" s="3203"/>
      <c r="M56" s="1751" t="str">
        <f>IF(项目基本情况!K6="上海银行",M69,"")</f>
        <v/>
      </c>
      <c r="N56" s="3205" t="str">
        <f>IF(项目基本情况!K6="上海银行","包含处置中涉及的律师、诉讼、拍卖、评估等费用","")</f>
        <v/>
      </c>
      <c r="O56" s="3206"/>
    </row>
    <row r="57" spans="1:35" ht="12.75" hidden="1">
      <c r="A57" s="182" t="s">
        <v>2188</v>
      </c>
      <c r="B57" s="3144" t="s">
        <v>2216</v>
      </c>
      <c r="C57" s="3153"/>
      <c r="D57" s="186">
        <v>0</v>
      </c>
      <c r="E57" s="22" t="s">
        <v>2190</v>
      </c>
      <c r="F57" s="154"/>
      <c r="G57" s="2483"/>
      <c r="H57" s="2487"/>
      <c r="I57" s="2487"/>
      <c r="J57" s="3179">
        <f>IF(AND(J55="",J56=""),4,IF(项目基本情况!K6="上海银行",结果表!J56+1,结果表!J55+1))</f>
        <v>4</v>
      </c>
      <c r="K57" s="3179" t="s">
        <v>2217</v>
      </c>
      <c r="L57" s="2488" t="s">
        <v>2218</v>
      </c>
      <c r="M57" s="1756"/>
      <c r="N57" s="1757">
        <f ca="1">SUMIF(M52:M56,"&lt;9e307")</f>
        <v>21205</v>
      </c>
      <c r="O57" s="2489"/>
      <c r="P57" s="1750">
        <f ca="1">N57/M49</f>
        <v>0.56652417846647074</v>
      </c>
    </row>
    <row r="58" spans="1:35" ht="24.75" hidden="1">
      <c r="A58" s="182" t="s">
        <v>2199</v>
      </c>
      <c r="B58" s="3144" t="s">
        <v>2219</v>
      </c>
      <c r="C58" s="3145"/>
      <c r="D58" s="184">
        <f ca="1">IF(H58="转让取得",C81,C97)</f>
        <v>21186</v>
      </c>
      <c r="E58" s="11" t="s">
        <v>2214</v>
      </c>
      <c r="F58" s="23" t="s">
        <v>34</v>
      </c>
      <c r="G58" s="2483"/>
      <c r="H58" s="2486" t="s">
        <v>2220</v>
      </c>
      <c r="I58" s="2487"/>
      <c r="J58" s="3179"/>
      <c r="K58" s="3179"/>
      <c r="L58" s="2488" t="s">
        <v>2221</v>
      </c>
      <c r="M58" s="1758"/>
      <c r="N58" s="2490" t="str">
        <f ca="1">NUMBERSTRING(INT(N57*10000),2)&amp;"元整"</f>
        <v>贰亿壹仟贰佰零伍万元整</v>
      </c>
      <c r="O58" s="2491"/>
    </row>
    <row r="59" spans="1:35" ht="24.75" hidden="1" thickBot="1">
      <c r="A59" s="3182" t="s">
        <v>2222</v>
      </c>
      <c r="B59" s="3183"/>
      <c r="C59" s="3183"/>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80">
        <f>J57+1</f>
        <v>5</v>
      </c>
      <c r="K59" s="3179" t="s">
        <v>2224</v>
      </c>
      <c r="L59" s="1809" t="s">
        <v>2218</v>
      </c>
      <c r="M59" s="1759"/>
      <c r="N59" s="1760">
        <f ca="1">M49-N57</f>
        <v>16225</v>
      </c>
      <c r="O59" s="2493"/>
    </row>
    <row r="60" spans="1:35" ht="12" hidden="1" customHeight="1">
      <c r="A60" s="2494"/>
      <c r="B60" s="2416"/>
      <c r="C60" s="2416"/>
      <c r="D60" s="2416"/>
      <c r="E60" s="2163"/>
      <c r="F60" s="2487"/>
      <c r="G60" s="2487"/>
      <c r="H60" s="2495"/>
      <c r="I60" s="137"/>
      <c r="J60" s="3181"/>
      <c r="K60" s="3179"/>
      <c r="L60" s="2488" t="s">
        <v>2221</v>
      </c>
      <c r="M60" s="1758"/>
      <c r="N60" s="2490" t="str">
        <f ca="1">NUMBERSTRING(INT(N59*10000),2)&amp;"元整"</f>
        <v>壹亿陆仟贰佰贰拾伍万元整</v>
      </c>
      <c r="O60" s="2491"/>
    </row>
    <row r="61" spans="1:35" ht="13.5" hidden="1" thickBot="1">
      <c r="A61" s="3126" t="s">
        <v>2225</v>
      </c>
      <c r="B61" s="3126"/>
      <c r="C61" s="3126"/>
      <c r="D61" s="3126"/>
      <c r="E61" s="3126"/>
      <c r="F61" s="2487"/>
      <c r="G61" s="2487"/>
      <c r="H61" s="2495"/>
      <c r="I61" s="137"/>
      <c r="J61" s="1809">
        <f>J59+1</f>
        <v>6</v>
      </c>
      <c r="K61" s="3179" t="s">
        <v>2226</v>
      </c>
      <c r="L61" s="3179"/>
      <c r="M61" s="1761"/>
      <c r="N61" s="1762">
        <f ca="1">ROUND(N59*10000/'数据-汇总表'!E3,0)</f>
        <v>9914</v>
      </c>
      <c r="O61" s="2496"/>
    </row>
    <row r="62" spans="1:35" ht="12.75" hidden="1">
      <c r="A62" s="3142" t="s">
        <v>2227</v>
      </c>
      <c r="B62" s="3143"/>
      <c r="C62" s="1801"/>
      <c r="D62" s="1801" t="s">
        <v>2228</v>
      </c>
      <c r="E62" s="191" t="s">
        <v>2229</v>
      </c>
      <c r="F62" s="2487"/>
      <c r="G62" s="2487"/>
      <c r="H62" s="2495"/>
      <c r="I62" s="137"/>
    </row>
    <row r="63" spans="1:35" ht="12.75" hidden="1">
      <c r="A63" s="202" t="s">
        <v>775</v>
      </c>
      <c r="B63" s="192" t="s">
        <v>2230</v>
      </c>
      <c r="C63" s="193">
        <f ca="1">ROUND((C64+C65)/(1+'数据-取费表'!C42),0)</f>
        <v>35648</v>
      </c>
      <c r="D63" s="194"/>
      <c r="E63" s="195"/>
      <c r="F63" s="2487"/>
      <c r="G63" s="2487"/>
      <c r="H63" s="2495"/>
      <c r="I63" s="137"/>
      <c r="J63" s="3204" t="s">
        <v>2231</v>
      </c>
      <c r="K63" s="2497" t="s">
        <v>2232</v>
      </c>
      <c r="L63" s="1749">
        <f ca="1">IF(M49&gt;10000,M49*0.5%,IF(AND(M49&gt;1000,M49&lt;=10000),M49*1%,IF(AND(M49&gt;100,M49&lt;=1000),M49*3%,IF(AND(M49&gt;10,M49&lt;=100),M49*5%,M49*8%))))</f>
        <v>187.15</v>
      </c>
      <c r="M63" s="23">
        <f ca="1">ROUND(L63,1)</f>
        <v>187.2</v>
      </c>
      <c r="Z63" s="2421"/>
      <c r="AI63" s="2422"/>
    </row>
    <row r="64" spans="1:35" ht="14.25" hidden="1" customHeight="1">
      <c r="A64" s="196" t="s">
        <v>770</v>
      </c>
      <c r="B64" s="197" t="s">
        <v>2233</v>
      </c>
      <c r="C64" s="198">
        <f ca="1">D45</f>
        <v>37430</v>
      </c>
      <c r="D64" s="199" t="s">
        <v>32</v>
      </c>
      <c r="E64" s="200"/>
      <c r="F64" s="2487"/>
      <c r="G64" s="2487"/>
      <c r="H64" s="2495"/>
      <c r="I64" s="137"/>
      <c r="J64" s="3204"/>
      <c r="K64" s="2497" t="s">
        <v>2234</v>
      </c>
      <c r="L64" s="1749">
        <f ca="1">IF(M49&gt;2000,M49*0.5%,IF(AND(M49&gt;1000,M49&lt;=2000),M49*0.6%,IF(AND(M49&gt;500,M49&lt;=1000),M49*0.7%,IF(AND(M49&gt;200,M49&lt;=500),M49*0.8%,IF(AND(M49&gt;100,M49&lt;=200),M49*0.9%,IF(AND(M49&gt;50,M49&lt;=100),M49*1%,IF(AND(M49&gt;20,M49&lt;=50),M49*1.5%,IF(AND(M49&gt;10,M49&lt;=20),M49*2%,IF(AND(M49&gt;1,M49&lt;=10),M49*2.5%)))))))))</f>
        <v>187.15</v>
      </c>
      <c r="M64" s="23">
        <f t="shared" ref="M64:M65" ca="1" si="1">ROUND(L64,1)</f>
        <v>187.2</v>
      </c>
      <c r="N64" s="137" t="s">
        <v>2235</v>
      </c>
      <c r="Z64" s="2421"/>
      <c r="AI64" s="2422"/>
    </row>
    <row r="65" spans="1:35" ht="14.25" hidden="1" customHeight="1">
      <c r="A65" s="196" t="s">
        <v>771</v>
      </c>
      <c r="B65" s="197" t="s">
        <v>2236</v>
      </c>
      <c r="C65" s="201"/>
      <c r="D65" s="199"/>
      <c r="E65" s="200"/>
      <c r="F65" s="2487"/>
      <c r="G65" s="2487"/>
      <c r="H65" s="2495"/>
      <c r="I65" s="137"/>
      <c r="J65" s="3204"/>
      <c r="K65" s="2497" t="s">
        <v>2237</v>
      </c>
      <c r="L65" s="1749">
        <f ca="1">IF(M49&gt;1000,M49*0.1%,IF(AND(M49&gt;500,M49&lt;=1000),M49*0.5%,IF(AND(M49&gt;50,M49&lt;=500),M49*1%,IF(AND(M49&gt;1,M49&lt;=50),M49*1.5%))))</f>
        <v>37.43</v>
      </c>
      <c r="M65" s="23">
        <f t="shared" ca="1" si="1"/>
        <v>37.4</v>
      </c>
      <c r="N65" s="137" t="s">
        <v>2235</v>
      </c>
      <c r="Z65" s="2421"/>
      <c r="AI65" s="2422"/>
    </row>
    <row r="66" spans="1:35" ht="14.25" hidden="1" customHeight="1">
      <c r="A66" s="202" t="s">
        <v>772</v>
      </c>
      <c r="B66" s="203" t="s">
        <v>2238</v>
      </c>
      <c r="C66" s="204"/>
      <c r="D66" s="205" t="s">
        <v>32</v>
      </c>
      <c r="E66" s="1773" t="s">
        <v>1371</v>
      </c>
      <c r="F66" s="2487"/>
      <c r="G66" s="2487"/>
      <c r="H66" s="2495"/>
      <c r="I66" s="137"/>
      <c r="J66" s="3204"/>
      <c r="K66" s="2497" t="s">
        <v>2239</v>
      </c>
      <c r="L66" s="1749">
        <f ca="1">M49*0.5%</f>
        <v>187.15</v>
      </c>
      <c r="M66" s="23">
        <f ca="1">IF(L66&gt;0.5,0.5,ROUND(L66,0))</f>
        <v>0.5</v>
      </c>
      <c r="N66" s="137" t="s">
        <v>2240</v>
      </c>
      <c r="Z66" s="2421"/>
      <c r="AI66" s="2422"/>
    </row>
    <row r="67" spans="1:35" ht="14.25" hidden="1" customHeight="1">
      <c r="A67" s="202" t="s">
        <v>773</v>
      </c>
      <c r="B67" s="203" t="s">
        <v>2241</v>
      </c>
      <c r="C67" s="206">
        <f ca="1">C63-C66</f>
        <v>35648</v>
      </c>
      <c r="D67" s="199" t="s">
        <v>32</v>
      </c>
      <c r="E67" s="200"/>
      <c r="F67" s="2487"/>
      <c r="G67" s="2487"/>
      <c r="H67" s="2495"/>
      <c r="I67" s="137"/>
      <c r="J67" s="3204"/>
      <c r="K67" s="2497" t="s">
        <v>2242</v>
      </c>
      <c r="L67" s="1749">
        <f ca="1">IF(M49&gt;=10000,(8.25+(M49-10000)*0.01%),IF(AND(M49&gt;=8000,M49&lt;10000),(7.85+(M49-8000)*0.02%),IF(AND(M49&gt;=5000,M49&lt;8000),(6.65+(M49-5000)*0.04%),IF(AND(M49&gt;=2000,M49&lt;5000),(4.25+(PM49-2000)*0.08%),IF(AND(M49&gt;=1000,M49&lt;2000),(2.75+(M49-1000)*0.15%),IF(AND(M49&gt;=100,M49&lt;1000),(0.5+(M49-100)*0.25%),IF(AND(M49&gt;0,M49&lt;100),M49*0.5%)))))))</f>
        <v>10.993</v>
      </c>
      <c r="M67" s="23">
        <f ca="1">ROUND(L67*0.9,1)</f>
        <v>9.9</v>
      </c>
      <c r="Z67" s="2421"/>
      <c r="AI67" s="2422"/>
    </row>
    <row r="68" spans="1:35" ht="14.25" hidden="1" customHeight="1" thickBot="1">
      <c r="A68" s="207" t="s">
        <v>774</v>
      </c>
      <c r="B68" s="208" t="s">
        <v>2243</v>
      </c>
      <c r="C68" s="209">
        <f ca="1">IF(C67&lt;=0,0,ROUND(C67*D68,0))</f>
        <v>1996</v>
      </c>
      <c r="D68" s="210">
        <f>'数据-取费表'!B41</f>
        <v>5.6000000000000001E-2</v>
      </c>
      <c r="E68" s="211"/>
      <c r="F68" s="2487"/>
      <c r="G68" s="2487"/>
      <c r="H68" s="2495"/>
      <c r="I68" s="137"/>
      <c r="J68" s="3204"/>
      <c r="K68" s="2497" t="s">
        <v>2244</v>
      </c>
      <c r="L68" s="1749">
        <f ca="1">IF(M49&gt;10000,M49*0.5%,IF(AND(M49&gt;5000,M49&lt;=10000),M49*1%,IF(AND(M49&gt;1000,M49&lt;=5000),M49*2%,IF(AND(M49&gt;200,M49&lt;=1000),M49*3%,M49*5%))))</f>
        <v>187.15</v>
      </c>
      <c r="M68" s="23">
        <f ca="1">ROUND(L68,1)</f>
        <v>187.2</v>
      </c>
      <c r="Z68" s="2421"/>
      <c r="AI68" s="2422"/>
    </row>
    <row r="69" spans="1:35" s="2444" customFormat="1" ht="16.5" hidden="1" customHeight="1">
      <c r="A69" s="2498"/>
      <c r="B69" s="2499"/>
      <c r="C69" s="2500"/>
      <c r="D69" s="2501"/>
      <c r="E69" s="2502"/>
      <c r="F69" s="2163"/>
      <c r="G69" s="2163"/>
      <c r="H69" s="2162"/>
      <c r="I69" s="2416"/>
      <c r="J69" s="3204"/>
      <c r="K69" s="2497" t="s">
        <v>2245</v>
      </c>
      <c r="L69" s="2503"/>
      <c r="M69" s="23">
        <f ca="1">ROUND(SUM(M63:M68),0)</f>
        <v>609</v>
      </c>
      <c r="N69" s="1750">
        <f ca="1">M69/M49</f>
        <v>1.627037135987176E-2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hidden="1" thickBot="1">
      <c r="A70" s="3163" t="s">
        <v>2246</v>
      </c>
      <c r="B70" s="3164"/>
      <c r="C70" s="3164"/>
      <c r="D70" s="3164"/>
      <c r="E70" s="3164"/>
      <c r="F70" s="3164"/>
      <c r="G70" s="3164"/>
      <c r="H70" s="316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2" t="s">
        <v>2227</v>
      </c>
      <c r="B71" s="3143"/>
      <c r="C71" s="1801"/>
      <c r="D71" s="1801"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35648</v>
      </c>
      <c r="D72" s="199" t="s">
        <v>32</v>
      </c>
      <c r="E72" s="1800"/>
      <c r="F72" s="1794"/>
      <c r="G72" s="1794"/>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214</v>
      </c>
      <c r="D73" s="199" t="s">
        <v>32</v>
      </c>
      <c r="E73" s="1800"/>
      <c r="F73" s="1794"/>
      <c r="G73" s="1794"/>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1800"/>
      <c r="F74" s="1794"/>
      <c r="G74" s="1794"/>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37" t="s">
        <v>2255</v>
      </c>
      <c r="F76" s="3114"/>
      <c r="G76" s="3114"/>
      <c r="H76" s="316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4" t="s">
        <v>2257</v>
      </c>
      <c r="F77" s="223"/>
      <c r="G77" s="2511" t="s">
        <v>2258</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214</v>
      </c>
      <c r="D78" s="225">
        <f>'数据-取费表'!B43</f>
        <v>6.000000000000001E-3</v>
      </c>
      <c r="E78" s="3123" t="s">
        <v>2260</v>
      </c>
      <c r="F78" s="3124"/>
      <c r="G78" s="3124"/>
      <c r="H78" s="313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35434</v>
      </c>
      <c r="D79" s="199" t="s">
        <v>32</v>
      </c>
      <c r="E79" s="1800"/>
      <c r="F79" s="1794"/>
      <c r="G79" s="1794"/>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165.57943925233644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21186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63" t="s">
        <v>2264</v>
      </c>
      <c r="B83" s="3164"/>
      <c r="C83" s="3164"/>
      <c r="D83" s="3164"/>
      <c r="E83" s="3164"/>
      <c r="F83" s="3164"/>
      <c r="G83" s="3164"/>
      <c r="H83" s="316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2" t="s">
        <v>2227</v>
      </c>
      <c r="B84" s="3143"/>
      <c r="C84" s="1801"/>
      <c r="D84" s="1801"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35648</v>
      </c>
      <c r="D85" s="199" t="s">
        <v>32</v>
      </c>
      <c r="E85" s="1800"/>
      <c r="F85" s="1794"/>
      <c r="G85" s="1794"/>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214</v>
      </c>
      <c r="D86" s="234"/>
      <c r="E86" s="1800"/>
      <c r="F86" s="1794"/>
      <c r="G86" s="1794"/>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1797"/>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23" t="s">
        <v>2273</v>
      </c>
      <c r="F91" s="3124"/>
      <c r="G91" s="3124"/>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23" t="s">
        <v>2277</v>
      </c>
      <c r="F92" s="3124"/>
      <c r="G92" s="3124"/>
      <c r="H92" s="313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214</v>
      </c>
      <c r="D93" s="225">
        <f>'数据-取费表'!B43</f>
        <v>6.000000000000001E-3</v>
      </c>
      <c r="E93" s="3123" t="s">
        <v>2260</v>
      </c>
      <c r="F93" s="3124"/>
      <c r="G93" s="3124"/>
      <c r="H93" s="313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134" t="s">
        <v>2281</v>
      </c>
      <c r="F94" s="3135"/>
      <c r="G94" s="3135"/>
      <c r="H94" s="313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35434</v>
      </c>
      <c r="D95" s="199" t="s">
        <v>32</v>
      </c>
      <c r="E95" s="1800"/>
      <c r="F95" s="1794"/>
      <c r="G95" s="1794"/>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165.57943925233644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21186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8" t="s">
        <v>2283</v>
      </c>
      <c r="B100" s="3109"/>
      <c r="C100" s="3109"/>
      <c r="D100" s="3125"/>
      <c r="E100" s="3109" t="s">
        <v>2284</v>
      </c>
      <c r="F100" s="3109"/>
      <c r="G100" s="3109"/>
      <c r="H100" s="3125"/>
      <c r="I100" s="137"/>
    </row>
    <row r="101" spans="1:35" ht="30">
      <c r="A101" s="3187" t="s">
        <v>2285</v>
      </c>
      <c r="B101" s="3188"/>
      <c r="C101" s="734" t="str">
        <f>C4</f>
        <v>典型户型修正</v>
      </c>
      <c r="D101" s="735" t="str">
        <f>D4</f>
        <v>收益法</v>
      </c>
      <c r="E101" s="3201" t="s">
        <v>2286</v>
      </c>
      <c r="F101" s="3155"/>
      <c r="G101" s="2518" t="s">
        <v>2287</v>
      </c>
      <c r="H101" s="1046">
        <f ca="1">H118</f>
        <v>37430</v>
      </c>
      <c r="I101" s="137"/>
    </row>
    <row r="102" spans="1:35" ht="18.75" customHeight="1">
      <c r="A102" s="3157" t="s">
        <v>2288</v>
      </c>
      <c r="B102" s="2518" t="s">
        <v>2287</v>
      </c>
      <c r="C102" s="734">
        <f ca="1">C19</f>
        <v>40410</v>
      </c>
      <c r="D102" s="735">
        <f ca="1">D19</f>
        <v>25511</v>
      </c>
      <c r="E102" s="3201"/>
      <c r="F102" s="3155"/>
      <c r="G102" s="2518" t="s">
        <v>2289</v>
      </c>
      <c r="H102" s="370">
        <f ca="1">I118</f>
        <v>28539</v>
      </c>
      <c r="I102" s="137"/>
    </row>
    <row r="103" spans="1:35" ht="42.75" customHeight="1">
      <c r="A103" s="3157"/>
      <c r="B103" s="2518" t="s">
        <v>2289</v>
      </c>
      <c r="C103" s="736">
        <f ca="1">C20</f>
        <v>30812</v>
      </c>
      <c r="D103" s="737">
        <f ca="1">D20</f>
        <v>19452</v>
      </c>
      <c r="E103" s="3196" t="s">
        <v>2290</v>
      </c>
      <c r="F103" s="3197"/>
      <c r="G103" s="2519" t="s">
        <v>2291</v>
      </c>
      <c r="H103" s="1046">
        <f>IF(D36="正常操作",H104+H105+H106,H105+H106)</f>
        <v>0</v>
      </c>
      <c r="I103" s="137"/>
    </row>
    <row r="104" spans="1:35" ht="18.75" customHeight="1">
      <c r="A104" s="3157" t="s">
        <v>2292</v>
      </c>
      <c r="B104" s="2520" t="s">
        <v>2287</v>
      </c>
      <c r="C104" s="738">
        <f ca="1">H118</f>
        <v>37430</v>
      </c>
      <c r="D104" s="739"/>
      <c r="E104" s="2264" t="s">
        <v>2293</v>
      </c>
      <c r="F104" s="2255"/>
      <c r="G104" s="2519" t="s">
        <v>2291</v>
      </c>
      <c r="H104" s="1047">
        <f>IF(D36="同一抵押权人同一抵押物续贷",C36&amp;"（未扣减，详见特别提示）",C36)</f>
        <v>0</v>
      </c>
      <c r="I104" s="137"/>
    </row>
    <row r="105" spans="1:35" ht="18.75" customHeight="1" thickBot="1">
      <c r="A105" s="3158"/>
      <c r="B105" s="2521" t="s">
        <v>2289</v>
      </c>
      <c r="C105" s="740">
        <f ca="1">I118</f>
        <v>28539</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4" t="str">
        <f>IF(项目基本情况!E8="已注销","——","3.房地产抵押价值")</f>
        <v>3.房地产抵押价值</v>
      </c>
      <c r="F107" s="3155"/>
      <c r="G107" s="2518" t="s">
        <v>2287</v>
      </c>
      <c r="H107" s="1046">
        <f ca="1">IF(E107="——","——",H101-H103)</f>
        <v>37430</v>
      </c>
      <c r="I107" s="137"/>
    </row>
    <row r="108" spans="1:35" ht="18.75" customHeight="1" thickBot="1">
      <c r="A108" s="137"/>
      <c r="B108" s="137"/>
      <c r="C108" s="137"/>
      <c r="D108" s="137"/>
      <c r="E108" s="3154"/>
      <c r="F108" s="3155"/>
      <c r="G108" s="2518" t="s">
        <v>2289</v>
      </c>
      <c r="H108" s="370">
        <f ca="1">ROUND(H107*10000/'数据-汇总表'!E3,0)</f>
        <v>22872</v>
      </c>
      <c r="I108" s="137"/>
    </row>
    <row r="109" spans="1:35" ht="18.75" hidden="1"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55"/>
      <c r="G109" s="2518" t="s">
        <v>2287</v>
      </c>
      <c r="H109" s="347" t="str">
        <f>IF(E109="——","——",H101-H105-H106)</f>
        <v>——</v>
      </c>
      <c r="I109" s="137"/>
    </row>
    <row r="110" spans="1:35" ht="18.75" hidden="1" customHeight="1">
      <c r="A110" s="137"/>
      <c r="B110" s="137"/>
      <c r="C110" s="137"/>
      <c r="D110" s="137"/>
      <c r="E110" s="3154"/>
      <c r="F110" s="3155"/>
      <c r="G110" s="2518" t="s">
        <v>2289</v>
      </c>
      <c r="H110" s="370" t="str">
        <f>IF(H109="——","——",ROUND(H109*10000/'数据-汇总表'!E3,0))</f>
        <v>——</v>
      </c>
      <c r="I110" s="137"/>
    </row>
    <row r="111" spans="1:35" ht="18.75" hidden="1" customHeight="1">
      <c r="A111" s="137"/>
      <c r="B111" s="137"/>
      <c r="C111" s="137"/>
      <c r="D111" s="137"/>
      <c r="E111" s="3189" t="str">
        <f>IF(项目基本情况!E9="抵押净值",IF(OR(项目基本情况!E8="已注销",项目基本情况!E8="房地产抵押价值"),"4.抵押净值","5.抵押净值"),"——")</f>
        <v>——</v>
      </c>
      <c r="F111" s="3190"/>
      <c r="G111" s="2518" t="s">
        <v>2287</v>
      </c>
      <c r="H111" s="1046" t="str">
        <f>IF(E111="——","——",N59)</f>
        <v>——</v>
      </c>
      <c r="I111" s="137"/>
    </row>
    <row r="112" spans="1:35" ht="18.75" hidden="1" customHeight="1" thickBot="1">
      <c r="A112" s="137"/>
      <c r="B112" s="137"/>
      <c r="C112" s="137"/>
      <c r="D112" s="137"/>
      <c r="E112" s="3191"/>
      <c r="F112" s="3192"/>
      <c r="G112" s="2523" t="s">
        <v>2289</v>
      </c>
      <c r="H112" s="788" t="str">
        <f>IF(E111="——","——",N61)</f>
        <v>——</v>
      </c>
      <c r="I112" s="137"/>
    </row>
    <row r="113" spans="1:11" ht="18.75" customHeight="1">
      <c r="A113" s="137"/>
      <c r="B113" s="137"/>
      <c r="C113" s="137"/>
      <c r="D113" s="137"/>
      <c r="E113" s="3159" t="s">
        <v>2295</v>
      </c>
      <c r="F113" s="3159"/>
      <c r="G113" s="3159"/>
      <c r="H113" s="3159"/>
      <c r="I113" s="137"/>
    </row>
    <row r="114" spans="1:11" ht="3.75" customHeight="1">
      <c r="A114" s="2416"/>
      <c r="B114" s="2416"/>
      <c r="C114" s="2416"/>
      <c r="D114" s="2416"/>
      <c r="E114" s="2494"/>
      <c r="F114" s="2494"/>
      <c r="G114" s="2494"/>
      <c r="H114" s="2494"/>
      <c r="I114" s="2416"/>
    </row>
    <row r="115" spans="1:11" ht="18.75" customHeight="1">
      <c r="A115" s="3172" t="s">
        <v>2297</v>
      </c>
      <c r="B115" s="3173"/>
      <c r="C115" s="3173"/>
      <c r="D115" s="3173"/>
      <c r="E115" s="3173"/>
      <c r="F115" s="3173"/>
      <c r="G115" s="3173"/>
      <c r="H115" s="3173"/>
      <c r="I115" s="3174"/>
    </row>
    <row r="116" spans="1:11" ht="27" customHeight="1">
      <c r="A116" s="3065" t="s">
        <v>2298</v>
      </c>
      <c r="B116" s="3160" t="s">
        <v>3191</v>
      </c>
      <c r="C116" s="3160" t="s">
        <v>3211</v>
      </c>
      <c r="D116" s="3176" t="s">
        <v>2299</v>
      </c>
      <c r="E116" s="3177"/>
      <c r="F116" s="3168" t="s">
        <v>3210</v>
      </c>
      <c r="G116" s="3168"/>
      <c r="H116" s="3065" t="s">
        <v>2300</v>
      </c>
      <c r="I116" s="3065"/>
    </row>
    <row r="117" spans="1:11" ht="18.75" customHeight="1">
      <c r="A117" s="3065"/>
      <c r="B117" s="3161"/>
      <c r="C117" s="3161"/>
      <c r="D117" s="1795" t="s">
        <v>2301</v>
      </c>
      <c r="E117" s="1795" t="s">
        <v>2302</v>
      </c>
      <c r="F117" s="1795" t="s">
        <v>2301</v>
      </c>
      <c r="G117" s="1795" t="s">
        <v>2303</v>
      </c>
      <c r="H117" s="1795" t="s">
        <v>2301</v>
      </c>
      <c r="I117" s="1795" t="s">
        <v>2303</v>
      </c>
    </row>
    <row r="118" spans="1:11" ht="24.75" customHeight="1">
      <c r="A118" s="2524" t="str">
        <f>项目基本情况!S2</f>
        <v>上海市松江区九亭镇虬泾路116号等18套商业、地下车库用房房地产</v>
      </c>
      <c r="B118" s="1795">
        <f>M18</f>
        <v>13115.18</v>
      </c>
      <c r="C118" s="1795">
        <f>M19</f>
        <v>10929.32</v>
      </c>
      <c r="D118" s="1795">
        <f ca="1">ROUND(IF(D32="总价",C34,E118*B118/10000),0)</f>
        <v>11154</v>
      </c>
      <c r="E118" s="1795">
        <f ca="1">ROUND(IF(C33="自定义",IF(D32="楼面单价",C34,D118*10000/B118),I118-G118),0)</f>
        <v>8504</v>
      </c>
      <c r="F118" s="1795">
        <f ca="1">ROUND(IF(D32="总价",C35,G118*B118/10000),0)</f>
        <v>26276</v>
      </c>
      <c r="G118" s="1795">
        <f ca="1">ROUND(IF(D32="楼面单价",C35,F118*10000/B118),0)</f>
        <v>20035</v>
      </c>
      <c r="H118" s="1795">
        <f ca="1">ROUND(IF(D32="总价",C32,I118*B118/10000),0)</f>
        <v>37430</v>
      </c>
      <c r="I118" s="1795">
        <f ca="1">ROUND(IF(D32="楼面单价",C32,H118*10000/B118),0)</f>
        <v>28539</v>
      </c>
    </row>
    <row r="119" spans="1:11" ht="18.75" customHeight="1">
      <c r="A119" s="3065" t="s">
        <v>2304</v>
      </c>
      <c r="B119" s="3065"/>
      <c r="C119" s="3065"/>
      <c r="D119" s="3165" t="str">
        <f ca="1">NUMBERSTRING(INT(D118*10000),2)&amp;"元整"</f>
        <v>壹亿壹仟壹佰伍拾肆万元整</v>
      </c>
      <c r="E119" s="3167"/>
      <c r="F119" s="3165" t="str">
        <f ca="1">NUMBERSTRING(INT(F118*10000),2)&amp;"元整"</f>
        <v>贰亿陆仟贰佰柒拾陆万元整</v>
      </c>
      <c r="G119" s="3167"/>
      <c r="H119" s="3165" t="str">
        <f ca="1">NUMBERSTRING(INT(H118*10000),2)&amp;"元整"</f>
        <v>叁亿柒仟肆佰叁拾万元整</v>
      </c>
      <c r="I119" s="3167"/>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21" t="str">
        <f>IF(D120=0,"故，本次评估不存在"&amp;A120,"故，本次评估"&amp;A120&amp;"为人民币"&amp;D120&amp;"万元整。")</f>
        <v>故，本次评估不存在估价师知悉的法定优先受偿款</v>
      </c>
    </row>
    <row r="121" spans="1:11" ht="18.75" customHeight="1">
      <c r="A121" s="3169" t="s">
        <v>2304</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房地产抵押价值</v>
      </c>
      <c r="B122" s="3156"/>
      <c r="C122" s="3156"/>
      <c r="D122" s="3193">
        <f ca="1">H107</f>
        <v>37430</v>
      </c>
      <c r="E122" s="3194"/>
      <c r="F122" s="3194"/>
      <c r="G122" s="3194"/>
      <c r="H122" s="3194"/>
      <c r="I122" s="3195"/>
    </row>
    <row r="123" spans="1:11" ht="18.75" customHeight="1">
      <c r="A123" s="3065" t="s">
        <v>2304</v>
      </c>
      <c r="B123" s="3065"/>
      <c r="C123" s="3065"/>
      <c r="D123" s="3165" t="str">
        <f ca="1">NUMBERSTRING(INT(D122*10000),2)&amp;"元整"</f>
        <v>叁亿柒仟肆佰叁拾万元整</v>
      </c>
      <c r="E123" s="3166"/>
      <c r="F123" s="3166"/>
      <c r="G123" s="3166"/>
      <c r="H123" s="3166"/>
      <c r="I123" s="3167"/>
    </row>
    <row r="124" spans="1:11" ht="18.75" hidden="1" customHeight="1">
      <c r="A124" s="3156" t="str">
        <f>IF(项目基本情况!B9="房地产市场价值","",MID(E109,3,LEN(E109)-2))</f>
        <v/>
      </c>
      <c r="B124" s="3156"/>
      <c r="C124" s="3156"/>
      <c r="D124" s="3193" t="str">
        <f>H109</f>
        <v>——</v>
      </c>
      <c r="E124" s="3194"/>
      <c r="F124" s="3194"/>
      <c r="G124" s="3194"/>
      <c r="H124" s="3194"/>
      <c r="I124" s="3195"/>
    </row>
    <row r="125" spans="1:11" ht="18.75" hidden="1" customHeight="1">
      <c r="A125" s="3065" t="s">
        <v>2304</v>
      </c>
      <c r="B125" s="3065"/>
      <c r="C125" s="3065"/>
      <c r="D125" s="3165" t="e">
        <f>NUMBERSTRING(INT(D124*10000),2)&amp;"元整"</f>
        <v>#VALUE!</v>
      </c>
      <c r="E125" s="3166"/>
      <c r="F125" s="3166"/>
      <c r="G125" s="3166"/>
      <c r="H125" s="3166"/>
      <c r="I125" s="3167"/>
    </row>
    <row r="126" spans="1:11" ht="18.75" hidden="1" customHeight="1">
      <c r="A126" s="3156" t="str">
        <f>IF(项目基本情况!B9="房地产市场价值","",MID(E111,3,LEN(E111)-2))</f>
        <v/>
      </c>
      <c r="B126" s="3156"/>
      <c r="C126" s="3156"/>
      <c r="D126" s="3193" t="str">
        <f>H111</f>
        <v>——</v>
      </c>
      <c r="E126" s="3194"/>
      <c r="F126" s="3194"/>
      <c r="G126" s="3194"/>
      <c r="H126" s="3194"/>
      <c r="I126" s="3195"/>
    </row>
    <row r="127" spans="1:11" ht="18.75" hidden="1" customHeight="1">
      <c r="A127" s="3065" t="s">
        <v>2304</v>
      </c>
      <c r="B127" s="3065"/>
      <c r="C127" s="3065"/>
      <c r="D127" s="3165" t="e">
        <f>NUMBERSTRING(INT(D126*10000),2)&amp;"元整"</f>
        <v>#VALUE!</v>
      </c>
      <c r="E127" s="3166"/>
      <c r="F127" s="3166"/>
      <c r="G127" s="3166"/>
      <c r="H127" s="3166"/>
      <c r="I127" s="3167"/>
    </row>
    <row r="128" spans="1:11" ht="21.75" customHeight="1">
      <c r="A128" s="3175" t="s">
        <v>2305</v>
      </c>
      <c r="B128" s="3175"/>
      <c r="C128" s="3175"/>
      <c r="D128" s="3175"/>
      <c r="E128" s="3175"/>
      <c r="F128" s="3175"/>
      <c r="G128" s="3175"/>
      <c r="H128" s="3175"/>
      <c r="I128" s="3175"/>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7"/>
      <c r="C1" s="241"/>
      <c r="D1" s="241"/>
      <c r="E1" s="241"/>
      <c r="F1" s="241"/>
      <c r="G1" s="1380">
        <f>MATCH(B1,'数据-取费表'!A6:A16,0)+5</f>
        <v>8</v>
      </c>
    </row>
    <row r="2" spans="1:9" s="243" customFormat="1" ht="18" customHeight="1">
      <c r="A2" s="244" t="s">
        <v>2314</v>
      </c>
      <c r="B2" s="245">
        <f ca="1">IF(D2="——",C52,C52-E2)</f>
        <v>7192</v>
      </c>
      <c r="C2" s="242" t="s">
        <v>2315</v>
      </c>
      <c r="D2" s="2547" t="s">
        <v>70</v>
      </c>
      <c r="E2" s="1441" t="e">
        <f ca="1">SUMIF(INDIRECT("'"&amp;G2&amp;"'"&amp;"!A:A"),"承租人权益价值",INDIRECT("'"&amp;G2&amp;"'"&amp;"!c:c"))</f>
        <v>#REF!</v>
      </c>
      <c r="F2" s="2548" t="s">
        <v>2315</v>
      </c>
      <c r="G2" s="2549"/>
    </row>
    <row r="3" spans="1:9" s="243" customFormat="1" ht="18" customHeight="1" thickBot="1">
      <c r="A3" s="246" t="s">
        <v>2316</v>
      </c>
      <c r="B3" s="247">
        <f ca="1">ROUND(B2*10000/(IF(B1="",'数据-汇总表'!E3,INDIRECT("'数据-取费表'!k"&amp;$G$1))),0)</f>
        <v>4395</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704</v>
      </c>
      <c r="D5" s="254" t="s">
        <v>2321</v>
      </c>
      <c r="E5" s="255" t="s">
        <v>2322</v>
      </c>
      <c r="F5" s="255" t="s">
        <v>2323</v>
      </c>
      <c r="G5" s="256"/>
    </row>
    <row r="6" spans="1:9" s="257" customFormat="1" ht="13.5" customHeight="1">
      <c r="A6" s="950" t="s">
        <v>2324</v>
      </c>
      <c r="B6" s="258" t="s">
        <v>2325</v>
      </c>
      <c r="C6" s="259"/>
      <c r="D6" s="260"/>
      <c r="E6" s="261"/>
      <c r="F6" s="261"/>
      <c r="G6" s="262"/>
    </row>
    <row r="7" spans="1:9" s="257" customFormat="1" ht="13.5" customHeight="1">
      <c r="A7" s="950" t="s">
        <v>2326</v>
      </c>
      <c r="B7" s="258" t="s">
        <v>2327</v>
      </c>
      <c r="C7" s="263">
        <f>ROUND(C6*F7,0)</f>
        <v>0</v>
      </c>
      <c r="D7" s="263"/>
      <c r="E7" s="261"/>
      <c r="F7" s="264">
        <f>'数据-取费表'!B48+'数据-取费表'!B49</f>
        <v>3.0499999999999999E-2</v>
      </c>
      <c r="G7" s="262"/>
    </row>
    <row r="8" spans="1:9" s="266" customFormat="1">
      <c r="A8" s="950" t="s">
        <v>2328</v>
      </c>
      <c r="B8" s="258" t="s">
        <v>2329</v>
      </c>
      <c r="C8" s="263">
        <f>IF(G8="已包含在土地购买价格中","0",IF(B1="",'数据-取费表'!B29,IF(G9="全部缴纳",C9+C10,H9)))</f>
        <v>704</v>
      </c>
      <c r="D8" s="265"/>
      <c r="E8" s="263"/>
      <c r="F8" s="264"/>
      <c r="G8" s="2550"/>
    </row>
    <row r="9" spans="1:9" s="257" customFormat="1" ht="13.5" customHeight="1">
      <c r="A9" s="951" t="s">
        <v>800</v>
      </c>
      <c r="B9" s="267" t="s">
        <v>2330</v>
      </c>
      <c r="C9" s="268">
        <f ca="1">ROUND(D9*E9/10000,0)</f>
        <v>0</v>
      </c>
      <c r="D9" s="1033">
        <f ca="1">IF(B1="",'数据-汇总表'!E5,IF(INDIRECT("'数据-取费表'!c"&amp;$G$1)="住宅",INDIRECT("'数据-取费表'!k"&amp;$G$1),0))</f>
        <v>0</v>
      </c>
      <c r="E9" s="268">
        <f>'数据-取费表'!B27</f>
        <v>430</v>
      </c>
      <c r="F9" s="264"/>
      <c r="G9" s="2551"/>
      <c r="H9" s="1391"/>
      <c r="I9" s="2552" t="s">
        <v>2331</v>
      </c>
    </row>
    <row r="10" spans="1:9" s="257" customFormat="1" ht="13.5" customHeight="1">
      <c r="A10" s="951" t="s">
        <v>801</v>
      </c>
      <c r="B10" s="267" t="s">
        <v>2332</v>
      </c>
      <c r="C10" s="268">
        <f ca="1">ROUND(D10*E10/10000,0)</f>
        <v>704</v>
      </c>
      <c r="D10" s="1033">
        <f ca="1">IF(B1="",'数据-汇总表'!E6,IF(INDIRECT("'数据-取费表'!c"&amp;$G$1)="住宅",INDIRECT("'数据-取费表'!s"&amp;$G$1),INDIRECT("'数据-取费表'!k"&amp;$G$1)+INDIRECT("'数据-取费表'!s"&amp;$G$1)))</f>
        <v>16365.18</v>
      </c>
      <c r="E10" s="268">
        <f>'数据-取费表'!B28</f>
        <v>430</v>
      </c>
      <c r="F10" s="264"/>
      <c r="G10" s="269"/>
    </row>
    <row r="11" spans="1:9" s="257" customFormat="1" ht="13.5" hidden="1" customHeight="1">
      <c r="A11" s="270" t="s">
        <v>7</v>
      </c>
      <c r="B11" s="258" t="s">
        <v>2333</v>
      </c>
      <c r="C11" s="254"/>
      <c r="D11" s="1035"/>
      <c r="E11" s="261"/>
      <c r="F11" s="261"/>
      <c r="G11" s="262"/>
    </row>
    <row r="12" spans="1:9" s="257" customFormat="1" ht="13.5" hidden="1" customHeight="1">
      <c r="A12" s="270" t="s">
        <v>8</v>
      </c>
      <c r="B12" s="258" t="s">
        <v>2334</v>
      </c>
      <c r="C12" s="254">
        <v>0</v>
      </c>
      <c r="D12" s="1035"/>
      <c r="E12" s="271"/>
      <c r="F12" s="264">
        <v>3.0499999999999999E-2</v>
      </c>
      <c r="G12" s="262"/>
    </row>
    <row r="13" spans="1:9" s="257" customFormat="1" ht="13.5" hidden="1" customHeight="1">
      <c r="A13" s="270" t="s">
        <v>9</v>
      </c>
      <c r="B13" s="258" t="s">
        <v>2335</v>
      </c>
      <c r="C13" s="254"/>
      <c r="D13" s="1035"/>
      <c r="E13" s="261"/>
      <c r="F13" s="261"/>
      <c r="G13" s="262"/>
    </row>
    <row r="14" spans="1:9" s="257" customFormat="1" ht="13.5" hidden="1" customHeight="1">
      <c r="A14" s="270" t="s">
        <v>10</v>
      </c>
      <c r="B14" s="258" t="s">
        <v>2336</v>
      </c>
      <c r="C14" s="254"/>
      <c r="D14" s="1035"/>
      <c r="E14" s="261"/>
      <c r="F14" s="261"/>
      <c r="G14" s="262" t="s">
        <v>2337</v>
      </c>
    </row>
    <row r="15" spans="1:9" s="257" customFormat="1" ht="13.5" hidden="1" customHeight="1">
      <c r="A15" s="270" t="s">
        <v>11</v>
      </c>
      <c r="B15" s="258" t="s">
        <v>2338</v>
      </c>
      <c r="C15" s="263"/>
      <c r="D15" s="1035"/>
      <c r="E15" s="261"/>
      <c r="F15" s="261"/>
      <c r="G15" s="262" t="s">
        <v>2339</v>
      </c>
    </row>
    <row r="16" spans="1:9" s="257" customFormat="1" ht="13.5" hidden="1" customHeight="1">
      <c r="A16" s="270" t="s">
        <v>12</v>
      </c>
      <c r="B16" s="258" t="s">
        <v>2336</v>
      </c>
      <c r="C16" s="263"/>
      <c r="D16" s="1035"/>
      <c r="E16" s="261"/>
      <c r="F16" s="261"/>
      <c r="G16" s="262"/>
    </row>
    <row r="17" spans="1:7" s="257" customFormat="1" ht="13.5" hidden="1" customHeight="1">
      <c r="A17" s="270" t="s">
        <v>13</v>
      </c>
      <c r="B17" s="258" t="s">
        <v>2340</v>
      </c>
      <c r="C17" s="272"/>
      <c r="D17" s="1036"/>
      <c r="E17" s="272"/>
      <c r="F17" s="272"/>
      <c r="G17" s="262" t="s">
        <v>2339</v>
      </c>
    </row>
    <row r="18" spans="1:7" s="257" customFormat="1" ht="13.5" hidden="1" customHeight="1">
      <c r="A18" s="270" t="s">
        <v>14</v>
      </c>
      <c r="B18" s="258" t="s">
        <v>2341</v>
      </c>
      <c r="C18" s="263">
        <v>0</v>
      </c>
      <c r="D18" s="1035"/>
      <c r="E18" s="261"/>
      <c r="F18" s="264">
        <v>3.0499999999999999E-2</v>
      </c>
      <c r="G18" s="262" t="s">
        <v>2342</v>
      </c>
    </row>
    <row r="19" spans="1:7" s="266" customFormat="1" ht="13.5" customHeight="1">
      <c r="A19" s="298" t="s">
        <v>2343</v>
      </c>
      <c r="B19" s="253" t="s">
        <v>2344</v>
      </c>
      <c r="C19" s="254">
        <f ca="1">IF(G19="已包含在土地取得成本中","0",ROUND(D19*E19/10000,0))</f>
        <v>327</v>
      </c>
      <c r="D19" s="1037">
        <f ca="1">D9+D10</f>
        <v>16365.18</v>
      </c>
      <c r="E19" s="254">
        <f>'数据-取费表'!B31</f>
        <v>200</v>
      </c>
      <c r="F19" s="274"/>
      <c r="G19" s="2550"/>
    </row>
    <row r="20" spans="1:7" s="257" customFormat="1" ht="13.5" customHeight="1">
      <c r="A20" s="298" t="s">
        <v>2345</v>
      </c>
      <c r="B20" s="253" t="s">
        <v>2346</v>
      </c>
      <c r="C20" s="275">
        <f ca="1">ROUND((C5+C19)*F20,0)</f>
        <v>21</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76</v>
      </c>
      <c r="D22" s="278">
        <f ca="1">C26</f>
        <v>6.9999999999999999E-4</v>
      </c>
      <c r="E22" s="279" t="s">
        <v>2350</v>
      </c>
      <c r="F22" s="280">
        <f ca="1">'数据-取费表'!B40</f>
        <v>4.7500000000000001E-2</v>
      </c>
      <c r="G22" s="277" t="str">
        <f>IF('数据-取费表'!B22&lt;=1,"单利计息","复利计息")</f>
        <v>复利计息</v>
      </c>
    </row>
    <row r="23" spans="1:7" s="257" customFormat="1" ht="13.5" customHeight="1">
      <c r="A23" s="952" t="s">
        <v>2354</v>
      </c>
      <c r="B23" s="258" t="s">
        <v>2355</v>
      </c>
      <c r="C23" s="1356">
        <f ca="1">ROUND(IF('数据-取费表'!B22&lt;=1,C5*F22*'数据-取费表'!B23,C5*(POWER((1+F22),'数据-取费表'!B23)-1)),0)</f>
        <v>51</v>
      </c>
      <c r="D23" s="281"/>
      <c r="E23" s="281"/>
      <c r="F23" s="282"/>
      <c r="G23" s="283" t="s">
        <v>2356</v>
      </c>
    </row>
    <row r="24" spans="1:7" s="257" customFormat="1" ht="13.5" customHeight="1">
      <c r="A24" s="952" t="s">
        <v>2357</v>
      </c>
      <c r="B24" s="258" t="s">
        <v>2358</v>
      </c>
      <c r="C24" s="1356">
        <f ca="1">ROUND(IF('数据-取费表'!B22&lt;=1,C19*F22*('数据-取费表'!B19/2+'数据-取费表'!B21),C19*(POWER((1+F22),('数据-取费表'!B19/2+'数据-取费表'!B21))-1)),0)</f>
        <v>24</v>
      </c>
      <c r="D24" s="281"/>
      <c r="E24" s="281"/>
      <c r="F24" s="282"/>
      <c r="G24" s="283" t="s">
        <v>2359</v>
      </c>
    </row>
    <row r="25" spans="1:7" s="257" customFormat="1" ht="24">
      <c r="A25" s="952" t="s">
        <v>2360</v>
      </c>
      <c r="B25" s="258" t="s">
        <v>2361</v>
      </c>
      <c r="C25" s="1356">
        <f ca="1">ROUND(IF('数据-取费表'!B22&lt;=1,C20*F22*'数据-取费表'!B23/2,C20*(POWER((1+F22),'数据-取费表'!B23/2)-1)),0)</f>
        <v>1</v>
      </c>
      <c r="D25" s="281"/>
      <c r="E25" s="284"/>
      <c r="F25" s="282"/>
      <c r="G25" s="285" t="s">
        <v>2362</v>
      </c>
    </row>
    <row r="26" spans="1:7" s="257" customFormat="1">
      <c r="A26" s="952" t="s">
        <v>795</v>
      </c>
      <c r="B26" s="258" t="s">
        <v>2363</v>
      </c>
      <c r="C26" s="281">
        <f ca="1">ROUND(IF('数据-取费表'!B22&lt;=1,F21*F22*'数据-取费表'!B23/2,F21*(POWER((1+F22),'数据-取费表'!B23/2)-1)),4)</f>
        <v>6.9999999999999999E-4</v>
      </c>
      <c r="D26" s="281"/>
      <c r="E26" s="284"/>
      <c r="F26" s="282"/>
      <c r="G26" s="286"/>
    </row>
    <row r="27" spans="1:7" s="257" customFormat="1" ht="24.75">
      <c r="A27" s="298" t="s">
        <v>2364</v>
      </c>
      <c r="B27" s="287" t="s">
        <v>2365</v>
      </c>
      <c r="C27" s="288">
        <f ca="1">C28</f>
        <v>221</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ROUND((C5+C19+C20)*F27*'数据-取费表'!B21/'数据-取费表'!B20,0)</f>
        <v>221</v>
      </c>
      <c r="D28" s="278"/>
      <c r="E28" s="279"/>
      <c r="F28" s="289"/>
      <c r="G28" s="290"/>
    </row>
    <row r="29" spans="1:7" s="257" customFormat="1" ht="13.5" customHeight="1">
      <c r="A29" s="952" t="s">
        <v>792</v>
      </c>
      <c r="B29" s="291" t="s">
        <v>2369</v>
      </c>
      <c r="C29" s="281">
        <f ca="1">ROUND(C21*F27*'数据-取费表'!B21/'数据-取费表'!B20,4)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4949</v>
      </c>
      <c r="D33" s="275"/>
      <c r="E33" s="255"/>
      <c r="F33" s="284"/>
      <c r="G33" s="277"/>
    </row>
    <row r="34" spans="1:7" s="301" customFormat="1" ht="13.5" customHeight="1">
      <c r="A34" s="952" t="s">
        <v>791</v>
      </c>
      <c r="B34" s="258" t="s">
        <v>2377</v>
      </c>
      <c r="C34" s="263">
        <f ca="1">IF(B1="",IF(F34=100%,'数据-取费表'!M16,'数据-取费表'!O16),IF(F34=100%,INDIRECT("'数据-取费表'!m"&amp;$G$1)+INDIRECT("'数据-取费表'!t"&amp;$G$1),INDIRECT("'数据-取费表'!o"&amp;$G$1)+INDIRECT("'数据-取费表'!aq"&amp;$G$1)))</f>
        <v>4423</v>
      </c>
      <c r="D34" s="260"/>
      <c r="E34" s="263"/>
      <c r="F34" s="300">
        <f ca="1">IF('数据-取费表'!B24=0,1,IF(B1="",'数据-取费表'!N16,INDIRECT("'数据-取费表'!n"&amp;$G$1)))</f>
        <v>1</v>
      </c>
      <c r="G34" s="262" t="s">
        <v>2378</v>
      </c>
    </row>
    <row r="35" spans="1:7" ht="13.5" customHeight="1">
      <c r="A35" s="952" t="s">
        <v>796</v>
      </c>
      <c r="B35" s="258" t="s">
        <v>2379</v>
      </c>
      <c r="C35" s="263">
        <f ca="1">ROUND(C34*F35,0)</f>
        <v>133</v>
      </c>
      <c r="D35" s="263"/>
      <c r="E35" s="263"/>
      <c r="F35" s="302">
        <f>'数据-取费表'!B33</f>
        <v>0.03</v>
      </c>
      <c r="G35" s="262" t="s">
        <v>2380</v>
      </c>
    </row>
    <row r="36" spans="1:7" ht="24">
      <c r="A36" s="952"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2" t="s">
        <v>798</v>
      </c>
      <c r="B37" s="258" t="s">
        <v>2383</v>
      </c>
      <c r="C37" s="292">
        <f ca="1">ROUND(E37*D37*F34/10000,0)</f>
        <v>327</v>
      </c>
      <c r="D37" s="260">
        <f ca="1">D19</f>
        <v>16365.18</v>
      </c>
      <c r="E37" s="292">
        <f>'数据-取费表'!B35</f>
        <v>200</v>
      </c>
      <c r="F37" s="302"/>
      <c r="G37" s="304" t="s">
        <v>2384</v>
      </c>
    </row>
    <row r="38" spans="1:7" ht="13.5" customHeight="1">
      <c r="A38" s="952" t="s">
        <v>799</v>
      </c>
      <c r="B38" s="258" t="s">
        <v>2385</v>
      </c>
      <c r="C38" s="263">
        <f ca="1">ROUND(C34*F38,0)</f>
        <v>66</v>
      </c>
      <c r="D38" s="263"/>
      <c r="E38" s="263"/>
      <c r="F38" s="302">
        <f>'数据-取费表'!B36</f>
        <v>1.4999999999999999E-2</v>
      </c>
      <c r="G38" s="262" t="s">
        <v>2380</v>
      </c>
    </row>
    <row r="39" spans="1:7" s="257" customFormat="1" ht="13.5" customHeight="1">
      <c r="A39" s="298" t="s">
        <v>2386</v>
      </c>
      <c r="B39" s="253" t="s">
        <v>2387</v>
      </c>
      <c r="C39" s="275">
        <f ca="1">ROUND(C33*F20,0)</f>
        <v>99</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179</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ROUND(IF('数据-取费表'!B22&lt;=1,C33*F22*'数据-取费表'!B21/2,C33*(POWER((1+F22),'数据-取费表'!B21/2)-1)),0)</f>
        <v>175</v>
      </c>
      <c r="D42" s="281"/>
      <c r="E42" s="281"/>
      <c r="F42" s="282"/>
      <c r="G42" s="3207" t="s">
        <v>2396</v>
      </c>
    </row>
    <row r="43" spans="1:7" ht="13.5" customHeight="1">
      <c r="A43" s="952" t="s">
        <v>792</v>
      </c>
      <c r="B43" s="258" t="s">
        <v>2397</v>
      </c>
      <c r="C43" s="281">
        <f ca="1">ROUND(IF('数据-取费表'!B22&lt;=1,C39*F22*'数据-取费表'!B21/2,C39*(POWER((1+F22),'数据-取费表'!B21/2)-1)),0)</f>
        <v>4</v>
      </c>
      <c r="D43" s="281"/>
      <c r="E43" s="281"/>
      <c r="F43" s="282"/>
      <c r="G43" s="3208"/>
    </row>
    <row r="44" spans="1:7" ht="13.5" customHeight="1">
      <c r="A44" s="952" t="s">
        <v>793</v>
      </c>
      <c r="B44" s="258" t="s">
        <v>2398</v>
      </c>
      <c r="C44" s="281">
        <f ca="1">ROUND(IF('数据-取费表'!B22&lt;=1,C40*F22*'数据-取费表'!B21/2,C40*(POWER((1+F22),'数据-取费表'!B21/2)-1)),4)</f>
        <v>6.9999999999999999E-4</v>
      </c>
      <c r="D44" s="281"/>
      <c r="E44" s="281"/>
      <c r="F44" s="282"/>
      <c r="G44" s="3209"/>
    </row>
    <row r="45" spans="1:7" s="257" customFormat="1" ht="13.5" customHeight="1">
      <c r="A45" s="298" t="s">
        <v>2399</v>
      </c>
      <c r="B45" s="287" t="s">
        <v>2365</v>
      </c>
      <c r="C45" s="288">
        <f ca="1">C46</f>
        <v>1060</v>
      </c>
      <c r="D45" s="278">
        <f ca="1">C47</f>
        <v>4.1999999999999997E-3</v>
      </c>
      <c r="E45" s="279" t="s">
        <v>2391</v>
      </c>
      <c r="F45" s="289"/>
      <c r="G45" s="290" t="s">
        <v>2400</v>
      </c>
    </row>
    <row r="46" spans="1:7" s="257" customFormat="1" ht="13.5" customHeight="1">
      <c r="A46" s="952" t="s">
        <v>791</v>
      </c>
      <c r="B46" s="291" t="s">
        <v>2401</v>
      </c>
      <c r="C46" s="292">
        <f ca="1">ROUND((C33+C39)*F27,0)</f>
        <v>1060</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1728">
        <f>ROUND(F30/(1+'数据-取费表'!C42),4)</f>
        <v>5.33E-2</v>
      </c>
      <c r="D48" s="279" t="s">
        <v>2391</v>
      </c>
      <c r="E48" s="275"/>
      <c r="F48" s="280"/>
      <c r="G48" s="277" t="s">
        <v>2404</v>
      </c>
    </row>
    <row r="49" spans="1:7" ht="16.5" customHeight="1">
      <c r="A49" s="298" t="s">
        <v>2370</v>
      </c>
      <c r="B49" s="253" t="s">
        <v>2405</v>
      </c>
      <c r="C49" s="275">
        <f ca="1">ROUND((C33+C39+C41+C45)/(1-C40-D41-D45-C48),0)</f>
        <v>6820</v>
      </c>
      <c r="D49" s="275"/>
      <c r="E49" s="275"/>
      <c r="F49" s="307"/>
      <c r="G49" s="277" t="s">
        <v>2406</v>
      </c>
    </row>
    <row r="50" spans="1:7" s="301" customFormat="1" ht="24">
      <c r="A50" s="298" t="s">
        <v>2407</v>
      </c>
      <c r="B50" s="253" t="s">
        <v>2408</v>
      </c>
      <c r="C50" s="275"/>
      <c r="D50" s="275"/>
      <c r="E50" s="275"/>
      <c r="F50" s="307">
        <f>IF('数据-取费表'!B24=0,'数据-取费表'!N16,1)</f>
        <v>0.84</v>
      </c>
      <c r="G50" s="290" t="s">
        <v>2409</v>
      </c>
    </row>
    <row r="51" spans="1:7" ht="16.5" customHeight="1">
      <c r="A51" s="298" t="s">
        <v>2410</v>
      </c>
      <c r="B51" s="253" t="s">
        <v>2411</v>
      </c>
      <c r="C51" s="275">
        <f ca="1">ROUND(C49*F50,0)</f>
        <v>5729</v>
      </c>
      <c r="D51" s="275"/>
      <c r="E51" s="275"/>
      <c r="F51" s="307"/>
      <c r="G51" s="277" t="s">
        <v>2412</v>
      </c>
    </row>
    <row r="52" spans="1:7" s="251" customFormat="1" ht="16.5" thickBot="1">
      <c r="A52" s="308" t="s">
        <v>2413</v>
      </c>
      <c r="B52" s="309"/>
      <c r="C52" s="310">
        <f ca="1">C31+C51</f>
        <v>7192</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1" t="str">
        <f>项目基本情况!B1</f>
        <v>上海市松江区九亭镇虬泾路116号等18套商业、地下车库用房房地产抵押价值预评估</v>
      </c>
      <c r="C37" s="3021"/>
      <c r="D37" s="3021"/>
      <c r="E37" s="3021"/>
      <c r="F37" s="3021"/>
      <c r="G37" s="3021"/>
      <c r="H37" s="3021"/>
      <c r="I37" s="3021"/>
    </row>
    <row r="38" spans="1:9">
      <c r="A38" s="1017"/>
      <c r="B38" s="1017"/>
    </row>
    <row r="39" spans="1:9">
      <c r="A39" s="1015" t="s">
        <v>818</v>
      </c>
      <c r="B39" s="1015" t="s">
        <v>820</v>
      </c>
    </row>
    <row r="40" spans="1:9">
      <c r="A40" s="1015"/>
      <c r="B40" s="1942" t="str">
        <f>项目基本情况!B5</f>
        <v>上海三盛宏业投资(集团)有限责任公司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7"/>
      <c r="C1" s="2553" t="s">
        <v>2415</v>
      </c>
      <c r="D1" s="241"/>
      <c r="E1" s="241"/>
      <c r="F1" s="241"/>
      <c r="G1" s="1380">
        <f>MATCH(B1,'数据-取费表'!A6:A16,0)+5</f>
        <v>8</v>
      </c>
      <c r="H1" s="1283" t="str">
        <f>IF(ISERROR(FIND("住宅",B1)),"非住宅","住宅")</f>
        <v>非住宅</v>
      </c>
    </row>
    <row r="2" spans="1:8" s="243" customFormat="1" ht="18" customHeight="1">
      <c r="A2" s="244" t="s">
        <v>2314</v>
      </c>
      <c r="B2" s="245">
        <f ca="1">ROUND(IF(D2="——",C52/10000,C52/10000-E2),0)</f>
        <v>7190</v>
      </c>
      <c r="C2" s="242" t="s">
        <v>2315</v>
      </c>
      <c r="D2" s="2547" t="s">
        <v>70</v>
      </c>
      <c r="E2" s="1441" t="e">
        <f ca="1">SUMIF(INDIRECT("'"&amp;G2&amp;"'"&amp;"!A:A"),"承租人权益价值",INDIRECT("'"&amp;G2&amp;"'"&amp;"!c:c"))</f>
        <v>#REF!</v>
      </c>
      <c r="F2" s="2548" t="s">
        <v>2315</v>
      </c>
      <c r="G2" s="2549"/>
    </row>
    <row r="3" spans="1:8" s="243" customFormat="1" ht="18" customHeight="1" thickBot="1">
      <c r="A3" s="246" t="s">
        <v>2316</v>
      </c>
      <c r="B3" s="247">
        <f ca="1">ROUND(B2*10000/(IF(B1="",'数据-汇总表'!E3,INDIRECT("'数据-取费表'!k"&amp;$G$1))),0)</f>
        <v>4393</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7037027</v>
      </c>
      <c r="D5" s="254" t="s">
        <v>2321</v>
      </c>
      <c r="E5" s="255" t="s">
        <v>2322</v>
      </c>
      <c r="F5" s="255" t="s">
        <v>2323</v>
      </c>
      <c r="G5" s="256"/>
    </row>
    <row r="6" spans="1:8" s="257" customFormat="1" ht="13.5" customHeight="1">
      <c r="A6" s="950" t="s">
        <v>2324</v>
      </c>
      <c r="B6" s="258" t="s">
        <v>2325</v>
      </c>
      <c r="C6" s="259"/>
      <c r="D6" s="260"/>
      <c r="E6" s="261"/>
      <c r="F6" s="261"/>
      <c r="G6" s="262"/>
    </row>
    <row r="7" spans="1:8" s="257" customFormat="1" ht="13.5" customHeight="1">
      <c r="A7" s="950" t="s">
        <v>2326</v>
      </c>
      <c r="B7" s="258" t="s">
        <v>2327</v>
      </c>
      <c r="C7" s="263">
        <f>ROUND(C6*F7,0)</f>
        <v>0</v>
      </c>
      <c r="D7" s="263"/>
      <c r="E7" s="261"/>
      <c r="F7" s="264">
        <f>'数据-取费表'!B48+'数据-取费表'!B49</f>
        <v>3.0499999999999999E-2</v>
      </c>
      <c r="G7" s="262"/>
    </row>
    <row r="8" spans="1:8" s="266" customFormat="1">
      <c r="A8" s="950" t="s">
        <v>2328</v>
      </c>
      <c r="B8" s="258" t="s">
        <v>2329</v>
      </c>
      <c r="C8" s="263">
        <f ca="1">IF(G8="已包含在土地购买价格中",0,C9+C10)</f>
        <v>7037027</v>
      </c>
      <c r="D8" s="265"/>
      <c r="E8" s="263"/>
      <c r="F8" s="264"/>
      <c r="G8" s="2550"/>
    </row>
    <row r="9" spans="1:8" s="257" customFormat="1" ht="13.5" customHeight="1">
      <c r="A9" s="951" t="s">
        <v>800</v>
      </c>
      <c r="B9" s="267" t="s">
        <v>2330</v>
      </c>
      <c r="C9" s="268">
        <f ca="1">ROUND(D9*E9,0)</f>
        <v>0</v>
      </c>
      <c r="D9" s="1033">
        <f ca="1">IF(B1="",'数据-汇总表'!E5,IF(INDIRECT("'数据-取费表'!c"&amp;$G$1)="住宅",INDIRECT("'数据-取费表'!k"&amp;$G$1),0))</f>
        <v>0</v>
      </c>
      <c r="E9" s="268">
        <f>'数据-取费表'!B27</f>
        <v>430</v>
      </c>
      <c r="F9" s="264"/>
      <c r="G9" s="269"/>
    </row>
    <row r="10" spans="1:8" s="257" customFormat="1" ht="13.5" customHeight="1">
      <c r="A10" s="951" t="s">
        <v>801</v>
      </c>
      <c r="B10" s="267" t="s">
        <v>2332</v>
      </c>
      <c r="C10" s="268">
        <f ca="1">ROUND(D10*E10,0)</f>
        <v>7037027</v>
      </c>
      <c r="D10" s="1033">
        <f ca="1">IF(B1="",'数据-汇总表'!E6,IF(INDIRECT("'数据-取费表'!c"&amp;$G$1)="住宅",INDIRECT("'数据-取费表'!s"&amp;$G$1),INDIRECT("'数据-取费表'!k"&amp;$G$1)+INDIRECT("'数据-取费表'!s"&amp;$G$1)))</f>
        <v>16365.18</v>
      </c>
      <c r="E10" s="268">
        <f>'数据-取费表'!B28</f>
        <v>430</v>
      </c>
      <c r="F10" s="264"/>
      <c r="G10" s="269"/>
    </row>
    <row r="11" spans="1:8" s="257" customFormat="1" ht="13.5" hidden="1" customHeight="1">
      <c r="A11" s="270" t="s">
        <v>7</v>
      </c>
      <c r="B11" s="258" t="s">
        <v>2333</v>
      </c>
      <c r="C11" s="254"/>
      <c r="D11" s="1035"/>
      <c r="E11" s="261"/>
      <c r="F11" s="261"/>
      <c r="G11" s="262"/>
    </row>
    <row r="12" spans="1:8" s="257" customFormat="1" ht="13.5" hidden="1" customHeight="1">
      <c r="A12" s="270" t="s">
        <v>8</v>
      </c>
      <c r="B12" s="258" t="s">
        <v>2416</v>
      </c>
      <c r="C12" s="254">
        <v>0</v>
      </c>
      <c r="D12" s="1035"/>
      <c r="E12" s="271"/>
      <c r="F12" s="264">
        <v>3.0499999999999999E-2</v>
      </c>
      <c r="G12" s="262"/>
    </row>
    <row r="13" spans="1:8" s="257" customFormat="1" ht="13.5" hidden="1" customHeight="1">
      <c r="A13" s="270" t="s">
        <v>9</v>
      </c>
      <c r="B13" s="258" t="s">
        <v>2417</v>
      </c>
      <c r="C13" s="254"/>
      <c r="D13" s="1035"/>
      <c r="E13" s="261"/>
      <c r="F13" s="261"/>
      <c r="G13" s="262"/>
    </row>
    <row r="14" spans="1:8" s="257" customFormat="1" ht="13.5" hidden="1" customHeight="1">
      <c r="A14" s="270" t="s">
        <v>10</v>
      </c>
      <c r="B14" s="258" t="s">
        <v>2329</v>
      </c>
      <c r="C14" s="254"/>
      <c r="D14" s="1035"/>
      <c r="E14" s="261"/>
      <c r="F14" s="261"/>
      <c r="G14" s="262" t="s">
        <v>2418</v>
      </c>
    </row>
    <row r="15" spans="1:8" s="257" customFormat="1" ht="13.5" hidden="1" customHeight="1">
      <c r="A15" s="270" t="s">
        <v>11</v>
      </c>
      <c r="B15" s="258" t="s">
        <v>2419</v>
      </c>
      <c r="C15" s="263"/>
      <c r="D15" s="1035"/>
      <c r="E15" s="261"/>
      <c r="F15" s="261"/>
      <c r="G15" s="262" t="s">
        <v>2420</v>
      </c>
    </row>
    <row r="16" spans="1:8" s="257" customFormat="1" ht="13.5" hidden="1" customHeight="1">
      <c r="A16" s="270" t="s">
        <v>12</v>
      </c>
      <c r="B16" s="258" t="s">
        <v>2329</v>
      </c>
      <c r="C16" s="263"/>
      <c r="D16" s="1035"/>
      <c r="E16" s="261"/>
      <c r="F16" s="261"/>
      <c r="G16" s="262"/>
    </row>
    <row r="17" spans="1:7" s="257" customFormat="1" ht="13.5" hidden="1" customHeight="1">
      <c r="A17" s="270" t="s">
        <v>13</v>
      </c>
      <c r="B17" s="258" t="s">
        <v>2421</v>
      </c>
      <c r="C17" s="272"/>
      <c r="D17" s="1036"/>
      <c r="E17" s="272"/>
      <c r="F17" s="272"/>
      <c r="G17" s="262" t="s">
        <v>2420</v>
      </c>
    </row>
    <row r="18" spans="1:7" s="257" customFormat="1" ht="13.5" hidden="1" customHeight="1">
      <c r="A18" s="270" t="s">
        <v>14</v>
      </c>
      <c r="B18" s="258" t="s">
        <v>2422</v>
      </c>
      <c r="C18" s="263">
        <v>0</v>
      </c>
      <c r="D18" s="1035"/>
      <c r="E18" s="261"/>
      <c r="F18" s="264">
        <v>3.0499999999999999E-2</v>
      </c>
      <c r="G18" s="262" t="s">
        <v>2423</v>
      </c>
    </row>
    <row r="19" spans="1:7" s="266" customFormat="1" ht="13.5" customHeight="1">
      <c r="A19" s="298" t="s">
        <v>2424</v>
      </c>
      <c r="B19" s="253" t="s">
        <v>2425</v>
      </c>
      <c r="C19" s="254">
        <f ca="1">IF(G19="已包含在土地取得成本中","0",ROUND(D19*E19,0))</f>
        <v>3273036</v>
      </c>
      <c r="D19" s="1037">
        <f ca="1">D9+D10</f>
        <v>16365.18</v>
      </c>
      <c r="E19" s="254">
        <f>'数据-取费表'!B31</f>
        <v>200</v>
      </c>
      <c r="F19" s="274"/>
      <c r="G19" s="2550"/>
    </row>
    <row r="20" spans="1:7" s="257" customFormat="1" ht="13.5" customHeight="1">
      <c r="A20" s="298" t="s">
        <v>2426</v>
      </c>
      <c r="B20" s="253" t="s">
        <v>2427</v>
      </c>
      <c r="C20" s="275">
        <f ca="1">ROUND((C5+C19)*F20,0)</f>
        <v>206201</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750551</v>
      </c>
      <c r="D22" s="278">
        <f ca="1">C26</f>
        <v>6.9999999999999999E-4</v>
      </c>
      <c r="E22" s="279" t="s">
        <v>2431</v>
      </c>
      <c r="F22" s="280">
        <f ca="1">'数据-取费表'!B40</f>
        <v>4.7500000000000001E-2</v>
      </c>
      <c r="G22" s="277" t="str">
        <f>IF('数据-取费表'!B22&lt;=1,"单利计息","复利计息")</f>
        <v>复利计息</v>
      </c>
    </row>
    <row r="23" spans="1:7" s="257" customFormat="1" ht="13.5" customHeight="1">
      <c r="A23" s="952" t="s">
        <v>2324</v>
      </c>
      <c r="B23" s="258" t="s">
        <v>2435</v>
      </c>
      <c r="C23" s="1382">
        <f ca="1">ROUND(IF('数据-取费表'!B22&lt;=1,C5*F22*'数据-取费表'!B22,C5*(POWER((1+F22),'数据-取费表'!B22)-1)),0)</f>
        <v>507296</v>
      </c>
      <c r="D23" s="281"/>
      <c r="E23" s="281"/>
      <c r="F23" s="282"/>
      <c r="G23" s="283" t="s">
        <v>2436</v>
      </c>
    </row>
    <row r="24" spans="1:7" s="257" customFormat="1" ht="13.5" customHeight="1">
      <c r="A24" s="952" t="s">
        <v>2326</v>
      </c>
      <c r="B24" s="258" t="s">
        <v>2437</v>
      </c>
      <c r="C24" s="1382">
        <f ca="1">ROUND(IF('数据-取费表'!B22&lt;=1,C19*F22*('数据-取费表'!B19/2+'数据-取费表'!B20),C19*(POWER((1+F22),('数据-取费表'!B19/2+'数据-取费表'!B20))-1)),0)</f>
        <v>235952</v>
      </c>
      <c r="D24" s="281"/>
      <c r="E24" s="281"/>
      <c r="F24" s="282"/>
      <c r="G24" s="283" t="s">
        <v>2438</v>
      </c>
    </row>
    <row r="25" spans="1:7" s="257" customFormat="1" ht="24">
      <c r="A25" s="952" t="s">
        <v>2328</v>
      </c>
      <c r="B25" s="258" t="s">
        <v>2439</v>
      </c>
      <c r="C25" s="1382">
        <f ca="1">ROUND(IF('数据-取费表'!B22&lt;=1,C20*F22*'数据-取费表'!B22/2,C20*(POWER((1+F22),'数据-取费表'!B22/2)-1)),0)</f>
        <v>7303</v>
      </c>
      <c r="D25" s="281"/>
      <c r="E25" s="284"/>
      <c r="F25" s="282"/>
      <c r="G25" s="285" t="s">
        <v>2440</v>
      </c>
    </row>
    <row r="26" spans="1:7" s="257" customFormat="1">
      <c r="A26" s="952" t="s">
        <v>795</v>
      </c>
      <c r="B26" s="258" t="s">
        <v>2363</v>
      </c>
      <c r="C26" s="281">
        <f ca="1">ROUND(IF('数据-取费表'!B22&lt;=1,F21*F22*'数据-取费表'!B22/2,F21*(POWER((1+F22),'数据-取费表'!B22/2)-1)),4)</f>
        <v>6.9999999999999999E-4</v>
      </c>
      <c r="D26" s="281"/>
      <c r="E26" s="284"/>
      <c r="F26" s="282"/>
      <c r="G26" s="286"/>
    </row>
    <row r="27" spans="1:7" s="257" customFormat="1" ht="24.75">
      <c r="A27" s="298" t="s">
        <v>2364</v>
      </c>
      <c r="B27" s="287" t="s">
        <v>2365</v>
      </c>
      <c r="C27" s="288">
        <f ca="1">C28</f>
        <v>2208415</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ROUND((C5+C19+C20)*F27,0)</f>
        <v>2208415</v>
      </c>
      <c r="D28" s="278"/>
      <c r="E28" s="279"/>
      <c r="F28" s="289"/>
      <c r="G28" s="290"/>
    </row>
    <row r="29" spans="1:7" s="257" customFormat="1" ht="13.5" customHeight="1">
      <c r="A29" s="952" t="s">
        <v>792</v>
      </c>
      <c r="B29" s="291" t="s">
        <v>2369</v>
      </c>
      <c r="C29" s="281">
        <f ca="1">ROUND(C21*F27,4)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14618388</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49483500</v>
      </c>
      <c r="D33" s="275"/>
      <c r="E33" s="255"/>
      <c r="F33" s="284"/>
      <c r="G33" s="277"/>
    </row>
    <row r="34" spans="1:7" s="301" customFormat="1" ht="13.5" customHeight="1">
      <c r="A34" s="952" t="s">
        <v>791</v>
      </c>
      <c r="B34" s="258" t="s">
        <v>2377</v>
      </c>
      <c r="C34" s="263">
        <f ca="1">ROUND(IF(B1="",SUMPRODUCT('数据-取费表'!K6:K14,'数据-取费表'!L6:L14),INDIRECT("'数据-取费表'!l"&amp;$G$1)*INDIRECT("'数据-取费表'!k"&amp;$G$1)+'数据-取费表'!L14*INDIRECT("'数据-取费表'!S"&amp;$G$1)),0)</f>
        <v>44220540</v>
      </c>
      <c r="D34" s="260"/>
      <c r="E34" s="263"/>
      <c r="F34" s="300"/>
      <c r="G34" s="262"/>
    </row>
    <row r="35" spans="1:7" ht="13.5" customHeight="1">
      <c r="A35" s="952" t="s">
        <v>796</v>
      </c>
      <c r="B35" s="258" t="s">
        <v>2379</v>
      </c>
      <c r="C35" s="263">
        <f ca="1">ROUND(C34*F35,0)</f>
        <v>1326616</v>
      </c>
      <c r="D35" s="263"/>
      <c r="E35" s="263"/>
      <c r="F35" s="302">
        <f>'数据-取费表'!B33</f>
        <v>0.03</v>
      </c>
      <c r="G35" s="262" t="s">
        <v>2380</v>
      </c>
    </row>
    <row r="36" spans="1:7" ht="24">
      <c r="A36" s="952"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2" t="s">
        <v>798</v>
      </c>
      <c r="B37" s="258" t="s">
        <v>2383</v>
      </c>
      <c r="C37" s="292">
        <f ca="1">ROUND(E37*D37,0)</f>
        <v>3273036</v>
      </c>
      <c r="D37" s="260">
        <f ca="1">D19</f>
        <v>16365.18</v>
      </c>
      <c r="E37" s="292">
        <f>'数据-取费表'!B35</f>
        <v>200</v>
      </c>
      <c r="F37" s="302"/>
      <c r="G37" s="304"/>
    </row>
    <row r="38" spans="1:7" ht="13.5" customHeight="1">
      <c r="A38" s="952" t="s">
        <v>799</v>
      </c>
      <c r="B38" s="258" t="s">
        <v>2385</v>
      </c>
      <c r="C38" s="263">
        <f ca="1">ROUND(C34*F38,0)</f>
        <v>663308</v>
      </c>
      <c r="D38" s="263"/>
      <c r="E38" s="263"/>
      <c r="F38" s="302">
        <f>'数据-取费表'!B36</f>
        <v>1.4999999999999999E-2</v>
      </c>
      <c r="G38" s="262" t="s">
        <v>2380</v>
      </c>
    </row>
    <row r="39" spans="1:7" s="257" customFormat="1" ht="13.5" customHeight="1">
      <c r="A39" s="298" t="s">
        <v>2386</v>
      </c>
      <c r="B39" s="253" t="s">
        <v>2387</v>
      </c>
      <c r="C39" s="275">
        <f ca="1">ROUND(C33*F20,0)</f>
        <v>989670</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1787637</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ROUND(IF('数据-取费表'!B22&lt;=1,C33*F22*'数据-取费表'!B20/2,C33*(POWER((1+F22),'数据-取费表'!B20/2)-1)),0)</f>
        <v>1752585</v>
      </c>
      <c r="D42" s="281"/>
      <c r="E42" s="281"/>
      <c r="F42" s="282"/>
      <c r="G42" s="3207" t="s">
        <v>2443</v>
      </c>
    </row>
    <row r="43" spans="1:7" ht="13.5" customHeight="1">
      <c r="A43" s="952" t="s">
        <v>792</v>
      </c>
      <c r="B43" s="258" t="s">
        <v>2397</v>
      </c>
      <c r="C43" s="281">
        <f ca="1">ROUND(IF('数据-取费表'!B22&lt;=1,C39*F22*'数据-取费表'!B20/2,C39*(POWER((1+F22),'数据-取费表'!B20/2)-1)),0)</f>
        <v>35052</v>
      </c>
      <c r="D43" s="281"/>
      <c r="E43" s="281"/>
      <c r="F43" s="282"/>
      <c r="G43" s="3208"/>
    </row>
    <row r="44" spans="1:7" ht="13.5" customHeight="1">
      <c r="A44" s="952" t="s">
        <v>793</v>
      </c>
      <c r="B44" s="258" t="s">
        <v>2398</v>
      </c>
      <c r="C44" s="281">
        <f ca="1">ROUND(IF('数据-取费表'!B22&lt;=1,C40*F22*'数据-取费表'!B20/2,C40*(POWER((1+F22),'数据-取费表'!B20/2)-1)),4)</f>
        <v>6.9999999999999999E-4</v>
      </c>
      <c r="D44" s="281"/>
      <c r="E44" s="281"/>
      <c r="F44" s="282"/>
      <c r="G44" s="3209"/>
    </row>
    <row r="45" spans="1:7" s="257" customFormat="1" ht="13.5" customHeight="1">
      <c r="A45" s="298" t="s">
        <v>2399</v>
      </c>
      <c r="B45" s="287" t="s">
        <v>2365</v>
      </c>
      <c r="C45" s="288">
        <f ca="1">C46</f>
        <v>10599366</v>
      </c>
      <c r="D45" s="278">
        <f ca="1">C47</f>
        <v>4.1999999999999997E-3</v>
      </c>
      <c r="E45" s="279" t="s">
        <v>2391</v>
      </c>
      <c r="F45" s="289"/>
      <c r="G45" s="290" t="s">
        <v>2400</v>
      </c>
    </row>
    <row r="46" spans="1:7" s="257" customFormat="1" ht="13.5" customHeight="1">
      <c r="A46" s="952" t="s">
        <v>791</v>
      </c>
      <c r="B46" s="291" t="s">
        <v>2401</v>
      </c>
      <c r="C46" s="292">
        <f ca="1">ROUND((C33+C39)*F27,0)</f>
        <v>10599366</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68192854</v>
      </c>
      <c r="D49" s="275"/>
      <c r="E49" s="275"/>
      <c r="F49" s="307"/>
      <c r="G49" s="277" t="s">
        <v>2406</v>
      </c>
    </row>
    <row r="50" spans="1:7" s="301" customFormat="1">
      <c r="A50" s="298" t="s">
        <v>2407</v>
      </c>
      <c r="B50" s="253" t="s">
        <v>2408</v>
      </c>
      <c r="C50" s="275"/>
      <c r="D50" s="275"/>
      <c r="E50" s="275"/>
      <c r="F50" s="307">
        <f>IF('数据-取费表'!B24=0,'数据-取费表'!N16,1)</f>
        <v>0.84</v>
      </c>
      <c r="G50" s="290"/>
    </row>
    <row r="51" spans="1:7" ht="16.5" customHeight="1">
      <c r="A51" s="298" t="s">
        <v>2410</v>
      </c>
      <c r="B51" s="253" t="s">
        <v>2445</v>
      </c>
      <c r="C51" s="275">
        <f ca="1">ROUND(C49*F50,0)</f>
        <v>57281997</v>
      </c>
      <c r="D51" s="275"/>
      <c r="E51" s="275"/>
      <c r="F51" s="307"/>
      <c r="G51" s="277" t="s">
        <v>2412</v>
      </c>
    </row>
    <row r="52" spans="1:7" s="251" customFormat="1" ht="16.5" thickBot="1">
      <c r="A52" s="308" t="s">
        <v>2413</v>
      </c>
      <c r="B52" s="309"/>
      <c r="C52" s="310">
        <f ca="1">C31+C51</f>
        <v>71900385</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2446</v>
      </c>
      <c r="B1" s="1582"/>
      <c r="C1" s="1583"/>
      <c r="D1" s="1581"/>
      <c r="E1" s="319"/>
      <c r="F1" s="319"/>
      <c r="G1" s="1582"/>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7" customFormat="1" ht="16.5" customHeight="1">
      <c r="A4" s="954" t="s">
        <v>2449</v>
      </c>
      <c r="B4" s="955"/>
      <c r="C4" s="997">
        <f>SUM(C8:K8)</f>
        <v>0</v>
      </c>
      <c r="D4" s="955"/>
      <c r="E4" s="955"/>
      <c r="F4" s="955"/>
      <c r="G4" s="955"/>
      <c r="H4" s="955"/>
      <c r="I4" s="955"/>
      <c r="J4" s="955"/>
      <c r="K4" s="956"/>
    </row>
    <row r="5" spans="1:33" s="961" customFormat="1" ht="24.75">
      <c r="A5" s="958" t="s">
        <v>2450</v>
      </c>
      <c r="B5" s="959" t="s">
        <v>2451</v>
      </c>
      <c r="C5" s="2554" t="s">
        <v>2452</v>
      </c>
      <c r="D5" s="2554" t="s">
        <v>2453</v>
      </c>
      <c r="E5" s="2554" t="s">
        <v>2454</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3250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2458</v>
      </c>
      <c r="B8" s="176" t="s">
        <v>2459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2460</v>
      </c>
      <c r="B9" s="955"/>
      <c r="C9" s="955"/>
      <c r="D9" s="955"/>
      <c r="E9" s="955"/>
      <c r="F9" s="955"/>
      <c r="G9" s="955"/>
      <c r="H9" s="955"/>
      <c r="I9" s="955"/>
      <c r="J9" s="955"/>
      <c r="K9" s="956"/>
    </row>
    <row r="10" spans="1:33" s="971" customFormat="1" ht="13.5" customHeight="1">
      <c r="A10" s="958" t="s">
        <v>2461</v>
      </c>
      <c r="B10" s="8" t="s">
        <v>2462</v>
      </c>
      <c r="C10" s="967" t="s">
        <v>2463</v>
      </c>
      <c r="D10" s="968" t="s">
        <v>2464</v>
      </c>
      <c r="E10" s="968" t="s">
        <v>2465</v>
      </c>
      <c r="F10" s="968" t="s">
        <v>2466</v>
      </c>
      <c r="G10" s="8"/>
      <c r="H10" s="969"/>
      <c r="I10" s="969"/>
      <c r="J10" s="969"/>
      <c r="K10" s="970"/>
    </row>
    <row r="11" spans="1:33" s="976" customFormat="1" ht="13.5" customHeight="1">
      <c r="A11" s="972" t="s">
        <v>1334</v>
      </c>
      <c r="B11" s="973" t="s">
        <v>2467</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2468</v>
      </c>
      <c r="C12" s="23">
        <f ca="1">ROUND(C11*F12,0)</f>
        <v>0</v>
      </c>
      <c r="D12" s="974"/>
      <c r="E12" s="374"/>
      <c r="F12" s="977">
        <f>'数据-取费表'!B33</f>
        <v>0.03</v>
      </c>
      <c r="G12" s="8" t="s">
        <v>2469</v>
      </c>
      <c r="H12" s="969"/>
      <c r="I12" s="969"/>
      <c r="J12" s="969"/>
      <c r="K12" s="970"/>
    </row>
    <row r="13" spans="1:33" s="976" customFormat="1" ht="13.5" customHeight="1">
      <c r="A13" s="972" t="s">
        <v>1336</v>
      </c>
      <c r="B13" s="973" t="s">
        <v>2470</v>
      </c>
      <c r="C13" s="23">
        <f ca="1">ROUND(IF(C1="",SUMIF('数据-取费表'!C:C,"住宅",'数据-取费表'!P:P)*F13,IF(INDIRECT("'数据-取费表'!c"&amp;$K$1)="住宅",INDIRECT("'数据-取费表'!P"&amp;$K$1)*F13,0)),0)</f>
        <v>0</v>
      </c>
      <c r="D13" s="1034"/>
      <c r="E13" s="374"/>
      <c r="F13" s="977">
        <f>'数据-取费表'!B34</f>
        <v>0</v>
      </c>
      <c r="G13" s="8" t="s">
        <v>2471</v>
      </c>
      <c r="H13" s="969"/>
      <c r="I13" s="969"/>
      <c r="J13" s="969"/>
      <c r="K13" s="970"/>
    </row>
    <row r="14" spans="1:33" s="978" customFormat="1" ht="13.5" customHeight="1">
      <c r="A14" s="972" t="s">
        <v>1337</v>
      </c>
      <c r="B14" s="973" t="s">
        <v>2472</v>
      </c>
      <c r="C14" s="23">
        <f ca="1">ROUND(D14*E14*F11/10000,0)</f>
        <v>0</v>
      </c>
      <c r="D14" s="1034">
        <f ca="1">IF(C1="",'数据-汇总表'!E3,INDIRECT("'数据-取费表'!K"&amp;$K$1)+INDIRECT("'数据-取费表'!S"&amp;$K$1))</f>
        <v>16365.18</v>
      </c>
      <c r="E14" s="23">
        <f>'数据-取费表'!B35</f>
        <v>200</v>
      </c>
      <c r="F14" s="977"/>
      <c r="G14" s="8" t="s">
        <v>2473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2474</v>
      </c>
      <c r="C15" s="984">
        <f ca="1">ROUND(C11*F15,0)</f>
        <v>0</v>
      </c>
      <c r="D15" s="979"/>
      <c r="E15" s="984"/>
      <c r="F15" s="985">
        <f>'数据-取费表'!B36</f>
        <v>1.4999999999999999E-2</v>
      </c>
      <c r="G15" s="139" t="s">
        <v>2475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2476</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2477</v>
      </c>
      <c r="C17" s="23">
        <f ca="1">ROUND(D17*E17/10000,0)</f>
        <v>0</v>
      </c>
      <c r="D17" s="1034">
        <f ca="1">D14</f>
        <v>16365.18</v>
      </c>
      <c r="E17" s="23">
        <f>'数据-取费表'!B32</f>
        <v>0</v>
      </c>
      <c r="F17" s="979"/>
      <c r="G17" s="139" t="s">
        <v>2478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2479</v>
      </c>
      <c r="C18" s="23">
        <f ca="1">C19+C20-IF(C1="",'数据-取费表'!B29,IF(G18="已全部缴纳",C19+C20,H18))</f>
        <v>0</v>
      </c>
      <c r="D18" s="1034"/>
      <c r="E18" s="23"/>
      <c r="F18" s="977"/>
      <c r="G18" s="2556"/>
      <c r="H18" s="1578"/>
      <c r="I18" s="2557" t="s">
        <v>2480</v>
      </c>
      <c r="J18" s="980"/>
      <c r="K18" s="981"/>
    </row>
    <row r="19" spans="1:33" s="976" customFormat="1" ht="13.5" customHeight="1">
      <c r="A19" s="972" t="s">
        <v>805</v>
      </c>
      <c r="B19" s="973" t="s">
        <v>2481</v>
      </c>
      <c r="C19" s="23">
        <f ca="1">ROUND(D19*E19/10000,0)</f>
        <v>0</v>
      </c>
      <c r="D19" s="1034">
        <f ca="1">IF(C1="",'数据-汇总表'!E5,IF(INDIRECT("'数据-取费表'!c"&amp;$K$1)="住宅",INDIRECT("'数据-取费表'!k"&amp;$K$1),0))</f>
        <v>0</v>
      </c>
      <c r="E19" s="23">
        <f>'数据-取费表'!B27</f>
        <v>430</v>
      </c>
      <c r="F19" s="977"/>
      <c r="G19" s="14"/>
      <c r="H19" s="1580"/>
      <c r="I19" s="982"/>
      <c r="J19" s="982"/>
      <c r="K19" s="983"/>
    </row>
    <row r="20" spans="1:33" s="976" customFormat="1" ht="13.5" customHeight="1">
      <c r="A20" s="972" t="s">
        <v>806</v>
      </c>
      <c r="B20" s="973" t="s">
        <v>2482</v>
      </c>
      <c r="C20" s="23">
        <f ca="1">ROUND(D20*E20/10000,0)</f>
        <v>704</v>
      </c>
      <c r="D20" s="1034">
        <f ca="1">IF(C1="",'数据-汇总表'!E6,IF(INDIRECT("'数据-取费表'!c"&amp;$K$1)="住宅",INDIRECT("'数据-取费表'!s"&amp;$K$1),INDIRECT("'数据-取费表'!k"&amp;$K$1)+INDIRECT("'数据-取费表'!s"&amp;$K$1)))</f>
        <v>16365.18</v>
      </c>
      <c r="E20" s="23">
        <f>'数据-取费表'!B28</f>
        <v>430</v>
      </c>
      <c r="F20" s="977"/>
      <c r="G20" s="14"/>
      <c r="H20" s="982"/>
      <c r="I20" s="982"/>
      <c r="J20" s="982"/>
      <c r="K20" s="983"/>
    </row>
    <row r="21" spans="1:33" s="976" customFormat="1" ht="13.5" customHeight="1">
      <c r="A21" s="962" t="s">
        <v>802</v>
      </c>
      <c r="B21" s="986" t="s">
        <v>2483</v>
      </c>
      <c r="C21" s="987">
        <f ca="1">C16+C17+C18</f>
        <v>0</v>
      </c>
      <c r="D21" s="988"/>
      <c r="E21" s="324"/>
      <c r="F21" s="324"/>
      <c r="G21" s="139" t="s">
        <v>2484</v>
      </c>
      <c r="H21" s="980"/>
      <c r="I21" s="980"/>
      <c r="J21" s="980"/>
      <c r="K21" s="981"/>
    </row>
    <row r="22" spans="1:33" s="976" customFormat="1" ht="13.5" customHeight="1">
      <c r="A22" s="962" t="s">
        <v>2456</v>
      </c>
      <c r="B22" s="986" t="s">
        <v>2485</v>
      </c>
      <c r="C22" s="987">
        <f ca="1">ROUND(C21*F22,0)</f>
        <v>0</v>
      </c>
      <c r="D22" s="324"/>
      <c r="E22" s="324"/>
      <c r="F22" s="989">
        <f>'数据-取费表'!B37</f>
        <v>0.02</v>
      </c>
      <c r="G22" s="8" t="s">
        <v>2486</v>
      </c>
      <c r="H22" s="969"/>
      <c r="I22" s="969"/>
      <c r="J22" s="969"/>
      <c r="K22" s="970"/>
    </row>
    <row r="23" spans="1:33" s="976" customFormat="1" ht="13.5" customHeight="1">
      <c r="A23" s="962" t="s">
        <v>2458</v>
      </c>
      <c r="B23" s="986" t="s">
        <v>2487</v>
      </c>
      <c r="C23" s="987">
        <f ca="1">ROUND(C4*F23*F11,0)</f>
        <v>0</v>
      </c>
      <c r="D23" s="324"/>
      <c r="E23" s="324"/>
      <c r="F23" s="989">
        <f>'数据-取费表'!B38</f>
        <v>0.02</v>
      </c>
      <c r="G23" s="8" t="s">
        <v>2488</v>
      </c>
      <c r="H23" s="969"/>
      <c r="I23" s="969"/>
      <c r="J23" s="969"/>
      <c r="K23" s="970"/>
    </row>
    <row r="24" spans="1:33" s="976" customFormat="1" ht="13.5" customHeight="1">
      <c r="A24" s="962" t="s">
        <v>2489</v>
      </c>
      <c r="B24" s="986" t="s">
        <v>2490</v>
      </c>
      <c r="C24" s="323">
        <f>ROUND(F24/(1+'数据-取费表'!C42),4)</f>
        <v>2.9000000000000001E-2</v>
      </c>
      <c r="D24" s="324" t="s">
        <v>15</v>
      </c>
      <c r="E24" s="324"/>
      <c r="F24" s="989">
        <f>'数据-取费表'!B48+'数据-取费表'!B49</f>
        <v>3.0499999999999999E-2</v>
      </c>
      <c r="G24" s="8" t="s">
        <v>2491</v>
      </c>
      <c r="H24" s="991"/>
      <c r="I24" s="991"/>
      <c r="J24" s="991"/>
      <c r="K24" s="992"/>
    </row>
    <row r="25" spans="1:33" s="976" customFormat="1" ht="13.5" customHeight="1">
      <c r="A25" s="962" t="s">
        <v>2492</v>
      </c>
      <c r="B25" s="988" t="s">
        <v>2493</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2494</v>
      </c>
      <c r="C26" s="1358">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2495</v>
      </c>
      <c r="C27" s="1359">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0"/>
      <c r="I27" s="980"/>
      <c r="J27" s="980"/>
      <c r="K27" s="981"/>
    </row>
    <row r="28" spans="1:33" s="332" customFormat="1" ht="13.5" customHeight="1">
      <c r="A28" s="962" t="s">
        <v>2496</v>
      </c>
      <c r="B28" s="2559" t="s">
        <v>2497</v>
      </c>
      <c r="C28" s="330">
        <f ca="1">C30</f>
        <v>0</v>
      </c>
      <c r="D28" s="323">
        <f ca="1">C29</f>
        <v>0</v>
      </c>
      <c r="E28" s="325" t="s">
        <v>15</v>
      </c>
      <c r="F28" s="331">
        <f ca="1">IF(C1="",'数据-取费表'!Q16,INDIRECT("'数据-取费表'!q"&amp;$K$1))</f>
        <v>0.21</v>
      </c>
      <c r="G28" s="990"/>
      <c r="H28" s="991"/>
      <c r="I28" s="991"/>
      <c r="J28" s="991"/>
      <c r="K28" s="992"/>
    </row>
    <row r="29" spans="1:33" s="334" customFormat="1" ht="13.5" customHeight="1">
      <c r="A29" s="972" t="s">
        <v>803</v>
      </c>
      <c r="B29" s="995" t="s">
        <v>2498</v>
      </c>
      <c r="C29" s="327">
        <f ca="1">ROUND((1+C24)*F28*'数据-取费表'!B24/'数据-取费表'!B20,4)</f>
        <v>0</v>
      </c>
      <c r="D29" s="327"/>
      <c r="E29" s="328"/>
      <c r="F29" s="333"/>
      <c r="G29" s="139" t="s">
        <v>2499</v>
      </c>
      <c r="H29" s="980"/>
      <c r="I29" s="980"/>
      <c r="J29" s="980"/>
      <c r="K29" s="981"/>
    </row>
    <row r="30" spans="1:33" s="334" customFormat="1" ht="13.5" customHeight="1">
      <c r="A30" s="972" t="s">
        <v>804</v>
      </c>
      <c r="B30" s="995" t="s">
        <v>2500</v>
      </c>
      <c r="C30" s="335">
        <f ca="1">ROUND((C21+C22+C23)*F28,0)</f>
        <v>0</v>
      </c>
      <c r="D30" s="327"/>
      <c r="E30" s="328"/>
      <c r="F30" s="333"/>
      <c r="G30" s="139"/>
      <c r="H30" s="980"/>
      <c r="I30" s="980"/>
      <c r="J30" s="980"/>
      <c r="K30" s="981"/>
    </row>
    <row r="31" spans="1:33" s="976" customFormat="1" ht="13.5" customHeight="1" thickBot="1">
      <c r="A31" s="2560" t="s">
        <v>2501</v>
      </c>
      <c r="B31" s="1006" t="s">
        <v>2502</v>
      </c>
      <c r="C31" s="1007">
        <f>ROUND(C4*F31/(1+'数据-取费表'!C42),0)</f>
        <v>0</v>
      </c>
      <c r="D31" s="1008"/>
      <c r="E31" s="1009"/>
      <c r="F31" s="1010">
        <f>'数据-取费表'!B41</f>
        <v>5.6000000000000001E-2</v>
      </c>
      <c r="G31" s="1011" t="s">
        <v>2503</v>
      </c>
      <c r="H31" s="1012"/>
      <c r="I31" s="1012"/>
      <c r="J31" s="1012"/>
      <c r="K31" s="1013"/>
    </row>
    <row r="32" spans="1:33" s="971" customFormat="1" ht="13.5" customHeight="1" thickBot="1">
      <c r="A32" s="1001" t="s">
        <v>2504</v>
      </c>
      <c r="B32" s="1002"/>
      <c r="C32" s="1003">
        <f ca="1">ROUND((C4-C21-C22-C23-C25-C28-C31)/(1+C24+D25+D28),0)</f>
        <v>0</v>
      </c>
      <c r="D32" s="1002"/>
      <c r="E32" s="1002"/>
      <c r="F32" s="1002"/>
      <c r="G32" s="1004" t="s">
        <v>2505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F20" sqref="F2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2629</v>
      </c>
      <c r="C1" s="1635" t="s">
        <v>2517</v>
      </c>
      <c r="D1" s="1622" t="s">
        <v>3130</v>
      </c>
      <c r="E1" s="2657"/>
      <c r="F1" s="2584" t="s">
        <v>3138</v>
      </c>
      <c r="G1" s="1632" t="s">
        <v>2630</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2314</v>
      </c>
      <c r="B2" s="1419">
        <f>IF(C2="——",ROUND(C49*D3/10000,0),ROUND(C49*D3/10000,0)-D2)</f>
        <v>61712</v>
      </c>
      <c r="C2" s="2586" t="s">
        <v>70</v>
      </c>
      <c r="D2" s="1366" t="e">
        <f ca="1">SUMIF(INDIRECT("'"&amp;F2&amp;"'"&amp;"!A:A"),"承租人权益价值",INDIRECT("'"&amp;F2&amp;"'"&amp;"!c:c"))</f>
        <v>#REF!</v>
      </c>
      <c r="E2" s="2587" t="s">
        <v>2315</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7" customFormat="1" ht="28.5" customHeight="1" thickBot="1">
      <c r="A3" s="246" t="s">
        <v>2316</v>
      </c>
      <c r="B3" s="608">
        <f>IF(C2="——",C49,ROUND(B2*10000/D3,0))</f>
        <v>47054</v>
      </c>
      <c r="C3" s="399" t="s">
        <v>2631</v>
      </c>
      <c r="D3" s="398">
        <f>IF(D1="",'数据-汇总表'!E3,SUMIF('数据-汇总表'!$C19:$C33,D1,'数据-汇总表'!$E19:$E33))</f>
        <v>13115.18</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4" t="s">
        <v>2635</v>
      </c>
      <c r="AC4" s="3226" t="s">
        <v>2636</v>
      </c>
    </row>
    <row r="5" spans="1:29" ht="15">
      <c r="A5" s="403"/>
      <c r="B5" s="404"/>
      <c r="C5" s="3252" t="s">
        <v>3145</v>
      </c>
      <c r="D5" s="3248"/>
      <c r="E5" s="3253" t="s">
        <v>3245</v>
      </c>
      <c r="F5" s="3254"/>
      <c r="G5" s="3247" t="s">
        <v>3245</v>
      </c>
      <c r="H5" s="3248"/>
      <c r="I5" s="3247" t="s">
        <v>3245</v>
      </c>
      <c r="J5" s="3248"/>
      <c r="K5" s="609"/>
      <c r="L5" s="1131"/>
      <c r="M5" s="1132"/>
      <c r="N5" s="1132"/>
      <c r="O5" s="1132"/>
      <c r="P5" s="3235"/>
      <c r="Q5" s="3236"/>
      <c r="R5" s="3241"/>
      <c r="S5" s="3242"/>
      <c r="T5" s="3241"/>
      <c r="U5" s="3242"/>
      <c r="V5" s="3224"/>
      <c r="W5" s="3224"/>
      <c r="X5" s="1813"/>
      <c r="Y5" s="3241"/>
      <c r="Z5" s="3242"/>
      <c r="AA5" s="3227"/>
      <c r="AB5" s="3224"/>
      <c r="AC5" s="3227"/>
    </row>
    <row r="6" spans="1:29" ht="15.75" thickBot="1">
      <c r="A6" s="405"/>
      <c r="B6" s="406"/>
      <c r="C6" s="3245" t="s">
        <v>3144</v>
      </c>
      <c r="D6" s="3246"/>
      <c r="E6" s="3245" t="s">
        <v>3261</v>
      </c>
      <c r="F6" s="3246"/>
      <c r="G6" s="3245" t="s">
        <v>3144</v>
      </c>
      <c r="H6" s="3246"/>
      <c r="I6" s="3245" t="s">
        <v>3144</v>
      </c>
      <c r="J6" s="3246"/>
      <c r="K6" s="609" t="s">
        <v>2534</v>
      </c>
      <c r="L6" s="1131"/>
      <c r="M6" s="1132"/>
      <c r="N6" s="1132"/>
      <c r="O6" s="1132"/>
      <c r="P6" s="3237"/>
      <c r="Q6" s="3238"/>
      <c r="R6" s="3241"/>
      <c r="S6" s="3242"/>
      <c r="T6" s="3243"/>
      <c r="U6" s="3244"/>
      <c r="V6" s="3224"/>
      <c r="W6" s="3224"/>
      <c r="X6" s="1813"/>
      <c r="Y6" s="3243"/>
      <c r="Z6" s="3244"/>
      <c r="AA6" s="3228"/>
      <c r="AB6" s="3224"/>
      <c r="AC6" s="3228"/>
    </row>
    <row r="7" spans="1:29" s="116" customFormat="1" ht="15.75" thickBot="1">
      <c r="A7" s="407" t="s">
        <v>2535</v>
      </c>
      <c r="B7" s="408"/>
      <c r="C7" s="409">
        <f>'数据-取费表'!B2</f>
        <v>43344</v>
      </c>
      <c r="D7" s="410">
        <v>100</v>
      </c>
      <c r="E7" s="411">
        <v>43342</v>
      </c>
      <c r="F7" s="412">
        <f>SUMIF(58:58,YEAR(E7)&amp;"-"&amp;MONTH(E7),59:59)</f>
        <v>100</v>
      </c>
      <c r="G7" s="411">
        <v>43337</v>
      </c>
      <c r="H7" s="410">
        <f>SUMIF(58:58,YEAR(G7)&amp;"-"&amp;MONTH(G7),59:59)</f>
        <v>100</v>
      </c>
      <c r="I7" s="411">
        <v>43315</v>
      </c>
      <c r="J7" s="410">
        <f>SUMIF(58:58,YEAR(I7)&amp;"-"&amp;MONTH(I7),59:59)</f>
        <v>100</v>
      </c>
      <c r="K7" s="610"/>
      <c r="L7" s="1133"/>
      <c r="M7" s="1134"/>
      <c r="N7" s="1134"/>
      <c r="O7" s="1134"/>
      <c r="P7" s="3249" t="s">
        <v>2536</v>
      </c>
      <c r="Q7" s="3251"/>
      <c r="R7" s="768" t="s">
        <v>17</v>
      </c>
      <c r="S7" s="769">
        <f t="shared" ref="S7:S15" si="0">F7</f>
        <v>100</v>
      </c>
      <c r="T7" s="768" t="s">
        <v>17</v>
      </c>
      <c r="U7" s="769">
        <f t="shared" ref="U7:U15" si="1">H7</f>
        <v>100</v>
      </c>
      <c r="V7" s="768" t="s">
        <v>17</v>
      </c>
      <c r="W7" s="769">
        <f t="shared" ref="W7:W15" si="2">J7</f>
        <v>100</v>
      </c>
      <c r="X7" s="770"/>
      <c r="Y7" s="3249" t="s">
        <v>2536</v>
      </c>
      <c r="Z7" s="3250"/>
      <c r="AA7" s="771">
        <f>D7/F7</f>
        <v>1</v>
      </c>
      <c r="AB7" s="771">
        <f>D7/H7</f>
        <v>1</v>
      </c>
      <c r="AC7" s="771">
        <f>D7/J7</f>
        <v>1</v>
      </c>
    </row>
    <row r="8" spans="1:29" s="116" customFormat="1" ht="15.75" thickBot="1">
      <c r="A8" s="407" t="s">
        <v>2537</v>
      </c>
      <c r="B8" s="408"/>
      <c r="C8" s="413" t="s">
        <v>2639</v>
      </c>
      <c r="D8" s="410">
        <v>100</v>
      </c>
      <c r="E8" s="413" t="s">
        <v>3143</v>
      </c>
      <c r="F8" s="412">
        <f>SUMIF(61:61,E8,62:62)-SUMIF(61:61,C8,62:62)+100</f>
        <v>100</v>
      </c>
      <c r="G8" s="413" t="s">
        <v>3143</v>
      </c>
      <c r="H8" s="410">
        <f>SUMIF(61:61,G8,62:62)-SUMIF(61:61,C8,62:62)+100</f>
        <v>100</v>
      </c>
      <c r="I8" s="413" t="s">
        <v>3143</v>
      </c>
      <c r="J8" s="410">
        <f>SUMIF(61:61,I8,62:62)-SUMIF(61:61,C8,62:62)+100</f>
        <v>100</v>
      </c>
      <c r="K8" s="610"/>
      <c r="L8" s="1133"/>
      <c r="M8" s="1134"/>
      <c r="N8" s="1134"/>
      <c r="O8" s="1134"/>
      <c r="P8" s="3249" t="s">
        <v>2539</v>
      </c>
      <c r="Q8" s="3250"/>
      <c r="R8" s="768" t="s">
        <v>17</v>
      </c>
      <c r="S8" s="769">
        <f t="shared" si="0"/>
        <v>100</v>
      </c>
      <c r="T8" s="768" t="s">
        <v>17</v>
      </c>
      <c r="U8" s="769">
        <f t="shared" si="1"/>
        <v>100</v>
      </c>
      <c r="V8" s="768" t="s">
        <v>17</v>
      </c>
      <c r="W8" s="769">
        <f t="shared" si="2"/>
        <v>100</v>
      </c>
      <c r="X8" s="770"/>
      <c r="Y8" s="3249" t="s">
        <v>2539</v>
      </c>
      <c r="Z8" s="3250"/>
      <c r="AA8" s="771">
        <f t="shared" ref="AA8:AA46" si="3">D8/F8</f>
        <v>1</v>
      </c>
      <c r="AB8" s="771">
        <f t="shared" ref="AB8:AB46" si="4">D8/H8</f>
        <v>1</v>
      </c>
      <c r="AC8" s="771">
        <f t="shared" ref="AC8:AC46" si="5">D8/J8</f>
        <v>1</v>
      </c>
    </row>
    <row r="9" spans="1:29" s="116" customFormat="1">
      <c r="A9" s="414" t="s">
        <v>2540</v>
      </c>
      <c r="B9" s="70" t="s">
        <v>2541</v>
      </c>
      <c r="C9" s="2970" t="s">
        <v>3139</v>
      </c>
      <c r="D9" s="134">
        <v>100</v>
      </c>
      <c r="E9" s="416" t="s">
        <v>1377</v>
      </c>
      <c r="F9" s="417">
        <f>SUMIF(63:63,E9,64:64)-SUMIF(63:63,C9,64:64)+100</f>
        <v>100</v>
      </c>
      <c r="G9" s="416" t="s">
        <v>1377</v>
      </c>
      <c r="H9" s="134">
        <f>SUMIF(63:63,G9,64:64)-SUMIF(63:63,C9,64:64)+100</f>
        <v>100</v>
      </c>
      <c r="I9" s="416" t="s">
        <v>1377</v>
      </c>
      <c r="J9" s="134">
        <f>SUMIF(63:63,I9,64:64)-SUMIF(63:63,C9,64:64)+100</f>
        <v>100</v>
      </c>
      <c r="K9" s="610"/>
      <c r="L9" s="1133"/>
      <c r="M9" s="1134"/>
      <c r="N9" s="1134"/>
      <c r="O9" s="1134"/>
      <c r="P9" s="3225"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771">
        <f t="shared" si="5"/>
        <v>1</v>
      </c>
    </row>
    <row r="10" spans="1:29" s="426" customFormat="1" ht="27.75" thickBot="1">
      <c r="A10" s="420"/>
      <c r="B10" s="421" t="s">
        <v>2544</v>
      </c>
      <c r="C10" s="422" t="s">
        <v>3142</v>
      </c>
      <c r="D10" s="135">
        <v>100</v>
      </c>
      <c r="E10" s="423" t="s">
        <v>3193</v>
      </c>
      <c r="F10" s="424">
        <f>SUMIF(65:65,E10,66:66)-SUMIF(65:65,C10,66:66)+100</f>
        <v>101</v>
      </c>
      <c r="G10" s="423" t="s">
        <v>3193</v>
      </c>
      <c r="H10" s="135">
        <f>SUMIF(65:65,G10,66:66)-SUMIF(65:65,C10,66:66)+100</f>
        <v>101</v>
      </c>
      <c r="I10" s="423" t="s">
        <v>3193</v>
      </c>
      <c r="J10" s="135">
        <f>SUMIF(65:65,I10,66:66)-SUMIF(65:65,C10,66:66)+100</f>
        <v>101</v>
      </c>
      <c r="K10" s="611">
        <v>1</v>
      </c>
      <c r="L10" s="1136"/>
      <c r="M10" s="1137"/>
      <c r="N10" s="1137"/>
      <c r="O10" s="1137"/>
      <c r="P10" s="3225"/>
      <c r="Q10" s="1795" t="str">
        <f t="shared" si="6"/>
        <v>土地使用年限（年）</v>
      </c>
      <c r="R10" s="768" t="s">
        <v>17</v>
      </c>
      <c r="S10" s="769">
        <f t="shared" si="0"/>
        <v>101</v>
      </c>
      <c r="T10" s="768" t="s">
        <v>17</v>
      </c>
      <c r="U10" s="769">
        <f t="shared" si="1"/>
        <v>101</v>
      </c>
      <c r="V10" s="768" t="s">
        <v>17</v>
      </c>
      <c r="W10" s="769">
        <f t="shared" si="2"/>
        <v>101</v>
      </c>
      <c r="X10" s="770"/>
      <c r="Y10" s="3065"/>
      <c r="Z10" s="54" t="str">
        <f t="shared" si="7"/>
        <v>土地使用年限（年）</v>
      </c>
      <c r="AA10" s="771">
        <f t="shared" si="3"/>
        <v>0.99009900990099009</v>
      </c>
      <c r="AB10" s="771">
        <f t="shared" si="4"/>
        <v>0.99009900990099009</v>
      </c>
      <c r="AC10" s="771">
        <f t="shared" si="5"/>
        <v>0.99009900990099009</v>
      </c>
    </row>
    <row r="11" spans="1:29" ht="15" hidden="1">
      <c r="A11" s="427"/>
      <c r="B11" s="421" t="s">
        <v>2545</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25"/>
      <c r="Q11" s="1795" t="str">
        <f t="shared" si="6"/>
        <v>容积率</v>
      </c>
      <c r="R11" s="768" t="s">
        <v>17</v>
      </c>
      <c r="S11" s="769">
        <f t="shared" si="0"/>
        <v>100</v>
      </c>
      <c r="T11" s="768" t="s">
        <v>17</v>
      </c>
      <c r="U11" s="769">
        <f t="shared" si="1"/>
        <v>100</v>
      </c>
      <c r="V11" s="768" t="s">
        <v>17</v>
      </c>
      <c r="W11" s="769">
        <f t="shared" si="2"/>
        <v>100</v>
      </c>
      <c r="X11" s="770"/>
      <c r="Y11" s="3065"/>
      <c r="Z11" s="54" t="str">
        <f t="shared" si="7"/>
        <v>容积率</v>
      </c>
      <c r="AA11" s="771">
        <f t="shared" si="3"/>
        <v>1</v>
      </c>
      <c r="AB11" s="771">
        <f t="shared" si="4"/>
        <v>1</v>
      </c>
      <c r="AC11" s="771">
        <f t="shared" si="5"/>
        <v>1</v>
      </c>
    </row>
    <row r="12" spans="1:29" s="116" customFormat="1" ht="15" hidden="1">
      <c r="A12" s="430"/>
      <c r="B12" s="2600"/>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5"/>
      <c r="Q12" s="1795">
        <f t="shared" si="6"/>
        <v>0</v>
      </c>
      <c r="R12" s="768" t="s">
        <v>17</v>
      </c>
      <c r="S12" s="769">
        <f t="shared" si="0"/>
        <v>100</v>
      </c>
      <c r="T12" s="768" t="s">
        <v>17</v>
      </c>
      <c r="U12" s="769">
        <f t="shared" si="1"/>
        <v>100</v>
      </c>
      <c r="V12" s="768" t="s">
        <v>17</v>
      </c>
      <c r="W12" s="769">
        <f t="shared" si="2"/>
        <v>100</v>
      </c>
      <c r="X12" s="770"/>
      <c r="Y12" s="3065"/>
      <c r="Z12" s="54">
        <f t="shared" si="7"/>
        <v>0</v>
      </c>
      <c r="AA12" s="771">
        <f>D12/F12</f>
        <v>1</v>
      </c>
      <c r="AB12" s="771">
        <f>D12/H12</f>
        <v>1</v>
      </c>
      <c r="AC12" s="771">
        <f>D12/J12</f>
        <v>1</v>
      </c>
    </row>
    <row r="13" spans="1:29" ht="15" hidden="1">
      <c r="A13" s="427"/>
      <c r="B13" s="2600"/>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5"/>
      <c r="Q13" s="1795">
        <f t="shared" si="6"/>
        <v>0</v>
      </c>
      <c r="R13" s="768" t="s">
        <v>17</v>
      </c>
      <c r="S13" s="769">
        <f t="shared" si="0"/>
        <v>100</v>
      </c>
      <c r="T13" s="768" t="s">
        <v>17</v>
      </c>
      <c r="U13" s="769">
        <f t="shared" si="1"/>
        <v>100</v>
      </c>
      <c r="V13" s="768" t="s">
        <v>17</v>
      </c>
      <c r="W13" s="769">
        <f t="shared" si="2"/>
        <v>100</v>
      </c>
      <c r="X13" s="770"/>
      <c r="Y13" s="3065"/>
      <c r="Z13" s="54">
        <f t="shared" si="7"/>
        <v>0</v>
      </c>
      <c r="AA13" s="771">
        <f t="shared" si="3"/>
        <v>1</v>
      </c>
      <c r="AB13" s="771">
        <f t="shared" si="4"/>
        <v>1</v>
      </c>
      <c r="AC13" s="771">
        <f t="shared" si="5"/>
        <v>1</v>
      </c>
    </row>
    <row r="14" spans="1:29" ht="15.75" hidden="1" thickBot="1">
      <c r="A14" s="435"/>
      <c r="B14" s="2602"/>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5"/>
      <c r="Q14" s="1795">
        <f t="shared" si="6"/>
        <v>0</v>
      </c>
      <c r="R14" s="768" t="s">
        <v>17</v>
      </c>
      <c r="S14" s="769">
        <f t="shared" si="0"/>
        <v>100</v>
      </c>
      <c r="T14" s="768" t="s">
        <v>17</v>
      </c>
      <c r="U14" s="769">
        <f t="shared" si="1"/>
        <v>100</v>
      </c>
      <c r="V14" s="768" t="s">
        <v>17</v>
      </c>
      <c r="W14" s="769">
        <f t="shared" si="2"/>
        <v>100</v>
      </c>
      <c r="X14" s="770"/>
      <c r="Y14" s="3065"/>
      <c r="Z14" s="54">
        <f t="shared" si="7"/>
        <v>0</v>
      </c>
      <c r="AA14" s="771">
        <f t="shared" si="3"/>
        <v>1</v>
      </c>
      <c r="AB14" s="771">
        <f t="shared" si="4"/>
        <v>1</v>
      </c>
      <c r="AC14" s="771">
        <f t="shared" si="5"/>
        <v>1</v>
      </c>
    </row>
    <row r="15" spans="1:29" ht="15">
      <c r="A15" s="439" t="s">
        <v>2546</v>
      </c>
      <c r="B15" s="68" t="s">
        <v>2640</v>
      </c>
      <c r="C15" s="2603">
        <f>估价对象房地状况!C4</f>
        <v>0</v>
      </c>
      <c r="D15" s="440">
        <v>100</v>
      </c>
      <c r="E15" s="441"/>
      <c r="F15" s="442">
        <f>SUMIF(76:76,E16,77:77)-SUMIF(76:76,C16,77:77)+100</f>
        <v>102</v>
      </c>
      <c r="G15" s="443"/>
      <c r="H15" s="440">
        <f>SUMIF(76:76,G16,77:77)-SUMIF(76:76,C16,77:77)+100</f>
        <v>102</v>
      </c>
      <c r="I15" s="441"/>
      <c r="J15" s="440">
        <f>SUMIF(76:76,I16,77:77)-SUMIF(76:76,C16,77:77)+100</f>
        <v>102</v>
      </c>
      <c r="K15" s="613">
        <v>2</v>
      </c>
      <c r="L15" s="1141"/>
      <c r="M15" s="1132"/>
      <c r="N15" s="1132"/>
      <c r="O15" s="1132"/>
      <c r="P15" s="3215" t="s">
        <v>2547</v>
      </c>
      <c r="Q15" s="1810" t="str">
        <f t="shared" si="6"/>
        <v>商业繁华度</v>
      </c>
      <c r="R15" s="772" t="s">
        <v>17</v>
      </c>
      <c r="S15" s="773">
        <f t="shared" si="0"/>
        <v>102</v>
      </c>
      <c r="T15" s="772" t="s">
        <v>17</v>
      </c>
      <c r="U15" s="773">
        <f t="shared" si="1"/>
        <v>102</v>
      </c>
      <c r="V15" s="772" t="s">
        <v>17</v>
      </c>
      <c r="W15" s="773">
        <f t="shared" si="2"/>
        <v>102</v>
      </c>
      <c r="X15" s="1813"/>
      <c r="Y15" s="3217" t="s">
        <v>2547</v>
      </c>
      <c r="Z15" s="1814" t="str">
        <f t="shared" si="7"/>
        <v>商业繁华度</v>
      </c>
      <c r="AA15" s="1811">
        <f t="shared" si="3"/>
        <v>0.98039215686274506</v>
      </c>
      <c r="AB15" s="1811">
        <f t="shared" si="4"/>
        <v>0.98039215686274506</v>
      </c>
      <c r="AC15" s="1811">
        <f t="shared" si="5"/>
        <v>0.98039215686274506</v>
      </c>
    </row>
    <row r="16" spans="1:29" ht="15">
      <c r="A16" s="427"/>
      <c r="B16" s="445"/>
      <c r="C16" s="446" t="s">
        <v>3146</v>
      </c>
      <c r="D16" s="447"/>
      <c r="E16" s="446" t="s">
        <v>3147</v>
      </c>
      <c r="F16" s="448"/>
      <c r="G16" s="446" t="s">
        <v>3147</v>
      </c>
      <c r="H16" s="449"/>
      <c r="I16" s="446" t="s">
        <v>3147</v>
      </c>
      <c r="J16" s="447"/>
      <c r="K16" s="614"/>
      <c r="L16" s="1141"/>
      <c r="M16" s="1132"/>
      <c r="N16" s="1132"/>
      <c r="O16" s="1132"/>
      <c r="P16" s="3216"/>
      <c r="Q16" s="1810"/>
      <c r="R16" s="772"/>
      <c r="S16" s="773"/>
      <c r="T16" s="772"/>
      <c r="U16" s="773"/>
      <c r="V16" s="772"/>
      <c r="W16" s="773"/>
      <c r="X16" s="1813"/>
      <c r="Y16" s="3218"/>
      <c r="Z16" s="1814"/>
      <c r="AA16" s="1811">
        <v>1</v>
      </c>
      <c r="AB16" s="1811">
        <v>1</v>
      </c>
      <c r="AC16" s="1811">
        <v>1</v>
      </c>
    </row>
    <row r="17" spans="1:29" ht="15">
      <c r="A17" s="427"/>
      <c r="B17" s="450" t="s">
        <v>2089</v>
      </c>
      <c r="C17" s="2607">
        <f>估价对象房地状况!C6</f>
        <v>0</v>
      </c>
      <c r="D17" s="449">
        <v>100</v>
      </c>
      <c r="E17" s="451"/>
      <c r="F17" s="452">
        <f>SUMIF(78:78,E18,79:79)-SUMIF(78:78,C18,79:79)+100</f>
        <v>102</v>
      </c>
      <c r="G17" s="451"/>
      <c r="H17" s="454">
        <f>SUMIF(78:78,G18,79:79)-SUMIF(78:78,C18,79:79)+100</f>
        <v>102</v>
      </c>
      <c r="I17" s="451"/>
      <c r="J17" s="454">
        <f>SUMIF(78:78,I18,79:79)-SUMIF(78:78,C18,79:79)+100</f>
        <v>102</v>
      </c>
      <c r="K17" s="613">
        <v>2</v>
      </c>
      <c r="L17" s="1141"/>
      <c r="M17" s="1132"/>
      <c r="N17" s="1132"/>
      <c r="O17" s="1132"/>
      <c r="P17" s="3216"/>
      <c r="Q17" s="1810" t="str">
        <f>B17</f>
        <v>交通便捷度</v>
      </c>
      <c r="R17" s="772" t="s">
        <v>17</v>
      </c>
      <c r="S17" s="773">
        <f>F17</f>
        <v>102</v>
      </c>
      <c r="T17" s="772" t="s">
        <v>17</v>
      </c>
      <c r="U17" s="773">
        <f>H17</f>
        <v>102</v>
      </c>
      <c r="V17" s="772" t="s">
        <v>17</v>
      </c>
      <c r="W17" s="773">
        <f>J17</f>
        <v>102</v>
      </c>
      <c r="X17" s="1813"/>
      <c r="Y17" s="3218"/>
      <c r="Z17" s="1814" t="str">
        <f>Q17</f>
        <v>交通便捷度</v>
      </c>
      <c r="AA17" s="1811">
        <f t="shared" si="3"/>
        <v>0.98039215686274506</v>
      </c>
      <c r="AB17" s="1811">
        <f t="shared" si="4"/>
        <v>0.98039215686274506</v>
      </c>
      <c r="AC17" s="1811">
        <f t="shared" si="5"/>
        <v>0.98039215686274506</v>
      </c>
    </row>
    <row r="18" spans="1:29" ht="15">
      <c r="A18" s="427"/>
      <c r="B18" s="455"/>
      <c r="C18" s="2608" t="s">
        <v>3146</v>
      </c>
      <c r="D18" s="449"/>
      <c r="E18" s="2610" t="s">
        <v>3147</v>
      </c>
      <c r="F18" s="452"/>
      <c r="G18" s="2610" t="s">
        <v>3147</v>
      </c>
      <c r="H18" s="447"/>
      <c r="I18" s="2610" t="s">
        <v>3147</v>
      </c>
      <c r="J18" s="447"/>
      <c r="K18" s="614"/>
      <c r="L18" s="1141"/>
      <c r="M18" s="1132"/>
      <c r="N18" s="1132"/>
      <c r="O18" s="1132"/>
      <c r="P18" s="3216"/>
      <c r="Q18" s="1810"/>
      <c r="R18" s="772"/>
      <c r="S18" s="773"/>
      <c r="T18" s="772"/>
      <c r="U18" s="773"/>
      <c r="V18" s="772"/>
      <c r="W18" s="773"/>
      <c r="X18" s="1813"/>
      <c r="Y18" s="3218"/>
      <c r="Z18" s="1814"/>
      <c r="AA18" s="1811">
        <v>1</v>
      </c>
      <c r="AB18" s="1811">
        <v>1</v>
      </c>
      <c r="AC18" s="1811">
        <v>1</v>
      </c>
    </row>
    <row r="19" spans="1:29" ht="15">
      <c r="A19" s="427"/>
      <c r="B19" s="450" t="s">
        <v>2641</v>
      </c>
      <c r="C19" s="2607">
        <f>估价对象房地状况!C7</f>
        <v>0</v>
      </c>
      <c r="D19" s="454">
        <v>100</v>
      </c>
      <c r="E19" s="456"/>
      <c r="F19" s="457">
        <f>SUMIF(80:80,E20,81:81)-SUMIF(80:80,C20,81:81)+100</f>
        <v>100</v>
      </c>
      <c r="G19" s="456"/>
      <c r="H19" s="449">
        <f>SUMIF(80:80,G20,81:81)-SUMIF(80:80,C20,81:81)+100</f>
        <v>100</v>
      </c>
      <c r="I19" s="456"/>
      <c r="J19" s="449">
        <f>SUMIF(80:80,I20,81:81)-SUMIF(80:80,C20,81:81)+100</f>
        <v>100</v>
      </c>
      <c r="K19" s="613">
        <v>1</v>
      </c>
      <c r="L19" s="1141"/>
      <c r="M19" s="1132"/>
      <c r="N19" s="1132"/>
      <c r="O19" s="1132"/>
      <c r="P19" s="3216"/>
      <c r="Q19" s="1810" t="str">
        <f>B19</f>
        <v>公共配套设施</v>
      </c>
      <c r="R19" s="772" t="s">
        <v>17</v>
      </c>
      <c r="S19" s="773">
        <f>F19</f>
        <v>100</v>
      </c>
      <c r="T19" s="772" t="s">
        <v>17</v>
      </c>
      <c r="U19" s="773">
        <f>H19</f>
        <v>100</v>
      </c>
      <c r="V19" s="772" t="s">
        <v>17</v>
      </c>
      <c r="W19" s="773">
        <f>J19</f>
        <v>100</v>
      </c>
      <c r="X19" s="1813"/>
      <c r="Y19" s="3218"/>
      <c r="Z19" s="1814" t="str">
        <f>Q19</f>
        <v>公共配套设施</v>
      </c>
      <c r="AA19" s="1811">
        <f t="shared" si="3"/>
        <v>1</v>
      </c>
      <c r="AB19" s="1811">
        <f t="shared" si="4"/>
        <v>1</v>
      </c>
      <c r="AC19" s="1811">
        <f t="shared" si="5"/>
        <v>1</v>
      </c>
    </row>
    <row r="20" spans="1:29" ht="15">
      <c r="A20" s="427"/>
      <c r="B20" s="455"/>
      <c r="C20" s="446" t="s">
        <v>3147</v>
      </c>
      <c r="D20" s="447"/>
      <c r="E20" s="2605" t="s">
        <v>3147</v>
      </c>
      <c r="F20" s="448"/>
      <c r="G20" s="2605" t="s">
        <v>3147</v>
      </c>
      <c r="H20" s="447"/>
      <c r="I20" s="2605" t="s">
        <v>3147</v>
      </c>
      <c r="J20" s="447"/>
      <c r="K20" s="614"/>
      <c r="L20" s="1141"/>
      <c r="M20" s="1132"/>
      <c r="N20" s="1132"/>
      <c r="O20" s="1132"/>
      <c r="P20" s="3216"/>
      <c r="Q20" s="1810"/>
      <c r="R20" s="772"/>
      <c r="S20" s="773"/>
      <c r="T20" s="772"/>
      <c r="U20" s="773"/>
      <c r="V20" s="772"/>
      <c r="W20" s="773"/>
      <c r="X20" s="1813"/>
      <c r="Y20" s="3218"/>
      <c r="Z20" s="1814"/>
      <c r="AA20" s="1811">
        <v>1</v>
      </c>
      <c r="AB20" s="1811">
        <v>1</v>
      </c>
      <c r="AC20" s="1811">
        <v>1</v>
      </c>
    </row>
    <row r="21" spans="1:29" ht="15">
      <c r="A21" s="427"/>
      <c r="B21" s="1385" t="s">
        <v>2642</v>
      </c>
      <c r="C21" s="2607">
        <f>估价对象房地状况!C8</f>
        <v>0</v>
      </c>
      <c r="D21" s="454">
        <v>100</v>
      </c>
      <c r="E21" s="456"/>
      <c r="F21" s="457">
        <f>SUMIF(82:82,E22,83:83)-SUMIF(82:82,C22,83:83)+100</f>
        <v>100</v>
      </c>
      <c r="G21" s="456"/>
      <c r="H21" s="449">
        <f>SUMIF(82:82,G22,83:83)-SUMIF(82:82,C22,83:83)+100</f>
        <v>100</v>
      </c>
      <c r="I21" s="456"/>
      <c r="J21" s="449">
        <f>SUMIF(82:82,I22,83:83)-SUMIF(82:82,C22,83:83)+100</f>
        <v>100</v>
      </c>
      <c r="K21" s="613">
        <v>2</v>
      </c>
      <c r="L21" s="1141"/>
      <c r="M21" s="1132"/>
      <c r="N21" s="1132"/>
      <c r="O21" s="1132"/>
      <c r="P21" s="3216"/>
      <c r="Q21" s="1810" t="str">
        <f>B21</f>
        <v>基础设施水平</v>
      </c>
      <c r="R21" s="772" t="s">
        <v>17</v>
      </c>
      <c r="S21" s="773">
        <f>F21</f>
        <v>100</v>
      </c>
      <c r="T21" s="772" t="s">
        <v>17</v>
      </c>
      <c r="U21" s="773">
        <f>H21</f>
        <v>100</v>
      </c>
      <c r="V21" s="772" t="s">
        <v>17</v>
      </c>
      <c r="W21" s="773">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08" t="s">
        <v>3148</v>
      </c>
      <c r="D22" s="447"/>
      <c r="E22" s="446" t="s">
        <v>3148</v>
      </c>
      <c r="F22" s="448"/>
      <c r="G22" s="446" t="s">
        <v>3148</v>
      </c>
      <c r="H22" s="447"/>
      <c r="I22" s="446" t="s">
        <v>3148</v>
      </c>
      <c r="J22" s="447"/>
      <c r="K22" s="1384"/>
      <c r="L22" s="1141"/>
      <c r="M22" s="1132"/>
      <c r="N22" s="1132"/>
      <c r="O22" s="1132"/>
      <c r="P22" s="3216"/>
      <c r="Q22" s="1810"/>
      <c r="R22" s="772"/>
      <c r="S22" s="773"/>
      <c r="T22" s="772"/>
      <c r="U22" s="773"/>
      <c r="V22" s="772"/>
      <c r="W22" s="773"/>
      <c r="X22" s="1813"/>
      <c r="Y22" s="3218"/>
      <c r="Z22" s="1814"/>
      <c r="AA22" s="1811">
        <v>1</v>
      </c>
      <c r="AB22" s="1811">
        <v>1</v>
      </c>
      <c r="AC22" s="1811">
        <v>1</v>
      </c>
    </row>
    <row r="23" spans="1:29" ht="15">
      <c r="A23" s="427"/>
      <c r="B23" s="450" t="s">
        <v>2092</v>
      </c>
      <c r="C23" s="2664">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41"/>
      <c r="M23" s="1132"/>
      <c r="N23" s="1132"/>
      <c r="O23" s="1132"/>
      <c r="P23" s="3216"/>
      <c r="Q23" s="1810" t="str">
        <f>B23</f>
        <v>自然及人文环境</v>
      </c>
      <c r="R23" s="772" t="s">
        <v>17</v>
      </c>
      <c r="S23" s="773">
        <f>F23</f>
        <v>100</v>
      </c>
      <c r="T23" s="772" t="s">
        <v>17</v>
      </c>
      <c r="U23" s="773">
        <f>H23</f>
        <v>100</v>
      </c>
      <c r="V23" s="772" t="s">
        <v>17</v>
      </c>
      <c r="W23" s="773">
        <f>J23</f>
        <v>100</v>
      </c>
      <c r="X23" s="1813"/>
      <c r="Y23" s="3218"/>
      <c r="Z23" s="1814" t="str">
        <f>Q23</f>
        <v>自然及人文环境</v>
      </c>
      <c r="AA23" s="1811">
        <f t="shared" si="3"/>
        <v>1</v>
      </c>
      <c r="AB23" s="1811">
        <f t="shared" si="4"/>
        <v>1</v>
      </c>
      <c r="AC23" s="1811">
        <f t="shared" si="5"/>
        <v>1</v>
      </c>
    </row>
    <row r="24" spans="1:29" ht="15">
      <c r="A24" s="427"/>
      <c r="B24" s="455"/>
      <c r="C24" s="446" t="s">
        <v>3146</v>
      </c>
      <c r="D24" s="447"/>
      <c r="E24" s="2605" t="s">
        <v>3146</v>
      </c>
      <c r="F24" s="448"/>
      <c r="G24" s="446" t="s">
        <v>3146</v>
      </c>
      <c r="H24" s="447"/>
      <c r="I24" s="446" t="s">
        <v>3146</v>
      </c>
      <c r="J24" s="447"/>
      <c r="K24" s="614"/>
      <c r="L24" s="1141"/>
      <c r="M24" s="1132"/>
      <c r="N24" s="1132"/>
      <c r="O24" s="1132"/>
      <c r="P24" s="3216"/>
      <c r="Q24" s="1810"/>
      <c r="R24" s="772"/>
      <c r="S24" s="773"/>
      <c r="T24" s="772"/>
      <c r="U24" s="773"/>
      <c r="V24" s="772"/>
      <c r="W24" s="773"/>
      <c r="X24" s="1813"/>
      <c r="Y24" s="3218"/>
      <c r="Z24" s="1814"/>
      <c r="AA24" s="1811">
        <v>1</v>
      </c>
      <c r="AB24" s="1811">
        <v>1</v>
      </c>
      <c r="AC24" s="1811">
        <v>1</v>
      </c>
    </row>
    <row r="25" spans="1:29" ht="15">
      <c r="A25" s="427"/>
      <c r="B25" s="421" t="s">
        <v>2643</v>
      </c>
      <c r="C25" s="615" t="s">
        <v>3151</v>
      </c>
      <c r="D25" s="434">
        <v>100</v>
      </c>
      <c r="E25" s="615" t="s">
        <v>3151</v>
      </c>
      <c r="F25" s="460">
        <f>SUMIF(86:86,E25,87:87)-SUMIF(86:86,C25,87:87)+100</f>
        <v>100</v>
      </c>
      <c r="G25" s="615" t="s">
        <v>3151</v>
      </c>
      <c r="H25" s="434">
        <f>SUMIF(86:86,G25,87:87)-SUMIF(86:86,C25,87:87)+100</f>
        <v>100</v>
      </c>
      <c r="I25" s="615" t="s">
        <v>3151</v>
      </c>
      <c r="J25" s="434">
        <f>SUMIF(86:86,I25,87:87)-SUMIF(86:86,C25,87:87)+100</f>
        <v>100</v>
      </c>
      <c r="K25" s="611">
        <v>1</v>
      </c>
      <c r="L25" s="1141"/>
      <c r="M25" s="1132"/>
      <c r="N25" s="1132"/>
      <c r="O25" s="1132"/>
      <c r="P25" s="3216"/>
      <c r="Q25" s="1810" t="str">
        <f t="shared" ref="Q25:Q46" si="11">B25</f>
        <v>临街状况</v>
      </c>
      <c r="R25" s="772" t="s">
        <v>17</v>
      </c>
      <c r="S25" s="773">
        <f>F25</f>
        <v>100</v>
      </c>
      <c r="T25" s="772" t="s">
        <v>17</v>
      </c>
      <c r="U25" s="773">
        <f>H25</f>
        <v>100</v>
      </c>
      <c r="V25" s="772" t="s">
        <v>17</v>
      </c>
      <c r="W25" s="773">
        <f>J25</f>
        <v>100</v>
      </c>
      <c r="X25" s="1813"/>
      <c r="Y25" s="3218"/>
      <c r="Z25" s="1814" t="str">
        <f>Q25</f>
        <v>临街状况</v>
      </c>
      <c r="AA25" s="1811">
        <f t="shared" si="3"/>
        <v>1</v>
      </c>
      <c r="AB25" s="1811">
        <f t="shared" si="4"/>
        <v>1</v>
      </c>
      <c r="AC25" s="1811">
        <f t="shared" si="5"/>
        <v>1</v>
      </c>
    </row>
    <row r="26" spans="1:29" ht="15" hidden="1">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6"/>
      <c r="Q26" s="1810" t="str">
        <f t="shared" si="11"/>
        <v>平面位置/可视性</v>
      </c>
      <c r="R26" s="772" t="s">
        <v>17</v>
      </c>
      <c r="S26" s="773">
        <f>F26</f>
        <v>100</v>
      </c>
      <c r="T26" s="772" t="s">
        <v>17</v>
      </c>
      <c r="U26" s="773">
        <f>H26</f>
        <v>100</v>
      </c>
      <c r="V26" s="772" t="s">
        <v>17</v>
      </c>
      <c r="W26" s="773">
        <f>J26</f>
        <v>100</v>
      </c>
      <c r="X26" s="1813"/>
      <c r="Y26" s="3218"/>
      <c r="Z26" s="1814" t="str">
        <f>Q26</f>
        <v>平面位置/可视性</v>
      </c>
      <c r="AA26" s="1811">
        <f t="shared" si="3"/>
        <v>1</v>
      </c>
      <c r="AB26" s="1811">
        <f t="shared" si="4"/>
        <v>1</v>
      </c>
      <c r="AC26" s="1811">
        <f t="shared" si="5"/>
        <v>1</v>
      </c>
    </row>
    <row r="27" spans="1:29" s="116" customFormat="1" ht="15">
      <c r="A27" s="430"/>
      <c r="B27" s="450" t="s">
        <v>2645</v>
      </c>
      <c r="C27" s="2665" t="s">
        <v>3146</v>
      </c>
      <c r="D27" s="461">
        <v>100</v>
      </c>
      <c r="E27" s="2665" t="s">
        <v>3155</v>
      </c>
      <c r="F27" s="463">
        <f>SUMIF(90:90,E27,91:91)-SUMIF(90:90,C27,91:91)+100</f>
        <v>101</v>
      </c>
      <c r="G27" s="2665" t="s">
        <v>3155</v>
      </c>
      <c r="H27" s="461">
        <f>SUMIF(90:90,G27,91:91)-SUMIF(90:90,C27,91:91)+100</f>
        <v>101</v>
      </c>
      <c r="I27" s="2665" t="s">
        <v>3155</v>
      </c>
      <c r="J27" s="461">
        <f>SUMIF(90:90,I27,91:91)-SUMIF(90:90,C27,91:91)+100</f>
        <v>101</v>
      </c>
      <c r="K27" s="611">
        <v>1</v>
      </c>
      <c r="L27" s="1133"/>
      <c r="M27" s="1134"/>
      <c r="N27" s="1134"/>
      <c r="O27" s="1134"/>
      <c r="P27" s="3216"/>
      <c r="Q27" s="1795" t="str">
        <f t="shared" si="11"/>
        <v>人流量</v>
      </c>
      <c r="R27" s="768" t="s">
        <v>17</v>
      </c>
      <c r="S27" s="769">
        <f>F27</f>
        <v>101</v>
      </c>
      <c r="T27" s="768" t="s">
        <v>17</v>
      </c>
      <c r="U27" s="769">
        <f>H27</f>
        <v>101</v>
      </c>
      <c r="V27" s="768" t="s">
        <v>17</v>
      </c>
      <c r="W27" s="769">
        <f>J27</f>
        <v>101</v>
      </c>
      <c r="X27" s="770"/>
      <c r="Y27" s="3218"/>
      <c r="Z27" s="54" t="str">
        <f>Q27</f>
        <v>人流量</v>
      </c>
      <c r="AA27" s="1811">
        <f>D27/F27</f>
        <v>0.99009900990099009</v>
      </c>
      <c r="AB27" s="1811">
        <f>D27/H27</f>
        <v>0.99009900990099009</v>
      </c>
      <c r="AC27" s="1811">
        <f>D27/J27</f>
        <v>0.99009900990099009</v>
      </c>
    </row>
    <row r="28" spans="1:29" ht="15.75" thickBot="1">
      <c r="A28" s="427"/>
      <c r="B28" s="421" t="s">
        <v>2646</v>
      </c>
      <c r="C28" s="615" t="s">
        <v>3064</v>
      </c>
      <c r="D28" s="434">
        <v>100</v>
      </c>
      <c r="E28" s="615" t="s">
        <v>3064</v>
      </c>
      <c r="F28" s="460">
        <f>SUMIF(92:92,E28,93:93)-SUMIF(92:92,C28,93:93)+100</f>
        <v>100</v>
      </c>
      <c r="G28" s="615" t="s">
        <v>3064</v>
      </c>
      <c r="H28" s="434">
        <f>SUMIF(92:92,G28,93:93)-SUMIF(92:92,C28,93:93)+100</f>
        <v>100</v>
      </c>
      <c r="I28" s="615" t="s">
        <v>3064</v>
      </c>
      <c r="J28" s="434">
        <f>SUMIF(92:92,I28,93:93)-SUMIF(92:92,C28,93:93)+100</f>
        <v>100</v>
      </c>
      <c r="K28" s="612"/>
      <c r="L28" s="1141"/>
      <c r="M28" s="1132"/>
      <c r="N28" s="1132"/>
      <c r="O28" s="1132"/>
      <c r="P28" s="3216"/>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18"/>
      <c r="Z28" s="1814" t="str">
        <f t="shared" ref="Z28:Z46" si="15">Q28</f>
        <v>楼层</v>
      </c>
      <c r="AA28" s="1811">
        <f t="shared" si="3"/>
        <v>1</v>
      </c>
      <c r="AB28" s="1811">
        <f t="shared" si="4"/>
        <v>1</v>
      </c>
      <c r="AC28" s="1811">
        <f t="shared" si="5"/>
        <v>1</v>
      </c>
    </row>
    <row r="29" spans="1:29" ht="15" hidden="1">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6"/>
      <c r="Q29" s="1810">
        <f t="shared" si="11"/>
        <v>111</v>
      </c>
      <c r="R29" s="772" t="s">
        <v>17</v>
      </c>
      <c r="S29" s="773">
        <f t="shared" si="12"/>
        <v>100</v>
      </c>
      <c r="T29" s="772" t="s">
        <v>17</v>
      </c>
      <c r="U29" s="773">
        <f t="shared" si="13"/>
        <v>100</v>
      </c>
      <c r="V29" s="772" t="s">
        <v>17</v>
      </c>
      <c r="W29" s="773">
        <f t="shared" si="14"/>
        <v>100</v>
      </c>
      <c r="X29" s="1813"/>
      <c r="Y29" s="3218"/>
      <c r="Z29" s="1814">
        <f t="shared" si="15"/>
        <v>111</v>
      </c>
      <c r="AA29" s="1811">
        <f t="shared" si="3"/>
        <v>1</v>
      </c>
      <c r="AB29" s="1811">
        <f t="shared" si="4"/>
        <v>1</v>
      </c>
      <c r="AC29" s="1811">
        <f t="shared" si="5"/>
        <v>1</v>
      </c>
    </row>
    <row r="30" spans="1:29" ht="15" hidden="1">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6"/>
      <c r="Q30" s="1810">
        <f t="shared" si="11"/>
        <v>111</v>
      </c>
      <c r="R30" s="772" t="s">
        <v>17</v>
      </c>
      <c r="S30" s="773">
        <f t="shared" si="12"/>
        <v>100</v>
      </c>
      <c r="T30" s="772" t="s">
        <v>17</v>
      </c>
      <c r="U30" s="773">
        <f t="shared" si="13"/>
        <v>100</v>
      </c>
      <c r="V30" s="772" t="s">
        <v>17</v>
      </c>
      <c r="W30" s="773">
        <f t="shared" si="14"/>
        <v>100</v>
      </c>
      <c r="X30" s="1813"/>
      <c r="Y30" s="3218"/>
      <c r="Z30" s="1814">
        <f t="shared" si="15"/>
        <v>111</v>
      </c>
      <c r="AA30" s="1811">
        <f t="shared" si="3"/>
        <v>1</v>
      </c>
      <c r="AB30" s="1811">
        <f t="shared" si="4"/>
        <v>1</v>
      </c>
      <c r="AC30" s="1811">
        <f t="shared" si="5"/>
        <v>1</v>
      </c>
    </row>
    <row r="31" spans="1:29" ht="15.75" hidden="1"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6"/>
      <c r="Q31" s="1810">
        <f t="shared" si="11"/>
        <v>111</v>
      </c>
      <c r="R31" s="772" t="s">
        <v>17</v>
      </c>
      <c r="S31" s="773">
        <f t="shared" si="12"/>
        <v>100</v>
      </c>
      <c r="T31" s="772" t="s">
        <v>17</v>
      </c>
      <c r="U31" s="773">
        <f t="shared" si="13"/>
        <v>100</v>
      </c>
      <c r="V31" s="772" t="s">
        <v>17</v>
      </c>
      <c r="W31" s="773">
        <f t="shared" si="14"/>
        <v>100</v>
      </c>
      <c r="X31" s="1813"/>
      <c r="Y31" s="3218"/>
      <c r="Z31" s="1814">
        <f t="shared" si="15"/>
        <v>111</v>
      </c>
      <c r="AA31" s="1811">
        <f t="shared" si="3"/>
        <v>1</v>
      </c>
      <c r="AB31" s="1811">
        <f t="shared" si="4"/>
        <v>1</v>
      </c>
      <c r="AC31" s="1811">
        <f t="shared" si="5"/>
        <v>1</v>
      </c>
    </row>
    <row r="32" spans="1:29" ht="15">
      <c r="A32" s="439" t="s">
        <v>2550</v>
      </c>
      <c r="B32" s="70" t="s">
        <v>2647</v>
      </c>
      <c r="C32" s="2617" t="s">
        <v>3247</v>
      </c>
      <c r="D32" s="466">
        <v>100</v>
      </c>
      <c r="E32" s="2617" t="s">
        <v>3246</v>
      </c>
      <c r="F32" s="460">
        <f>SUMIF(100:100,E32,101:101)-SUMIF(100:100,C32,101:101)+100</f>
        <v>102</v>
      </c>
      <c r="G32" s="2617" t="s">
        <v>3246</v>
      </c>
      <c r="H32" s="434">
        <f>SUMIF(100:100,G32,101:101)-SUMIF(100:100,C32,101:101)+100</f>
        <v>102</v>
      </c>
      <c r="I32" s="2617" t="s">
        <v>3246</v>
      </c>
      <c r="J32" s="466">
        <f>SUMIF(100:100,I32,101:101)-SUMIF(100:100,C32,101:101)+100</f>
        <v>102</v>
      </c>
      <c r="K32" s="611">
        <v>2</v>
      </c>
      <c r="L32" s="1141"/>
      <c r="M32" s="1132"/>
      <c r="N32" s="1132"/>
      <c r="O32" s="1132"/>
      <c r="P32" s="3219" t="s">
        <v>2552</v>
      </c>
      <c r="Q32" s="1810" t="str">
        <f t="shared" si="11"/>
        <v>商业类型</v>
      </c>
      <c r="R32" s="772" t="s">
        <v>17</v>
      </c>
      <c r="S32" s="773">
        <f t="shared" si="12"/>
        <v>102</v>
      </c>
      <c r="T32" s="772" t="s">
        <v>17</v>
      </c>
      <c r="U32" s="773">
        <f t="shared" si="13"/>
        <v>102</v>
      </c>
      <c r="V32" s="772" t="s">
        <v>17</v>
      </c>
      <c r="W32" s="773">
        <f t="shared" si="14"/>
        <v>102</v>
      </c>
      <c r="X32" s="1813"/>
      <c r="Y32" s="3222" t="s">
        <v>2552</v>
      </c>
      <c r="Z32" s="1814" t="str">
        <f t="shared" si="15"/>
        <v>商业类型</v>
      </c>
      <c r="AA32" s="1811">
        <f t="shared" si="3"/>
        <v>0.98039215686274506</v>
      </c>
      <c r="AB32" s="1811">
        <f t="shared" si="4"/>
        <v>0.98039215686274506</v>
      </c>
      <c r="AC32" s="1811">
        <f t="shared" si="5"/>
        <v>0.98039215686274506</v>
      </c>
    </row>
    <row r="33" spans="1:29" s="470" customFormat="1" ht="15">
      <c r="A33" s="467"/>
      <c r="B33" s="421" t="s">
        <v>2553</v>
      </c>
      <c r="C33" s="468">
        <f>面积!E2</f>
        <v>357.29</v>
      </c>
      <c r="D33" s="135">
        <v>100</v>
      </c>
      <c r="E33" s="429">
        <v>290</v>
      </c>
      <c r="F33" s="424">
        <f>LOOKUP(E33,103:103,104:104)-LOOKUP(C33,103:103,104:104)+100</f>
        <v>100</v>
      </c>
      <c r="G33" s="428">
        <v>168</v>
      </c>
      <c r="H33" s="135">
        <f>LOOKUP(G33,103:103,104:104)-LOOKUP(C33,103:103,104:104)+100</f>
        <v>101</v>
      </c>
      <c r="I33" s="428">
        <v>223</v>
      </c>
      <c r="J33" s="135">
        <f>LOOKUP(I33,103:103,104:104)-LOOKUP(C33,103:103,104:104)+100</f>
        <v>100</v>
      </c>
      <c r="K33" s="612"/>
      <c r="L33" s="1139"/>
      <c r="M33" s="1142"/>
      <c r="N33" s="1142"/>
      <c r="O33" s="1142"/>
      <c r="P33" s="3220"/>
      <c r="Q33" s="774" t="str">
        <f t="shared" si="11"/>
        <v>项目建筑规模</v>
      </c>
      <c r="R33" s="775" t="s">
        <v>17</v>
      </c>
      <c r="S33" s="776">
        <f t="shared" si="12"/>
        <v>100</v>
      </c>
      <c r="T33" s="775" t="s">
        <v>17</v>
      </c>
      <c r="U33" s="776">
        <f t="shared" si="13"/>
        <v>101</v>
      </c>
      <c r="V33" s="775" t="s">
        <v>17</v>
      </c>
      <c r="W33" s="776">
        <f t="shared" si="14"/>
        <v>100</v>
      </c>
      <c r="X33" s="777"/>
      <c r="Y33" s="3222"/>
      <c r="Z33" s="778" t="str">
        <f t="shared" si="15"/>
        <v>项目建筑规模</v>
      </c>
      <c r="AA33" s="1811">
        <f t="shared" si="3"/>
        <v>1</v>
      </c>
      <c r="AB33" s="1811">
        <f t="shared" si="4"/>
        <v>0.99009900990099009</v>
      </c>
      <c r="AC33" s="1811">
        <f t="shared" si="5"/>
        <v>1</v>
      </c>
    </row>
    <row r="34" spans="1:29" ht="15">
      <c r="A34" s="471"/>
      <c r="B34" s="421" t="s">
        <v>2554</v>
      </c>
      <c r="C34" s="2619" t="s">
        <v>3136</v>
      </c>
      <c r="D34" s="434">
        <v>100</v>
      </c>
      <c r="E34" s="2619" t="s">
        <v>3136</v>
      </c>
      <c r="F34" s="460">
        <f>SUMIF(105:105,E34,106:106)-SUMIF(105:105,C34,106:106)+100</f>
        <v>100</v>
      </c>
      <c r="G34" s="2619" t="s">
        <v>3136</v>
      </c>
      <c r="H34" s="434">
        <f>SUMIF(105:105,G34,106:106)-SUMIF(105:105,C34,106:106)+100</f>
        <v>100</v>
      </c>
      <c r="I34" s="2619" t="s">
        <v>3136</v>
      </c>
      <c r="J34" s="434">
        <f>SUMIF(105:105,I34,106:106)-SUMIF(105:105,C34,106:106)+100</f>
        <v>100</v>
      </c>
      <c r="K34" s="611">
        <v>1</v>
      </c>
      <c r="L34" s="1141"/>
      <c r="M34" s="1132"/>
      <c r="N34" s="1132"/>
      <c r="O34" s="1132"/>
      <c r="P34" s="3220"/>
      <c r="Q34" s="1810" t="str">
        <f t="shared" si="11"/>
        <v>建筑结构</v>
      </c>
      <c r="R34" s="772" t="s">
        <v>17</v>
      </c>
      <c r="S34" s="773">
        <f t="shared" si="12"/>
        <v>100</v>
      </c>
      <c r="T34" s="772" t="s">
        <v>17</v>
      </c>
      <c r="U34" s="773">
        <f t="shared" si="13"/>
        <v>100</v>
      </c>
      <c r="V34" s="772" t="s">
        <v>17</v>
      </c>
      <c r="W34" s="773">
        <f t="shared" si="14"/>
        <v>100</v>
      </c>
      <c r="X34" s="1813"/>
      <c r="Y34" s="3222"/>
      <c r="Z34" s="1814" t="str">
        <f t="shared" si="15"/>
        <v>建筑结构</v>
      </c>
      <c r="AA34" s="1811">
        <f t="shared" si="3"/>
        <v>1</v>
      </c>
      <c r="AB34" s="1811">
        <f t="shared" si="4"/>
        <v>1</v>
      </c>
      <c r="AC34" s="1811">
        <f t="shared" si="5"/>
        <v>1</v>
      </c>
    </row>
    <row r="35" spans="1:29" ht="15">
      <c r="A35" s="471"/>
      <c r="B35" s="421" t="s">
        <v>2648</v>
      </c>
      <c r="C35" s="2613" t="s">
        <v>3163</v>
      </c>
      <c r="D35" s="434">
        <v>100</v>
      </c>
      <c r="E35" s="2613" t="s">
        <v>3163</v>
      </c>
      <c r="F35" s="460">
        <f>SUMIF(107:107,E35,108:108)-SUMIF(107:107,C35,108:108)+100</f>
        <v>100</v>
      </c>
      <c r="G35" s="2613" t="s">
        <v>3163</v>
      </c>
      <c r="H35" s="434">
        <f>SUMIF(107:107,G35,108:108)-SUMIF(107:107,C35,108:108)+100</f>
        <v>100</v>
      </c>
      <c r="I35" s="2613" t="s">
        <v>3163</v>
      </c>
      <c r="J35" s="434">
        <f>SUMIF(107:107,I35,108:108)-SUMIF(107:107,C35,108:108)+100</f>
        <v>100</v>
      </c>
      <c r="K35" s="611">
        <v>2</v>
      </c>
      <c r="L35" s="1141"/>
      <c r="M35" s="1132"/>
      <c r="N35" s="1132"/>
      <c r="O35" s="1132"/>
      <c r="P35" s="3220"/>
      <c r="Q35" s="1810" t="str">
        <f t="shared" si="11"/>
        <v>公共部分装修</v>
      </c>
      <c r="R35" s="772" t="s">
        <v>17</v>
      </c>
      <c r="S35" s="773">
        <f t="shared" si="12"/>
        <v>100</v>
      </c>
      <c r="T35" s="772" t="s">
        <v>17</v>
      </c>
      <c r="U35" s="773">
        <f t="shared" si="13"/>
        <v>100</v>
      </c>
      <c r="V35" s="772" t="s">
        <v>17</v>
      </c>
      <c r="W35" s="773">
        <f t="shared" si="14"/>
        <v>100</v>
      </c>
      <c r="X35" s="1813"/>
      <c r="Y35" s="3222"/>
      <c r="Z35" s="1814" t="str">
        <f t="shared" si="15"/>
        <v>公共部分装修</v>
      </c>
      <c r="AA35" s="1811">
        <f t="shared" si="3"/>
        <v>1</v>
      </c>
      <c r="AB35" s="1811">
        <f t="shared" si="4"/>
        <v>1</v>
      </c>
      <c r="AC35" s="1811">
        <f t="shared" si="5"/>
        <v>1</v>
      </c>
    </row>
    <row r="36" spans="1:29" ht="15">
      <c r="A36" s="471"/>
      <c r="B36" s="421" t="s">
        <v>2649</v>
      </c>
      <c r="C36" s="473">
        <f>'数据-取费表'!Y6</f>
        <v>0.84</v>
      </c>
      <c r="D36" s="434">
        <v>100</v>
      </c>
      <c r="E36" s="473">
        <f>ROUND(1-(2018-2016)/60,2)</f>
        <v>0.97</v>
      </c>
      <c r="F36" s="460">
        <f>LOOKUP(E36,110:110,111:111)-LOOKUP(C36,110:110,111:111)+100</f>
        <v>101</v>
      </c>
      <c r="G36" s="473">
        <f>ROUND(1-(2018-2016)/60,2)</f>
        <v>0.97</v>
      </c>
      <c r="H36" s="460">
        <f>LOOKUP(G36,110:110,111:111)-LOOKUP(C36,110:110,111:111)+100</f>
        <v>101</v>
      </c>
      <c r="I36" s="473">
        <f>ROUND(1-(2018-2016)/60,2)</f>
        <v>0.97</v>
      </c>
      <c r="J36" s="434">
        <f>LOOKUP(I36,110:110,111:111)-LOOKUP(C36,110:110,111:111)+100</f>
        <v>101</v>
      </c>
      <c r="K36" s="2990">
        <v>1</v>
      </c>
      <c r="L36" s="1141"/>
      <c r="M36" s="1132"/>
      <c r="N36" s="1132"/>
      <c r="O36" s="1132"/>
      <c r="P36" s="3220"/>
      <c r="Q36" s="1810" t="str">
        <f t="shared" si="11"/>
        <v>成新度</v>
      </c>
      <c r="R36" s="772" t="s">
        <v>17</v>
      </c>
      <c r="S36" s="773">
        <f t="shared" si="12"/>
        <v>101</v>
      </c>
      <c r="T36" s="772" t="s">
        <v>17</v>
      </c>
      <c r="U36" s="773">
        <f t="shared" si="13"/>
        <v>101</v>
      </c>
      <c r="V36" s="772" t="s">
        <v>17</v>
      </c>
      <c r="W36" s="773">
        <f t="shared" si="14"/>
        <v>101</v>
      </c>
      <c r="X36" s="1813"/>
      <c r="Y36" s="3222"/>
      <c r="Z36" s="1814" t="str">
        <f t="shared" si="15"/>
        <v>成新度</v>
      </c>
      <c r="AA36" s="1811">
        <f t="shared" si="3"/>
        <v>0.99009900990099009</v>
      </c>
      <c r="AB36" s="1811">
        <f t="shared" si="4"/>
        <v>0.99009900990099009</v>
      </c>
      <c r="AC36" s="1811">
        <f t="shared" si="5"/>
        <v>0.99009900990099009</v>
      </c>
    </row>
    <row r="37" spans="1:29" s="116" customFormat="1" ht="15">
      <c r="A37" s="472"/>
      <c r="B37" s="421" t="s">
        <v>2650</v>
      </c>
      <c r="C37" s="2613" t="s">
        <v>3148</v>
      </c>
      <c r="D37" s="135">
        <v>100</v>
      </c>
      <c r="E37" s="2613" t="s">
        <v>3148</v>
      </c>
      <c r="F37" s="460">
        <f>SUMIF(112:112,E37,113:113)-SUMIF(112:112,C37,113:113)+100</f>
        <v>100</v>
      </c>
      <c r="G37" s="2613" t="s">
        <v>3148</v>
      </c>
      <c r="H37" s="434">
        <f>SUMIF(112:112,G37,113:113)-SUMIF(112:112,C37,113:113)+100</f>
        <v>100</v>
      </c>
      <c r="I37" s="2613" t="s">
        <v>3148</v>
      </c>
      <c r="J37" s="434">
        <f>SUMIF(112:112,I37,113:113)-SUMIF(112:112,C37,113:113)+100</f>
        <v>100</v>
      </c>
      <c r="K37" s="611">
        <v>1</v>
      </c>
      <c r="L37" s="1133"/>
      <c r="M37" s="1134"/>
      <c r="N37" s="1134"/>
      <c r="O37" s="1134"/>
      <c r="P37" s="3220"/>
      <c r="Q37" s="1795" t="str">
        <f t="shared" si="11"/>
        <v>市政基础设施</v>
      </c>
      <c r="R37" s="768" t="s">
        <v>17</v>
      </c>
      <c r="S37" s="769">
        <f t="shared" si="12"/>
        <v>100</v>
      </c>
      <c r="T37" s="768" t="s">
        <v>17</v>
      </c>
      <c r="U37" s="769">
        <f t="shared" si="13"/>
        <v>100</v>
      </c>
      <c r="V37" s="768" t="s">
        <v>17</v>
      </c>
      <c r="W37" s="769">
        <f t="shared" si="14"/>
        <v>100</v>
      </c>
      <c r="X37" s="770"/>
      <c r="Y37" s="3222"/>
      <c r="Z37" s="54" t="str">
        <f t="shared" si="15"/>
        <v>市政基础设施</v>
      </c>
      <c r="AA37" s="771">
        <f t="shared" si="3"/>
        <v>1</v>
      </c>
      <c r="AB37" s="771">
        <f t="shared" si="4"/>
        <v>1</v>
      </c>
      <c r="AC37" s="771">
        <f t="shared" si="5"/>
        <v>1</v>
      </c>
    </row>
    <row r="38" spans="1:29" ht="15">
      <c r="A38" s="471"/>
      <c r="B38" s="421" t="s">
        <v>2651</v>
      </c>
      <c r="C38" s="2613" t="s">
        <v>3172</v>
      </c>
      <c r="D38" s="434">
        <v>100</v>
      </c>
      <c r="E38" s="2613" t="s">
        <v>3172</v>
      </c>
      <c r="F38" s="460">
        <f>SUMIF(114:114,E38,115:115)-SUMIF(114:114,C38,115:115)+100</f>
        <v>100</v>
      </c>
      <c r="G38" s="2613" t="s">
        <v>3172</v>
      </c>
      <c r="H38" s="434">
        <f>SUMIF(114:114,G38,115:115)-SUMIF(114:114,C38,115:115)+100</f>
        <v>100</v>
      </c>
      <c r="I38" s="2613" t="s">
        <v>3172</v>
      </c>
      <c r="J38" s="434">
        <f>SUMIF(114:114,I38,115:115)-SUMIF(114:114,C38,115:115)+100</f>
        <v>100</v>
      </c>
      <c r="K38" s="611">
        <v>5</v>
      </c>
      <c r="L38" s="1141"/>
      <c r="M38" s="1132"/>
      <c r="N38" s="1132"/>
      <c r="O38" s="1132"/>
      <c r="P38" s="3220" t="s">
        <v>2552</v>
      </c>
      <c r="Q38" s="1810" t="str">
        <f t="shared" si="11"/>
        <v>业态</v>
      </c>
      <c r="R38" s="772" t="s">
        <v>17</v>
      </c>
      <c r="S38" s="773">
        <f t="shared" si="12"/>
        <v>100</v>
      </c>
      <c r="T38" s="772" t="s">
        <v>17</v>
      </c>
      <c r="U38" s="773">
        <f t="shared" si="13"/>
        <v>100</v>
      </c>
      <c r="V38" s="772" t="s">
        <v>17</v>
      </c>
      <c r="W38" s="773">
        <f t="shared" si="14"/>
        <v>100</v>
      </c>
      <c r="X38" s="1813"/>
      <c r="Y38" s="3222" t="s">
        <v>2552</v>
      </c>
      <c r="Z38" s="1814" t="str">
        <f t="shared" si="15"/>
        <v>业态</v>
      </c>
      <c r="AA38" s="1811">
        <f t="shared" si="3"/>
        <v>1</v>
      </c>
      <c r="AB38" s="1811">
        <f t="shared" si="4"/>
        <v>1</v>
      </c>
      <c r="AC38" s="1811">
        <f t="shared" si="5"/>
        <v>1</v>
      </c>
    </row>
    <row r="39" spans="1:29" ht="15">
      <c r="A39" s="471"/>
      <c r="B39" s="421" t="s">
        <v>2652</v>
      </c>
      <c r="C39" s="2613" t="s">
        <v>3175</v>
      </c>
      <c r="D39" s="434">
        <v>100</v>
      </c>
      <c r="E39" s="2613" t="s">
        <v>3175</v>
      </c>
      <c r="F39" s="460">
        <f>SUMIF(116:116,E39,117:117)-SUMIF(116:116,C39,117:117)+100</f>
        <v>100</v>
      </c>
      <c r="G39" s="2613" t="s">
        <v>3175</v>
      </c>
      <c r="H39" s="434">
        <f>SUMIF(116:116,G39,117:117)-SUMIF(116:116,C39,117:117)+100</f>
        <v>100</v>
      </c>
      <c r="I39" s="2613" t="s">
        <v>3175</v>
      </c>
      <c r="J39" s="434">
        <f>SUMIF(116:116,I39,117:117)-SUMIF(116:116,C39,117:117)+100</f>
        <v>100</v>
      </c>
      <c r="K39" s="611">
        <v>5</v>
      </c>
      <c r="L39" s="1141"/>
      <c r="M39" s="1132"/>
      <c r="N39" s="1132"/>
      <c r="O39" s="1132"/>
      <c r="P39" s="3220"/>
      <c r="Q39" s="1810" t="str">
        <f t="shared" si="11"/>
        <v>层高</v>
      </c>
      <c r="R39" s="772" t="s">
        <v>17</v>
      </c>
      <c r="S39" s="773">
        <f t="shared" si="12"/>
        <v>100</v>
      </c>
      <c r="T39" s="772" t="s">
        <v>17</v>
      </c>
      <c r="U39" s="773">
        <f t="shared" si="13"/>
        <v>100</v>
      </c>
      <c r="V39" s="772" t="s">
        <v>17</v>
      </c>
      <c r="W39" s="773">
        <f t="shared" si="14"/>
        <v>100</v>
      </c>
      <c r="X39" s="1813"/>
      <c r="Y39" s="3222"/>
      <c r="Z39" s="1814" t="str">
        <f t="shared" si="15"/>
        <v>层高</v>
      </c>
      <c r="AA39" s="1811">
        <f t="shared" si="3"/>
        <v>1</v>
      </c>
      <c r="AB39" s="1811">
        <f t="shared" si="4"/>
        <v>1</v>
      </c>
      <c r="AC39" s="1811">
        <f t="shared" si="5"/>
        <v>1</v>
      </c>
    </row>
    <row r="40" spans="1:29" ht="15" hidden="1">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0"/>
      <c r="Q40" s="1810" t="str">
        <f t="shared" si="11"/>
        <v>单套建筑面积</v>
      </c>
      <c r="R40" s="772" t="s">
        <v>17</v>
      </c>
      <c r="S40" s="773">
        <f t="shared" si="12"/>
        <v>100</v>
      </c>
      <c r="T40" s="772" t="s">
        <v>17</v>
      </c>
      <c r="U40" s="773">
        <f t="shared" si="13"/>
        <v>100</v>
      </c>
      <c r="V40" s="772" t="s">
        <v>17</v>
      </c>
      <c r="W40" s="773">
        <f t="shared" si="14"/>
        <v>100</v>
      </c>
      <c r="X40" s="1813"/>
      <c r="Y40" s="3222"/>
      <c r="Z40" s="1814" t="str">
        <f t="shared" si="15"/>
        <v>单套建筑面积</v>
      </c>
      <c r="AA40" s="1811">
        <f t="shared" si="3"/>
        <v>1</v>
      </c>
      <c r="AB40" s="1811">
        <f t="shared" si="4"/>
        <v>1</v>
      </c>
      <c r="AC40" s="1811">
        <f t="shared" si="5"/>
        <v>1</v>
      </c>
    </row>
    <row r="41" spans="1:29" s="470" customFormat="1" ht="15">
      <c r="A41" s="467"/>
      <c r="B41" s="1812" t="s">
        <v>2654</v>
      </c>
      <c r="C41" s="615" t="s">
        <v>3180</v>
      </c>
      <c r="D41" s="434">
        <v>100</v>
      </c>
      <c r="E41" s="615" t="s">
        <v>3180</v>
      </c>
      <c r="F41" s="460">
        <f>SUMIF(120:120,E41,121:121)-SUMIF(120:120,C41,121:121)+100</f>
        <v>100</v>
      </c>
      <c r="G41" s="615" t="s">
        <v>3180</v>
      </c>
      <c r="H41" s="434">
        <f>SUMIF(120:120,G41,121:121)-SUMIF(120:120,C41,121:121)+100</f>
        <v>100</v>
      </c>
      <c r="I41" s="615" t="s">
        <v>3180</v>
      </c>
      <c r="J41" s="434">
        <f>SUMIF(120:120,I41,121:121)-SUMIF(120:120,C41,121:121)+100</f>
        <v>100</v>
      </c>
      <c r="K41" s="611">
        <v>1</v>
      </c>
      <c r="L41" s="1139"/>
      <c r="M41" s="1142"/>
      <c r="N41" s="1142"/>
      <c r="O41" s="1142"/>
      <c r="P41" s="3220"/>
      <c r="Q41" s="774" t="str">
        <f t="shared" si="11"/>
        <v>进深比</v>
      </c>
      <c r="R41" s="775" t="s">
        <v>17</v>
      </c>
      <c r="S41" s="776">
        <f t="shared" si="12"/>
        <v>100</v>
      </c>
      <c r="T41" s="775" t="s">
        <v>17</v>
      </c>
      <c r="U41" s="776">
        <f t="shared" si="13"/>
        <v>100</v>
      </c>
      <c r="V41" s="775" t="s">
        <v>17</v>
      </c>
      <c r="W41" s="776">
        <f t="shared" si="14"/>
        <v>100</v>
      </c>
      <c r="X41" s="777"/>
      <c r="Y41" s="3222"/>
      <c r="Z41" s="778" t="str">
        <f t="shared" si="15"/>
        <v>进深比</v>
      </c>
      <c r="AA41" s="1811">
        <f t="shared" si="3"/>
        <v>1</v>
      </c>
      <c r="AB41" s="1811">
        <f t="shared" si="4"/>
        <v>1</v>
      </c>
      <c r="AC41" s="1811">
        <f t="shared" si="5"/>
        <v>1</v>
      </c>
    </row>
    <row r="42" spans="1:29" ht="15">
      <c r="A42" s="471"/>
      <c r="B42" s="421" t="s">
        <v>2655</v>
      </c>
      <c r="C42" s="2613" t="s">
        <v>3198</v>
      </c>
      <c r="D42" s="434">
        <v>100</v>
      </c>
      <c r="E42" s="2613" t="s">
        <v>3198</v>
      </c>
      <c r="F42" s="460">
        <f>SUMIF(122:122,E42,123:123)-SUMIF(122:122,C42,123:123)+100</f>
        <v>100</v>
      </c>
      <c r="G42" s="2613" t="s">
        <v>3198</v>
      </c>
      <c r="H42" s="434">
        <f>SUMIF(122:122,G42,123:123)-SUMIF(122:122,C42,123:123)+100</f>
        <v>100</v>
      </c>
      <c r="I42" s="2613" t="s">
        <v>3198</v>
      </c>
      <c r="J42" s="434">
        <f>SUMIF(122:122,I42,123:123)-SUMIF(122:122,C42,123:123)+100</f>
        <v>100</v>
      </c>
      <c r="K42" s="611">
        <v>1</v>
      </c>
      <c r="L42" s="1141"/>
      <c r="M42" s="1132"/>
      <c r="N42" s="1132"/>
      <c r="O42" s="1132"/>
      <c r="P42" s="3220"/>
      <c r="Q42" s="1810" t="str">
        <f t="shared" si="11"/>
        <v>内部装修</v>
      </c>
      <c r="R42" s="772" t="s">
        <v>17</v>
      </c>
      <c r="S42" s="773">
        <f t="shared" si="12"/>
        <v>100</v>
      </c>
      <c r="T42" s="772" t="s">
        <v>17</v>
      </c>
      <c r="U42" s="773">
        <f t="shared" si="13"/>
        <v>100</v>
      </c>
      <c r="V42" s="772" t="s">
        <v>17</v>
      </c>
      <c r="W42" s="773">
        <f t="shared" si="14"/>
        <v>100</v>
      </c>
      <c r="X42" s="1813"/>
      <c r="Y42" s="3222"/>
      <c r="Z42" s="1814" t="str">
        <f t="shared" si="15"/>
        <v>内部装修</v>
      </c>
      <c r="AA42" s="1811">
        <f t="shared" si="3"/>
        <v>1</v>
      </c>
      <c r="AB42" s="1811">
        <f t="shared" si="4"/>
        <v>1</v>
      </c>
      <c r="AC42" s="1811">
        <f t="shared" si="5"/>
        <v>1</v>
      </c>
    </row>
    <row r="43" spans="1:29" ht="15.75" thickBot="1">
      <c r="A43" s="471"/>
      <c r="B43" s="421" t="s">
        <v>2563</v>
      </c>
      <c r="C43" s="2613" t="s">
        <v>3147</v>
      </c>
      <c r="D43" s="434">
        <v>100</v>
      </c>
      <c r="E43" s="2613" t="s">
        <v>3147</v>
      </c>
      <c r="F43" s="460">
        <f>SUMIF(124:124,E43,125:125)-SUMIF(124:124,C43,125:125)+100</f>
        <v>100</v>
      </c>
      <c r="G43" s="2613" t="s">
        <v>3147</v>
      </c>
      <c r="H43" s="434">
        <f>SUMIF(124:124,G43,125:125)-SUMIF(124:124,C43,125:125)+100</f>
        <v>100</v>
      </c>
      <c r="I43" s="2613" t="s">
        <v>3147</v>
      </c>
      <c r="J43" s="434">
        <f>SUMIF(124:124,I43,125:125)-SUMIF(124:124,C43,125:125)+100</f>
        <v>100</v>
      </c>
      <c r="K43" s="611">
        <v>1</v>
      </c>
      <c r="L43" s="1141"/>
      <c r="M43" s="1132"/>
      <c r="N43" s="1132"/>
      <c r="O43" s="1132"/>
      <c r="P43" s="3220"/>
      <c r="Q43" s="1810" t="str">
        <f t="shared" si="11"/>
        <v>内部装修维护情况</v>
      </c>
      <c r="R43" s="772" t="s">
        <v>17</v>
      </c>
      <c r="S43" s="773">
        <f t="shared" si="12"/>
        <v>100</v>
      </c>
      <c r="T43" s="772" t="s">
        <v>17</v>
      </c>
      <c r="U43" s="773">
        <f t="shared" si="13"/>
        <v>100</v>
      </c>
      <c r="V43" s="772" t="s">
        <v>17</v>
      </c>
      <c r="W43" s="773">
        <f t="shared" si="14"/>
        <v>100</v>
      </c>
      <c r="X43" s="1813"/>
      <c r="Y43" s="3222"/>
      <c r="Z43" s="1814" t="str">
        <f t="shared" si="15"/>
        <v>内部装修维护情况</v>
      </c>
      <c r="AA43" s="1811">
        <f t="shared" si="3"/>
        <v>1</v>
      </c>
      <c r="AB43" s="1811">
        <f t="shared" si="4"/>
        <v>1</v>
      </c>
      <c r="AC43" s="1811">
        <f t="shared" si="5"/>
        <v>1</v>
      </c>
    </row>
    <row r="44" spans="1:29" s="116" customFormat="1" ht="15" hidden="1">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0"/>
      <c r="Q44" s="1795">
        <f t="shared" si="11"/>
        <v>111</v>
      </c>
      <c r="R44" s="768" t="s">
        <v>17</v>
      </c>
      <c r="S44" s="769">
        <f t="shared" si="12"/>
        <v>100</v>
      </c>
      <c r="T44" s="768" t="s">
        <v>17</v>
      </c>
      <c r="U44" s="769">
        <f t="shared" si="13"/>
        <v>100</v>
      </c>
      <c r="V44" s="768" t="s">
        <v>17</v>
      </c>
      <c r="W44" s="769">
        <f t="shared" si="14"/>
        <v>100</v>
      </c>
      <c r="X44" s="770"/>
      <c r="Y44" s="3222"/>
      <c r="Z44" s="54">
        <f t="shared" si="15"/>
        <v>111</v>
      </c>
      <c r="AA44" s="771">
        <f t="shared" si="3"/>
        <v>1</v>
      </c>
      <c r="AB44" s="771">
        <f t="shared" si="4"/>
        <v>1</v>
      </c>
      <c r="AC44" s="771">
        <f t="shared" si="5"/>
        <v>1</v>
      </c>
    </row>
    <row r="45" spans="1:29" ht="15" hidden="1">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0"/>
      <c r="Q45" s="1810">
        <f t="shared" si="11"/>
        <v>111</v>
      </c>
      <c r="R45" s="772" t="s">
        <v>17</v>
      </c>
      <c r="S45" s="773">
        <f t="shared" si="12"/>
        <v>100</v>
      </c>
      <c r="T45" s="772" t="s">
        <v>17</v>
      </c>
      <c r="U45" s="773">
        <f t="shared" si="13"/>
        <v>100</v>
      </c>
      <c r="V45" s="772" t="s">
        <v>17</v>
      </c>
      <c r="W45" s="773">
        <f t="shared" si="14"/>
        <v>100</v>
      </c>
      <c r="X45" s="1813"/>
      <c r="Y45" s="3222"/>
      <c r="Z45" s="1814">
        <f t="shared" si="15"/>
        <v>111</v>
      </c>
      <c r="AA45" s="1811">
        <f t="shared" si="3"/>
        <v>1</v>
      </c>
      <c r="AB45" s="1811">
        <f t="shared" si="4"/>
        <v>1</v>
      </c>
      <c r="AC45" s="1811">
        <f t="shared" si="5"/>
        <v>1</v>
      </c>
    </row>
    <row r="46" spans="1:29" ht="15.75" hidden="1"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1"/>
      <c r="Q46" s="1810">
        <f t="shared" si="11"/>
        <v>111</v>
      </c>
      <c r="R46" s="772" t="s">
        <v>17</v>
      </c>
      <c r="S46" s="773">
        <f t="shared" si="12"/>
        <v>100</v>
      </c>
      <c r="T46" s="772" t="s">
        <v>17</v>
      </c>
      <c r="U46" s="773">
        <f t="shared" si="13"/>
        <v>100</v>
      </c>
      <c r="V46" s="772" t="s">
        <v>17</v>
      </c>
      <c r="W46" s="773">
        <f t="shared" si="14"/>
        <v>100</v>
      </c>
      <c r="X46" s="1813"/>
      <c r="Y46" s="3223"/>
      <c r="Z46" s="1814">
        <f t="shared" si="15"/>
        <v>111</v>
      </c>
      <c r="AA46" s="1811">
        <f t="shared" si="3"/>
        <v>1</v>
      </c>
      <c r="AB46" s="1811">
        <f t="shared" si="4"/>
        <v>1</v>
      </c>
      <c r="AC46" s="1811">
        <f t="shared" si="5"/>
        <v>1</v>
      </c>
    </row>
    <row r="47" spans="1:29" ht="15">
      <c r="A47" s="478" t="s">
        <v>2564</v>
      </c>
      <c r="B47" s="479"/>
      <c r="C47" s="1408" t="s">
        <v>1</v>
      </c>
      <c r="D47" s="1409"/>
      <c r="E47" s="1410">
        <v>51724</v>
      </c>
      <c r="F47" s="1411"/>
      <c r="G47" s="1412">
        <v>51548</v>
      </c>
      <c r="H47" s="1413"/>
      <c r="I47" s="1410">
        <v>51579</v>
      </c>
      <c r="J47" s="1413"/>
      <c r="K47" s="781"/>
      <c r="L47" s="1144"/>
      <c r="M47" s="1145"/>
      <c r="N47" s="1132"/>
      <c r="O47" s="1145"/>
      <c r="P47" s="3210" t="str">
        <f>A47</f>
        <v>成交单价（元/平方米）</v>
      </c>
      <c r="Q47" s="3210"/>
      <c r="R47" s="3224">
        <f>E47</f>
        <v>51724</v>
      </c>
      <c r="S47" s="3224"/>
      <c r="T47" s="3224">
        <f>G47</f>
        <v>51548</v>
      </c>
      <c r="U47" s="3224"/>
      <c r="V47" s="3224">
        <f>I47</f>
        <v>51579</v>
      </c>
      <c r="W47" s="3224"/>
      <c r="X47" s="757"/>
      <c r="Y47" s="779"/>
      <c r="Z47" s="757"/>
      <c r="AA47" s="757"/>
      <c r="AB47" s="757"/>
      <c r="AC47" s="757"/>
    </row>
    <row r="48" spans="1:29" ht="15.75" thickBot="1">
      <c r="A48" s="485" t="s">
        <v>2656</v>
      </c>
      <c r="B48" s="486"/>
      <c r="C48" s="1414">
        <f>R49</f>
        <v>47054</v>
      </c>
      <c r="D48" s="1415"/>
      <c r="E48" s="1416">
        <f>R48</f>
        <v>47307</v>
      </c>
      <c r="F48" s="1416"/>
      <c r="G48" s="1414">
        <f>T48</f>
        <v>46679</v>
      </c>
      <c r="H48" s="1415"/>
      <c r="I48" s="1416">
        <f>V48</f>
        <v>47175</v>
      </c>
      <c r="J48" s="1415"/>
      <c r="K48" s="782"/>
      <c r="L48" s="1144"/>
      <c r="M48" s="1145"/>
      <c r="N48" s="1132"/>
      <c r="O48" s="1145"/>
      <c r="P48" s="3210" t="str">
        <f>A48</f>
        <v>比较价值（元/平方米）</v>
      </c>
      <c r="Q48" s="3210"/>
      <c r="R48" s="3211">
        <f>IF(F1="售价",ROUND(PRODUCT(R47,AA7:AA46),0),ROUND(PRODUCT(R47,AA7:AA46),1))</f>
        <v>47307</v>
      </c>
      <c r="S48" s="3211"/>
      <c r="T48" s="3211">
        <f>IF(F1="售价",ROUND(PRODUCT(T47,AB7:AB46),0),ROUND(PRODUCT(T47,AB7:AB46),1))</f>
        <v>46679</v>
      </c>
      <c r="U48" s="3211"/>
      <c r="V48" s="3211">
        <f>IF(F1="售价",ROUND(PRODUCT(V47,AC7:AC46),0),ROUND(PRODUCT(V47,AC7:AC46),1))</f>
        <v>47175</v>
      </c>
      <c r="W48" s="3211"/>
      <c r="X48" s="757"/>
      <c r="Y48" s="757"/>
      <c r="Z48" s="757"/>
      <c r="AA48" s="757"/>
      <c r="AB48" s="757"/>
      <c r="AC48" s="757"/>
    </row>
    <row r="49" spans="1:29" ht="15.75" thickBot="1">
      <c r="A49" s="491" t="s">
        <v>2657</v>
      </c>
      <c r="B49" s="492"/>
      <c r="C49" s="1418">
        <f>R49</f>
        <v>47054</v>
      </c>
      <c r="D49" s="1418"/>
      <c r="E49" s="1418"/>
      <c r="F49" s="1418"/>
      <c r="G49" s="1418"/>
      <c r="H49" s="1418"/>
      <c r="I49" s="1418"/>
      <c r="J49" s="1418"/>
      <c r="K49" s="783"/>
      <c r="L49" s="1144"/>
      <c r="M49" s="1145"/>
      <c r="N49" s="1132"/>
      <c r="O49" s="1145"/>
      <c r="P49" s="3212" t="str">
        <f>A49</f>
        <v>估价对象XX用房的比较价值（楼面单价，元/平方米）</v>
      </c>
      <c r="Q49" s="3213"/>
      <c r="R49" s="3214">
        <f>IF(F1="售价",ROUND(AVERAGE(R48:V48),0),ROUND(AVERAGE(R48:V48),1))</f>
        <v>47054</v>
      </c>
      <c r="S49" s="3214"/>
      <c r="T49" s="3214"/>
      <c r="U49" s="3214"/>
      <c r="V49" s="3214"/>
      <c r="W49" s="321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2658</v>
      </c>
      <c r="D52" s="497"/>
      <c r="E52" s="498">
        <f>IF(E47&lt;E48,E48/E47-1,E47/E48-1)</f>
        <v>9.3368846048153653E-2</v>
      </c>
      <c r="F52" s="499" t="str">
        <f>IF(OR(E52&gt;=0.3,E52&lt;=-0.3),"超过30%","")</f>
        <v/>
      </c>
      <c r="G52" s="498">
        <f>IF(G47&lt;G48,G48/G47-1,G47/G48-1)</f>
        <v>0.10430814713254355</v>
      </c>
      <c r="H52" s="499" t="str">
        <f>IF(OR(G52&gt;=0.3,G52&lt;=-0.3),"超过30%","")</f>
        <v/>
      </c>
      <c r="I52" s="498">
        <f>IF(I47&lt;I48,I48/I47-1,I47/I48-1)</f>
        <v>9.3354531001589747E-2</v>
      </c>
      <c r="J52" s="499" t="str">
        <f>IF(OR(I52&gt;=0.3,I52&lt;=-0.3),"超过30%","")</f>
        <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2659</v>
      </c>
      <c r="D53" s="500"/>
      <c r="E53" s="498">
        <f>IF(E48&lt;G48,G48/E48-1,E48/G48-1)</f>
        <v>1.3453587266222478E-2</v>
      </c>
      <c r="F53" s="499" t="str">
        <f>IF(OR(E53&gt;=0.2,E53&lt;=-0.2),"超过20%","")</f>
        <v/>
      </c>
      <c r="G53" s="498">
        <f>IF(G48&lt;I48,I48/G48-1,G48/I48-1)</f>
        <v>1.0625763191156601E-2</v>
      </c>
      <c r="H53" s="499" t="str">
        <f>IF(OR(G53&gt;=0.2,G53&lt;=-0.2),"超过20%","")</f>
        <v/>
      </c>
      <c r="I53" s="498">
        <f>IF(I48&lt;E48,E48/I48-1,I48/E48-1)</f>
        <v>2.7980922098569394E-3</v>
      </c>
      <c r="J53" s="499" t="str">
        <f>IF(OR(I53&gt;=0.2,I53&lt;=-0.2),"超过20%","")</f>
        <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2660</v>
      </c>
      <c r="D54" s="500"/>
      <c r="E54" s="498">
        <f>IF(E47&lt;G47,G47/E47-1,E47/G47-1)</f>
        <v>3.4142934740435393E-3</v>
      </c>
      <c r="F54" s="499" t="str">
        <f>IF(OR(E54&gt;=0.3,E54&lt;=-0.3),"超过30%","")</f>
        <v/>
      </c>
      <c r="G54" s="498">
        <f>IF(G47&lt;I47,I47/G47-1,G47/I47-1)</f>
        <v>6.0138123690545164E-4</v>
      </c>
      <c r="H54" s="499" t="str">
        <f>IF(OR(G54&gt;=0.3,G54&lt;=-0.3),"超过30%","")</f>
        <v/>
      </c>
      <c r="I54" s="498">
        <f>IF(I47&lt;E47,E47/I47-1,I47/E47-1)</f>
        <v>2.8112216212023977E-3</v>
      </c>
      <c r="J54" s="499" t="str">
        <f>IF(OR(I54&gt;=0.3,I54&lt;=-0.3),"超过30%","")</f>
        <v/>
      </c>
      <c r="K54" s="1149"/>
      <c r="L54" s="1150"/>
      <c r="M54" s="1146"/>
      <c r="N54" s="1146"/>
      <c r="O54" s="1146"/>
      <c r="P54" s="2666"/>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6"/>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62"/>
      <c r="M57" s="1160"/>
      <c r="N57" s="1160"/>
      <c r="O57" s="1160"/>
      <c r="P57" s="2667"/>
      <c r="Q57" s="2668"/>
      <c r="R57" s="757"/>
      <c r="S57" s="757"/>
      <c r="T57" s="757"/>
      <c r="U57" s="757"/>
      <c r="V57" s="757"/>
      <c r="W57" s="757"/>
      <c r="X57" s="757"/>
      <c r="Y57" s="757"/>
      <c r="Z57" s="757"/>
      <c r="AA57" s="757"/>
      <c r="AB57" s="757"/>
      <c r="AC57" s="757"/>
    </row>
    <row r="58" spans="1:29" s="507" customFormat="1" ht="15">
      <c r="A58" s="504" t="s">
        <v>2535</v>
      </c>
      <c r="B58" s="505"/>
      <c r="C58" s="1575" t="str">
        <f>YEAR(C7)&amp;"-"&amp;MONTH(C7)</f>
        <v>2018-9</v>
      </c>
      <c r="D58" s="1576">
        <f>EDATE(C58,-1)</f>
        <v>43313</v>
      </c>
      <c r="E58" s="1576">
        <f t="shared" ref="E58:N58" si="16">EDATE(D58,-1)</f>
        <v>43282</v>
      </c>
      <c r="F58" s="1576">
        <f t="shared" si="16"/>
        <v>43252</v>
      </c>
      <c r="G58" s="1576">
        <f t="shared" si="16"/>
        <v>43221</v>
      </c>
      <c r="H58" s="1576">
        <f t="shared" si="16"/>
        <v>43191</v>
      </c>
      <c r="I58" s="1576">
        <f t="shared" si="16"/>
        <v>43160</v>
      </c>
      <c r="J58" s="1576">
        <f t="shared" si="16"/>
        <v>43132</v>
      </c>
      <c r="K58" s="1576">
        <f t="shared" si="16"/>
        <v>43101</v>
      </c>
      <c r="L58" s="1576">
        <f t="shared" si="16"/>
        <v>43070</v>
      </c>
      <c r="M58" s="1576">
        <f t="shared" si="16"/>
        <v>43040</v>
      </c>
      <c r="N58" s="1576">
        <f t="shared" si="16"/>
        <v>43009</v>
      </c>
      <c r="O58" s="1576">
        <f>EDATE(N58,-1)</f>
        <v>42979</v>
      </c>
      <c r="P58" s="1571"/>
    </row>
    <row r="59" spans="1:29" s="116" customFormat="1" ht="15">
      <c r="A59" s="508"/>
      <c r="B59" s="509"/>
      <c r="C59" s="1574">
        <v>100</v>
      </c>
      <c r="D59" s="511">
        <v>100</v>
      </c>
      <c r="E59" s="511">
        <v>99</v>
      </c>
      <c r="F59" s="511">
        <v>99</v>
      </c>
      <c r="G59" s="511">
        <v>98</v>
      </c>
      <c r="H59" s="511">
        <v>98</v>
      </c>
      <c r="I59" s="511">
        <v>97</v>
      </c>
      <c r="J59" s="511">
        <v>97</v>
      </c>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2537</v>
      </c>
      <c r="B61" s="509"/>
      <c r="C61" s="521" t="s">
        <v>2639</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t="str">
        <f>C9</f>
        <v>商业</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4"/>
      <c r="O66" s="1154"/>
      <c r="P66" s="2630"/>
      <c r="Q66" s="503"/>
    </row>
    <row r="67" spans="1:17" ht="15.75" thickTop="1">
      <c r="A67" s="533"/>
      <c r="B67" s="545" t="s">
        <v>2545</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0"/>
      <c r="Q67" s="503"/>
    </row>
    <row r="68" spans="1:17" ht="15">
      <c r="A68" s="533"/>
      <c r="B68" s="547"/>
      <c r="C68" s="548">
        <v>0</v>
      </c>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0"/>
      <c r="Q69" s="503"/>
    </row>
    <row r="70" spans="1:17" s="470" customFormat="1" ht="15.75" thickTop="1">
      <c r="A70" s="552"/>
      <c r="B70" s="537">
        <f>B12</f>
        <v>0</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0</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35"/>
      <c r="E73" s="535"/>
      <c r="F73" s="535"/>
      <c r="G73" s="559"/>
      <c r="H73" s="561"/>
      <c r="I73" s="561"/>
      <c r="J73" s="561"/>
      <c r="K73" s="561"/>
      <c r="L73" s="561"/>
      <c r="M73" s="562"/>
      <c r="N73" s="1155"/>
      <c r="O73" s="1155"/>
      <c r="P73" s="2631"/>
      <c r="Q73" s="558"/>
    </row>
    <row r="74" spans="1:17" s="470" customFormat="1" ht="15.75" thickTop="1">
      <c r="A74" s="552"/>
      <c r="B74" s="545">
        <f>B14</f>
        <v>0</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4"/>
      <c r="O81" s="1154"/>
      <c r="P81" s="2630"/>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3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30"/>
      <c r="Q85" s="503"/>
    </row>
    <row r="86" spans="1:17" s="116" customFormat="1" ht="15.75" thickTop="1">
      <c r="A86" s="578"/>
      <c r="B86" s="537" t="s">
        <v>2667</v>
      </c>
      <c r="C86" s="2971" t="s">
        <v>3149</v>
      </c>
      <c r="D86" s="2971" t="s">
        <v>3150</v>
      </c>
      <c r="E86" s="2971" t="s">
        <v>3152</v>
      </c>
      <c r="F86" s="2971" t="s">
        <v>3153</v>
      </c>
      <c r="G86" s="553"/>
      <c r="H86" s="553"/>
      <c r="I86" s="553"/>
      <c r="J86" s="553"/>
      <c r="K86" s="553"/>
      <c r="L86" s="579"/>
      <c r="M86" s="580"/>
      <c r="N86" s="1152"/>
      <c r="O86" s="1152"/>
      <c r="P86" s="2630"/>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4"/>
      <c r="O87" s="1154"/>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2"/>
      <c r="O88" s="1152"/>
      <c r="P88" s="2630"/>
      <c r="Q88" s="503"/>
    </row>
    <row r="89" spans="1:17" s="116" customFormat="1" ht="15.75" thickBot="1">
      <c r="A89" s="578"/>
      <c r="B89" s="542"/>
      <c r="C89" s="559"/>
      <c r="D89" s="535"/>
      <c r="E89" s="535"/>
      <c r="F89" s="535"/>
      <c r="G89" s="535"/>
      <c r="H89" s="535"/>
      <c r="I89" s="535"/>
      <c r="J89" s="535"/>
      <c r="K89" s="535"/>
      <c r="L89" s="535"/>
      <c r="M89" s="535"/>
      <c r="N89" s="1154"/>
      <c r="O89" s="1154"/>
      <c r="P89" s="2630"/>
      <c r="Q89" s="503"/>
    </row>
    <row r="90" spans="1:17" s="470" customFormat="1" ht="15.75" thickTop="1">
      <c r="A90" s="552"/>
      <c r="B90" s="537" t="str">
        <f>B27</f>
        <v>人流量</v>
      </c>
      <c r="C90" s="2971" t="s">
        <v>3154</v>
      </c>
      <c r="D90" s="2971" t="s">
        <v>3156</v>
      </c>
      <c r="E90" s="2971" t="s">
        <v>3157</v>
      </c>
      <c r="F90" s="2971" t="s">
        <v>3158</v>
      </c>
      <c r="G90" s="2971" t="s">
        <v>3159</v>
      </c>
      <c r="H90" s="554"/>
      <c r="I90" s="554"/>
      <c r="J90" s="554"/>
      <c r="K90" s="554"/>
      <c r="L90" s="555"/>
      <c r="M90" s="556"/>
      <c r="N90" s="1155"/>
      <c r="O90" s="1155"/>
      <c r="P90" s="2631"/>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5"/>
      <c r="O91" s="1155"/>
      <c r="P91" s="2631"/>
      <c r="Q91" s="558"/>
    </row>
    <row r="92" spans="1:17" ht="15.75" thickTop="1">
      <c r="A92" s="533"/>
      <c r="B92" s="537" t="str">
        <f>B28</f>
        <v>楼层</v>
      </c>
      <c r="C92" s="553" t="s">
        <v>3160</v>
      </c>
      <c r="D92" s="553"/>
      <c r="E92" s="553"/>
      <c r="F92" s="553"/>
      <c r="G92" s="553"/>
      <c r="H92" s="553"/>
      <c r="I92" s="553"/>
      <c r="J92" s="553"/>
      <c r="K92" s="553"/>
      <c r="L92" s="579"/>
      <c r="M92" s="580"/>
      <c r="N92" s="1153"/>
      <c r="O92" s="1153"/>
      <c r="P92" s="2630"/>
      <c r="Q92" s="503"/>
    </row>
    <row r="93" spans="1:17" ht="15.75" thickBot="1">
      <c r="A93" s="533"/>
      <c r="B93" s="542"/>
      <c r="C93" s="535">
        <v>100</v>
      </c>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35"/>
      <c r="E95" s="535"/>
      <c r="F95" s="535"/>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59"/>
      <c r="D97" s="535"/>
      <c r="E97" s="535"/>
      <c r="F97" s="535"/>
      <c r="G97" s="535"/>
      <c r="H97" s="535"/>
      <c r="I97" s="535"/>
      <c r="J97" s="535"/>
      <c r="K97" s="535"/>
      <c r="L97" s="535"/>
      <c r="M97" s="536"/>
      <c r="N97" s="1154"/>
      <c r="O97" s="1154"/>
      <c r="P97" s="2630"/>
      <c r="Q97" s="503"/>
    </row>
    <row r="98" spans="1:17" ht="15.75" thickTop="1">
      <c r="A98" s="533"/>
      <c r="B98" s="545">
        <f>B31</f>
        <v>111</v>
      </c>
      <c r="C98" s="553"/>
      <c r="D98" s="553"/>
      <c r="E98" s="553"/>
      <c r="F98" s="553"/>
      <c r="G98" s="586"/>
      <c r="H98" s="586"/>
      <c r="I98" s="586"/>
      <c r="J98" s="586"/>
      <c r="K98" s="587"/>
      <c r="L98" s="588"/>
      <c r="M98" s="589"/>
      <c r="N98" s="1153"/>
      <c r="O98" s="1153"/>
      <c r="P98" s="2630"/>
      <c r="Q98" s="503"/>
    </row>
    <row r="99" spans="1:17" ht="15.75" thickBot="1">
      <c r="A99" s="2636"/>
      <c r="B99" s="568"/>
      <c r="C99" s="569"/>
      <c r="D99" s="569"/>
      <c r="E99" s="569"/>
      <c r="F99" s="569"/>
      <c r="G99" s="590"/>
      <c r="H99" s="590"/>
      <c r="I99" s="590"/>
      <c r="J99" s="590"/>
      <c r="K99" s="590"/>
      <c r="L99" s="590"/>
      <c r="M99" s="591"/>
      <c r="N99" s="1154"/>
      <c r="O99" s="1154"/>
      <c r="P99" s="2630"/>
      <c r="Q99" s="503"/>
    </row>
    <row r="100" spans="1:17">
      <c r="A100" s="526" t="s">
        <v>2550</v>
      </c>
      <c r="B100" s="527" t="s">
        <v>2668</v>
      </c>
      <c r="C100" s="2972" t="s">
        <v>3249</v>
      </c>
      <c r="D100" s="2972" t="s">
        <v>3248</v>
      </c>
      <c r="E100" s="2972"/>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0"/>
      <c r="Q101" s="503"/>
    </row>
    <row r="102" spans="1:17" ht="29.25" thickTop="1">
      <c r="A102" s="533"/>
      <c r="B102" s="537" t="s">
        <v>2600</v>
      </c>
      <c r="C102" s="577" t="str">
        <f>C103&amp;"(含)"&amp;"-"&amp;D103</f>
        <v>0(含)-200</v>
      </c>
      <c r="D102" s="577" t="str">
        <f t="shared" ref="D102:L102" si="23">D103&amp;"(含)"&amp;"-"&amp;E103</f>
        <v>200(含)-500</v>
      </c>
      <c r="E102" s="577" t="str">
        <f t="shared" si="23"/>
        <v>500(含)-1000</v>
      </c>
      <c r="F102" s="577" t="str">
        <f t="shared" si="23"/>
        <v>1000(含)-1500</v>
      </c>
      <c r="G102" s="577" t="str">
        <f t="shared" si="23"/>
        <v>1500(含)-3000</v>
      </c>
      <c r="H102" s="577" t="str">
        <f t="shared" si="23"/>
        <v>3000(含)-</v>
      </c>
      <c r="I102" s="577" t="str">
        <f t="shared" si="23"/>
        <v>(含)-</v>
      </c>
      <c r="J102" s="577" t="str">
        <f t="shared" si="23"/>
        <v>(含)-</v>
      </c>
      <c r="K102" s="577" t="str">
        <f t="shared" si="23"/>
        <v>(含)-</v>
      </c>
      <c r="L102" s="577" t="str">
        <f t="shared" si="23"/>
        <v>(含)-</v>
      </c>
      <c r="M102" s="621" t="str">
        <f>M103&amp;"(含)"&amp;"-"&amp;P103</f>
        <v>(含)-</v>
      </c>
      <c r="N102" s="1152"/>
      <c r="O102" s="1152"/>
      <c r="P102" s="2630"/>
      <c r="Q102" s="503"/>
    </row>
    <row r="103" spans="1:17" s="470" customFormat="1">
      <c r="A103" s="592"/>
      <c r="B103" s="593"/>
      <c r="C103" s="594">
        <v>0</v>
      </c>
      <c r="D103" s="594">
        <v>200</v>
      </c>
      <c r="E103" s="594">
        <v>500</v>
      </c>
      <c r="F103" s="594">
        <v>1000</v>
      </c>
      <c r="G103" s="594">
        <v>1500</v>
      </c>
      <c r="H103" s="594">
        <v>3000</v>
      </c>
      <c r="I103" s="594"/>
      <c r="J103" s="594"/>
      <c r="K103" s="594"/>
      <c r="L103" s="594"/>
      <c r="M103" s="594"/>
      <c r="N103" s="1155"/>
      <c r="O103" s="1155"/>
      <c r="P103" s="2631"/>
      <c r="Q103" s="558"/>
    </row>
    <row r="104" spans="1:17" s="470" customFormat="1" ht="15.75" thickBot="1">
      <c r="A104" s="552"/>
      <c r="B104" s="542"/>
      <c r="C104" s="594">
        <v>100</v>
      </c>
      <c r="D104" s="594">
        <v>99</v>
      </c>
      <c r="E104" s="594">
        <v>98</v>
      </c>
      <c r="F104" s="594">
        <v>97</v>
      </c>
      <c r="G104" s="594">
        <v>96</v>
      </c>
      <c r="H104" s="594">
        <v>95</v>
      </c>
      <c r="I104" s="594"/>
      <c r="J104" s="594"/>
      <c r="K104" s="594"/>
      <c r="L104" s="594"/>
      <c r="M104" s="594"/>
      <c r="N104" s="1154"/>
      <c r="O104" s="1154"/>
      <c r="P104" s="2631"/>
      <c r="Q104" s="558"/>
    </row>
    <row r="105" spans="1:17" ht="15" thickTop="1">
      <c r="A105" s="598"/>
      <c r="B105" s="537" t="s">
        <v>2601</v>
      </c>
      <c r="C105" s="2971" t="s">
        <v>3161</v>
      </c>
      <c r="D105" s="2971" t="s">
        <v>3162</v>
      </c>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4"/>
      <c r="O106" s="1154"/>
      <c r="P106" s="2630"/>
      <c r="Q106" s="503"/>
    </row>
    <row r="107" spans="1:17" ht="15" thickTop="1">
      <c r="A107" s="598"/>
      <c r="B107" s="537" t="s">
        <v>2603</v>
      </c>
      <c r="C107" s="2971" t="s">
        <v>3164</v>
      </c>
      <c r="D107" s="2971" t="s">
        <v>3165</v>
      </c>
      <c r="E107" s="2971" t="s">
        <v>3166</v>
      </c>
      <c r="F107" s="2973" t="s">
        <v>3167</v>
      </c>
      <c r="G107" s="582"/>
      <c r="H107" s="582"/>
      <c r="I107" s="582"/>
      <c r="J107" s="582"/>
      <c r="K107" s="583"/>
      <c r="L107" s="584"/>
      <c r="M107" s="585"/>
      <c r="N107" s="1153"/>
      <c r="O107" s="1153"/>
      <c r="P107" s="2630"/>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4"/>
      <c r="O111" s="1154"/>
      <c r="P111" s="2630"/>
      <c r="Q111" s="503"/>
    </row>
    <row r="112" spans="1:17" s="470" customFormat="1" ht="15" thickTop="1">
      <c r="A112" s="592"/>
      <c r="B112" s="537" t="s">
        <v>2605</v>
      </c>
      <c r="C112" s="2971" t="s">
        <v>3168</v>
      </c>
      <c r="D112" s="2971" t="s">
        <v>3169</v>
      </c>
      <c r="E112" s="2971" t="s">
        <v>3170</v>
      </c>
      <c r="F112" s="2971" t="s">
        <v>3171</v>
      </c>
      <c r="G112" s="553"/>
      <c r="H112" s="582"/>
      <c r="I112" s="582"/>
      <c r="J112" s="582"/>
      <c r="K112" s="583"/>
      <c r="L112" s="584"/>
      <c r="M112" s="585"/>
      <c r="N112" s="1155"/>
      <c r="O112" s="1155"/>
      <c r="P112" s="263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5"/>
      <c r="O113" s="1155"/>
      <c r="P113" s="2631"/>
      <c r="Q113" s="558"/>
    </row>
    <row r="114" spans="1:17" ht="15" thickTop="1">
      <c r="A114" s="598"/>
      <c r="B114" s="537" t="s">
        <v>2669</v>
      </c>
      <c r="C114" s="2971" t="s">
        <v>3173</v>
      </c>
      <c r="D114" s="2971" t="s">
        <v>3174</v>
      </c>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4"/>
      <c r="O115" s="1154"/>
      <c r="P115" s="2630"/>
      <c r="Q115" s="503"/>
    </row>
    <row r="116" spans="1:17" ht="15" thickTop="1">
      <c r="A116" s="598"/>
      <c r="B116" s="537" t="s">
        <v>2670</v>
      </c>
      <c r="C116" s="2971" t="s">
        <v>3176</v>
      </c>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4"/>
      <c r="O117" s="1154"/>
      <c r="P117" s="2630"/>
      <c r="Q117" s="503"/>
    </row>
    <row r="118" spans="1:17" ht="15" thickTop="1">
      <c r="A118" s="598"/>
      <c r="B118" s="537" t="s">
        <v>2671</v>
      </c>
      <c r="C118" s="626"/>
      <c r="D118" s="626"/>
      <c r="E118" s="626"/>
      <c r="F118" s="626"/>
      <c r="G118" s="626"/>
      <c r="H118" s="554"/>
      <c r="I118" s="554"/>
      <c r="J118" s="554"/>
      <c r="K118" s="554"/>
      <c r="L118" s="555"/>
      <c r="M118" s="556"/>
      <c r="N118" s="1153"/>
      <c r="O118" s="1153"/>
      <c r="P118" s="2630"/>
      <c r="Q118" s="503"/>
    </row>
    <row r="119" spans="1:17" ht="15.75" thickBot="1">
      <c r="A119" s="533"/>
      <c r="B119" s="542"/>
      <c r="C119" s="559"/>
      <c r="D119" s="535"/>
      <c r="E119" s="535"/>
      <c r="F119" s="535"/>
      <c r="G119" s="535"/>
      <c r="H119" s="535"/>
      <c r="I119" s="535"/>
      <c r="J119" s="535"/>
      <c r="K119" s="535"/>
      <c r="L119" s="535"/>
      <c r="M119" s="536"/>
      <c r="N119" s="1154"/>
      <c r="O119" s="1154"/>
      <c r="P119" s="2630"/>
      <c r="Q119" s="503"/>
    </row>
    <row r="120" spans="1:17" s="470" customFormat="1" ht="15" thickTop="1">
      <c r="A120" s="592"/>
      <c r="B120" s="537" t="s">
        <v>2672</v>
      </c>
      <c r="C120" s="2973" t="s">
        <v>3181</v>
      </c>
      <c r="D120" s="2973" t="s">
        <v>3157</v>
      </c>
      <c r="E120" s="2973" t="s">
        <v>3182</v>
      </c>
      <c r="F120" s="582"/>
      <c r="G120" s="554"/>
      <c r="H120" s="554"/>
      <c r="I120" s="554"/>
      <c r="J120" s="554"/>
      <c r="K120" s="554"/>
      <c r="L120" s="555"/>
      <c r="M120" s="556"/>
      <c r="N120" s="1155"/>
      <c r="O120" s="1155"/>
      <c r="P120" s="2631"/>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5"/>
      <c r="O121" s="1155"/>
      <c r="P121" s="2631"/>
      <c r="Q121" s="558"/>
    </row>
    <row r="122" spans="1:17" ht="15" thickTop="1">
      <c r="A122" s="598"/>
      <c r="B122" s="537" t="s">
        <v>2607</v>
      </c>
      <c r="C122" s="2971" t="s">
        <v>3164</v>
      </c>
      <c r="D122" s="2971" t="s">
        <v>3177</v>
      </c>
      <c r="E122" s="2971" t="s">
        <v>3178</v>
      </c>
      <c r="F122" s="2973" t="s">
        <v>3179</v>
      </c>
      <c r="G122" s="582"/>
      <c r="H122" s="582"/>
      <c r="I122" s="582"/>
      <c r="J122" s="582"/>
      <c r="K122" s="583"/>
      <c r="L122" s="584"/>
      <c r="M122" s="585"/>
      <c r="N122" s="1153"/>
      <c r="O122" s="1153"/>
      <c r="P122" s="263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35"/>
      <c r="E129" s="535"/>
      <c r="F129" s="535"/>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2" sqref="A22:S22"/>
    </sheetView>
  </sheetViews>
  <sheetFormatPr defaultRowHeight="12.75"/>
  <cols>
    <col min="1" max="1" width="29.625" style="138" bestFit="1" customWidth="1"/>
    <col min="2" max="2" width="9.375" style="26" bestFit="1" customWidth="1"/>
    <col min="3" max="3" width="5" style="26" customWidth="1"/>
    <col min="4" max="4" width="0" style="26" hidden="1" customWidth="1"/>
    <col min="5" max="5" width="5" style="26" hidden="1" customWidth="1"/>
    <col min="6" max="6" width="0" style="26" hidden="1" customWidth="1"/>
    <col min="7" max="7" width="5" style="26" hidden="1"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2994</v>
      </c>
      <c r="C1" s="3256" t="s">
        <v>2995</v>
      </c>
      <c r="D1" s="3257"/>
      <c r="E1" s="3257"/>
      <c r="F1" s="3257"/>
      <c r="G1" s="3257"/>
      <c r="H1" s="3257"/>
      <c r="I1" s="3257"/>
      <c r="J1" s="3257"/>
      <c r="K1" s="3257"/>
      <c r="L1" s="3257"/>
      <c r="M1" s="3257"/>
      <c r="N1" s="3257"/>
      <c r="O1" s="3257"/>
      <c r="P1" s="3257"/>
      <c r="Q1" s="3257"/>
      <c r="R1" s="3257"/>
      <c r="S1" s="3258"/>
      <c r="T1" s="1205" t="s">
        <v>2996</v>
      </c>
    </row>
    <row r="2" spans="1:45" s="705" customFormat="1" ht="38.25">
      <c r="A2" s="1206"/>
      <c r="B2" s="2991" t="s">
        <v>2997</v>
      </c>
      <c r="C2" s="702" t="str">
        <f t="shared" ref="C2:L2" si="0">C3&amp;"(含)"&amp;"-"&amp;D3</f>
        <v>0(含)-200</v>
      </c>
      <c r="D2" s="703" t="str">
        <f t="shared" si="0"/>
        <v>200(含)-500</v>
      </c>
      <c r="E2" s="703" t="str">
        <f t="shared" si="0"/>
        <v>500(含)-1000</v>
      </c>
      <c r="F2" s="703" t="str">
        <f t="shared" si="0"/>
        <v>1000(含)-1500</v>
      </c>
      <c r="G2" s="703" t="str">
        <f t="shared" si="0"/>
        <v>1500(含)-3000</v>
      </c>
      <c r="H2" s="703" t="str">
        <f t="shared" si="0"/>
        <v>3000(含)-5000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500</v>
      </c>
      <c r="F3" s="1705">
        <v>1000</v>
      </c>
      <c r="G3" s="1705">
        <v>1500</v>
      </c>
      <c r="H3" s="1705">
        <v>3000</v>
      </c>
      <c r="I3" s="1705">
        <v>5000</v>
      </c>
      <c r="J3" s="1705">
        <v>10000</v>
      </c>
      <c r="K3" s="1705"/>
      <c r="L3" s="1705"/>
      <c r="M3" s="1706"/>
      <c r="N3" s="1706"/>
      <c r="O3" s="1705"/>
      <c r="P3" s="1705"/>
      <c r="Q3" s="1705"/>
      <c r="R3" s="1705"/>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99</v>
      </c>
      <c r="E4" s="1212">
        <v>98</v>
      </c>
      <c r="F4" s="1708">
        <v>97</v>
      </c>
      <c r="G4" s="1708">
        <v>96</v>
      </c>
      <c r="H4" s="1708">
        <v>95</v>
      </c>
      <c r="I4" s="1708">
        <v>94</v>
      </c>
      <c r="J4" s="1708">
        <v>93</v>
      </c>
      <c r="K4" s="1708"/>
      <c r="L4" s="1708"/>
      <c r="M4" s="1708"/>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2998</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2999</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3000</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3001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3002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3003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6" t="s">
        <v>3004</v>
      </c>
      <c r="B17" s="2917" t="s">
        <v>3005</v>
      </c>
      <c r="C17" s="1232">
        <v>1</v>
      </c>
      <c r="D17" s="1233">
        <v>2</v>
      </c>
      <c r="E17" s="1233">
        <v>3</v>
      </c>
      <c r="F17" s="1233">
        <v>4</v>
      </c>
      <c r="G17" s="1233">
        <v>5</v>
      </c>
      <c r="H17" s="2974" t="s">
        <v>3184</v>
      </c>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100</v>
      </c>
      <c r="D18" s="1245">
        <v>70</v>
      </c>
      <c r="E18" s="1245">
        <v>60</v>
      </c>
      <c r="F18" s="1245">
        <v>50</v>
      </c>
      <c r="G18" s="1245">
        <v>40</v>
      </c>
      <c r="H18" s="1245">
        <f>ROUND((C18+D18+E18)/3,0)</f>
        <v>77</v>
      </c>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8" t="s">
        <v>3006</v>
      </c>
      <c r="E19" s="1792"/>
      <c r="F19" s="1792"/>
      <c r="G19" s="1792"/>
      <c r="H19" s="1281"/>
      <c r="I19" s="167"/>
      <c r="J19" s="167"/>
      <c r="K19" s="167"/>
      <c r="L19" s="167"/>
      <c r="M19" s="167"/>
      <c r="N19" s="167"/>
      <c r="O19" s="167"/>
      <c r="P19" s="167"/>
      <c r="Q19" s="167"/>
      <c r="R19" s="786"/>
      <c r="S19" s="137"/>
    </row>
    <row r="20" spans="1:45" ht="16.5" thickBot="1">
      <c r="A20" s="713" t="s">
        <v>3007</v>
      </c>
      <c r="B20" s="337">
        <f>IF(D20="——",S22,S22-F20)</f>
        <v>40410</v>
      </c>
      <c r="C20" s="167"/>
      <c r="D20" s="2919" t="s">
        <v>70</v>
      </c>
      <c r="E20" s="1793"/>
      <c r="F20" s="1205">
        <f ca="1">SUMIF(INDIRECT("'"&amp;H20&amp;"'"&amp;"!A:A"),"承租人权益价值",INDIRECT("'"&amp;H20&amp;"'"&amp;"!c:c"))</f>
        <v>-9713</v>
      </c>
      <c r="G20" s="1205" t="s">
        <v>3008</v>
      </c>
      <c r="H20" s="2920" t="s">
        <v>3133</v>
      </c>
      <c r="I20" s="167"/>
      <c r="J20" s="167"/>
      <c r="K20" s="167"/>
      <c r="L20" s="167"/>
      <c r="M20" s="167"/>
      <c r="N20" s="167"/>
      <c r="O20" s="167"/>
      <c r="P20" s="167"/>
      <c r="Q20" s="167"/>
      <c r="R20" s="786"/>
      <c r="S20" s="137"/>
    </row>
    <row r="21" spans="1:45" ht="15.75">
      <c r="A21" s="713" t="s">
        <v>3009</v>
      </c>
      <c r="B21" s="337">
        <f>R22</f>
        <v>30812</v>
      </c>
      <c r="C21" s="167"/>
      <c r="D21" s="167"/>
      <c r="E21" s="167"/>
      <c r="F21" s="167"/>
      <c r="G21" s="167"/>
      <c r="H21" s="167"/>
      <c r="I21" s="167"/>
      <c r="J21" s="167"/>
      <c r="K21" s="167"/>
      <c r="L21" s="167"/>
      <c r="M21" s="167"/>
      <c r="N21" s="167"/>
      <c r="O21" s="167"/>
      <c r="P21" s="167"/>
      <c r="Q21" s="167"/>
      <c r="R21" s="786"/>
      <c r="S21" s="137"/>
    </row>
    <row r="22" spans="1:45">
      <c r="A22" s="360" t="s">
        <v>3010</v>
      </c>
      <c r="B22" s="23">
        <f>SUM(B24:B10000)</f>
        <v>13115.18</v>
      </c>
      <c r="C22" s="3202" t="s">
        <v>33</v>
      </c>
      <c r="D22" s="3203"/>
      <c r="E22" s="3203"/>
      <c r="F22" s="3203"/>
      <c r="G22" s="3203"/>
      <c r="H22" s="3203"/>
      <c r="I22" s="3203"/>
      <c r="J22" s="3203"/>
      <c r="K22" s="3203"/>
      <c r="L22" s="3203"/>
      <c r="M22" s="3203"/>
      <c r="N22" s="3203"/>
      <c r="O22" s="3203"/>
      <c r="P22" s="3203"/>
      <c r="Q22" s="3255"/>
      <c r="R22" s="714">
        <f>ROUND(S22*10000/B22,0)</f>
        <v>30812</v>
      </c>
      <c r="S22" s="23">
        <f>SUM(S24:S10000)</f>
        <v>40410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面积!B2</f>
        <v>松江区九亭镇虬泾路116号</v>
      </c>
      <c r="B24" s="716">
        <f>面积!E2</f>
        <v>357.29</v>
      </c>
      <c r="C24" s="717">
        <v>1</v>
      </c>
      <c r="D24" s="718"/>
      <c r="E24" s="717">
        <v>1</v>
      </c>
      <c r="F24" s="718"/>
      <c r="G24" s="717">
        <v>1</v>
      </c>
      <c r="H24" s="718"/>
      <c r="I24" s="717">
        <v>1</v>
      </c>
      <c r="J24" s="718"/>
      <c r="K24" s="717">
        <v>1</v>
      </c>
      <c r="L24" s="718"/>
      <c r="M24" s="717">
        <v>1</v>
      </c>
      <c r="N24" s="718"/>
      <c r="O24" s="717">
        <v>1</v>
      </c>
      <c r="P24" s="718">
        <v>1</v>
      </c>
      <c r="Q24" s="717">
        <v>1</v>
      </c>
      <c r="R24" s="719">
        <f>'比较法-商业'!B3</f>
        <v>47054</v>
      </c>
      <c r="S24" s="717">
        <f t="shared" ref="S24:S54" si="11">ROUND(R24*B24/10000,0)</f>
        <v>1681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面积!B3</f>
        <v>松江区九亭镇虬泾路118号</v>
      </c>
      <c r="B25" s="716">
        <f>面积!E3</f>
        <v>316.85000000000002</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v>1</v>
      </c>
      <c r="Q25" s="23">
        <f>(SUMIF($17:$17,P25,$18:$18)-SUMIF($17:$17,$P$24,$18:$18)+100)/100</f>
        <v>1</v>
      </c>
      <c r="R25" s="714">
        <f>IF(B25="",0,ROUND($R$24*C25*E25*G25*I25*K25*M25*O25*Q25,0))</f>
        <v>47054</v>
      </c>
      <c r="S25" s="360">
        <f t="shared" si="11"/>
        <v>1491</v>
      </c>
    </row>
    <row r="26" spans="1:45">
      <c r="A26" s="716" t="str">
        <f>面积!B4</f>
        <v>松江区九亭镇虬泾路120号</v>
      </c>
      <c r="B26" s="716">
        <f>面积!E4</f>
        <v>420.05</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v>1</v>
      </c>
      <c r="Q26" s="23">
        <f t="shared" ref="Q26:Q89" si="19">(SUMIF($17:$17,P26,$18:$18)-SUMIF($17:$17,$P$24,$18:$18)+100)/100</f>
        <v>1</v>
      </c>
      <c r="R26" s="714">
        <f t="shared" ref="R26:R89" si="20">IF(B26="",0,ROUND($R$24*C26*E26*G26*I26*K26*M26*O26*Q26,0))</f>
        <v>47054</v>
      </c>
      <c r="S26" s="360">
        <f t="shared" si="11"/>
        <v>1977</v>
      </c>
    </row>
    <row r="27" spans="1:45">
      <c r="A27" s="716" t="str">
        <f>面积!B5</f>
        <v>松江区九亭镇虬泾路122号201层</v>
      </c>
      <c r="B27" s="716">
        <f>面积!E5</f>
        <v>732.12</v>
      </c>
      <c r="C27" s="23">
        <f t="shared" si="12"/>
        <v>0.99</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v>2</v>
      </c>
      <c r="Q27" s="23">
        <f t="shared" si="19"/>
        <v>0.7</v>
      </c>
      <c r="R27" s="714">
        <f t="shared" si="20"/>
        <v>32608</v>
      </c>
      <c r="S27" s="360">
        <f t="shared" si="11"/>
        <v>2387</v>
      </c>
    </row>
    <row r="28" spans="1:45">
      <c r="A28" s="716" t="str">
        <f>面积!B6</f>
        <v>松江区九亭镇虬泾路122号202层</v>
      </c>
      <c r="B28" s="716">
        <f>面积!E6</f>
        <v>689.01</v>
      </c>
      <c r="C28" s="23">
        <f t="shared" si="12"/>
        <v>0.99</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v>2</v>
      </c>
      <c r="Q28" s="23">
        <f t="shared" si="19"/>
        <v>0.7</v>
      </c>
      <c r="R28" s="714">
        <f t="shared" si="20"/>
        <v>32608</v>
      </c>
      <c r="S28" s="360">
        <f t="shared" si="11"/>
        <v>2247</v>
      </c>
    </row>
    <row r="29" spans="1:45">
      <c r="A29" s="716" t="str">
        <f>面积!B7</f>
        <v>松江区九亭镇虬泾路122号203室</v>
      </c>
      <c r="B29" s="716">
        <f>面积!E7</f>
        <v>605.54</v>
      </c>
      <c r="C29" s="23">
        <f t="shared" si="12"/>
        <v>0.99</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v>2</v>
      </c>
      <c r="Q29" s="23">
        <f t="shared" si="19"/>
        <v>0.7</v>
      </c>
      <c r="R29" s="714">
        <f t="shared" si="20"/>
        <v>32608</v>
      </c>
      <c r="S29" s="360">
        <f t="shared" si="11"/>
        <v>1975</v>
      </c>
    </row>
    <row r="30" spans="1:45">
      <c r="A30" s="716" t="str">
        <f>面积!B8</f>
        <v>松江区九亭镇虬泾路122号301层</v>
      </c>
      <c r="B30" s="716">
        <f>面积!E8</f>
        <v>653.74</v>
      </c>
      <c r="C30" s="23">
        <f t="shared" si="12"/>
        <v>0.99</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v>3</v>
      </c>
      <c r="Q30" s="23">
        <f t="shared" si="19"/>
        <v>0.6</v>
      </c>
      <c r="R30" s="714">
        <f t="shared" si="20"/>
        <v>27950</v>
      </c>
      <c r="S30" s="360">
        <f t="shared" si="11"/>
        <v>1827</v>
      </c>
    </row>
    <row r="31" spans="1:45">
      <c r="A31" s="716" t="str">
        <f>面积!B9</f>
        <v>松江区九亭镇虬泾路122号302层</v>
      </c>
      <c r="B31" s="716">
        <f>面积!E9</f>
        <v>664.62</v>
      </c>
      <c r="C31" s="23">
        <f t="shared" si="12"/>
        <v>0.99</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v>3</v>
      </c>
      <c r="Q31" s="23">
        <f t="shared" si="19"/>
        <v>0.6</v>
      </c>
      <c r="R31" s="714">
        <f t="shared" si="20"/>
        <v>27950</v>
      </c>
      <c r="S31" s="360">
        <f t="shared" si="11"/>
        <v>1858</v>
      </c>
    </row>
    <row r="32" spans="1:45">
      <c r="A32" s="716" t="str">
        <f>面积!B10</f>
        <v>松江区九亭镇虬泾路122号303室</v>
      </c>
      <c r="B32" s="716">
        <f>面积!E10</f>
        <v>520.42999999999995</v>
      </c>
      <c r="C32" s="23">
        <f t="shared" si="12"/>
        <v>0.99</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v>3</v>
      </c>
      <c r="Q32" s="23">
        <f t="shared" si="19"/>
        <v>0.6</v>
      </c>
      <c r="R32" s="714">
        <f t="shared" si="20"/>
        <v>27950</v>
      </c>
      <c r="S32" s="360">
        <f t="shared" si="11"/>
        <v>1455</v>
      </c>
    </row>
    <row r="33" spans="1:19">
      <c r="A33" s="716" t="str">
        <f>面积!B11</f>
        <v>松江区九亭镇虬泾路122号401室</v>
      </c>
      <c r="B33" s="716">
        <f>面积!E11</f>
        <v>653.74</v>
      </c>
      <c r="C33" s="23">
        <f t="shared" si="12"/>
        <v>0.99</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v>4</v>
      </c>
      <c r="Q33" s="23">
        <f t="shared" si="19"/>
        <v>0.5</v>
      </c>
      <c r="R33" s="714">
        <f t="shared" si="20"/>
        <v>23292</v>
      </c>
      <c r="S33" s="360">
        <f t="shared" si="11"/>
        <v>1523</v>
      </c>
    </row>
    <row r="34" spans="1:19">
      <c r="A34" s="716" t="str">
        <f>面积!B12</f>
        <v>松江区九亭镇虬泾路122号402室</v>
      </c>
      <c r="B34" s="716">
        <f>面积!E12</f>
        <v>664.62</v>
      </c>
      <c r="C34" s="23">
        <f t="shared" si="12"/>
        <v>0.99</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v>4</v>
      </c>
      <c r="Q34" s="23">
        <f t="shared" si="19"/>
        <v>0.5</v>
      </c>
      <c r="R34" s="714">
        <f t="shared" si="20"/>
        <v>23292</v>
      </c>
      <c r="S34" s="360">
        <f t="shared" si="11"/>
        <v>1548</v>
      </c>
    </row>
    <row r="35" spans="1:19">
      <c r="A35" s="716" t="str">
        <f>面积!B13</f>
        <v>松江区九亭镇虬泾路122号403室</v>
      </c>
      <c r="B35" s="716">
        <f>面积!E13</f>
        <v>517.51</v>
      </c>
      <c r="C35" s="23">
        <f t="shared" si="12"/>
        <v>0.99</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v>4</v>
      </c>
      <c r="Q35" s="23">
        <f t="shared" si="19"/>
        <v>0.5</v>
      </c>
      <c r="R35" s="714">
        <f t="shared" si="20"/>
        <v>23292</v>
      </c>
      <c r="S35" s="360">
        <f t="shared" si="11"/>
        <v>1205</v>
      </c>
    </row>
    <row r="36" spans="1:19">
      <c r="A36" s="716" t="str">
        <f>面积!B14</f>
        <v>松江区九亭镇虬泾路122号501室</v>
      </c>
      <c r="B36" s="716">
        <f>面积!E14</f>
        <v>653.74</v>
      </c>
      <c r="C36" s="23">
        <f t="shared" si="12"/>
        <v>0.99</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v>5</v>
      </c>
      <c r="Q36" s="23">
        <f t="shared" si="19"/>
        <v>0.4</v>
      </c>
      <c r="R36" s="714">
        <f t="shared" si="20"/>
        <v>18633</v>
      </c>
      <c r="S36" s="360">
        <f t="shared" si="11"/>
        <v>1218</v>
      </c>
    </row>
    <row r="37" spans="1:19">
      <c r="A37" s="716" t="str">
        <f>面积!B15</f>
        <v>松江区九亭镇虬泾路122号502层</v>
      </c>
      <c r="B37" s="716">
        <f>面积!E15</f>
        <v>960.39</v>
      </c>
      <c r="C37" s="23">
        <f t="shared" si="12"/>
        <v>0.99</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v>5</v>
      </c>
      <c r="Q37" s="23">
        <f t="shared" si="19"/>
        <v>0.4</v>
      </c>
      <c r="R37" s="714">
        <f t="shared" si="20"/>
        <v>18633</v>
      </c>
      <c r="S37" s="360">
        <f t="shared" si="11"/>
        <v>1789</v>
      </c>
    </row>
    <row r="38" spans="1:19">
      <c r="A38" s="716" t="str">
        <f>面积!B16</f>
        <v>松江区九亭镇虬泾路122号503室</v>
      </c>
      <c r="B38" s="716">
        <f>面积!E16</f>
        <v>528.45000000000005</v>
      </c>
      <c r="C38" s="23">
        <f t="shared" si="12"/>
        <v>0.99</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v>5</v>
      </c>
      <c r="Q38" s="23">
        <f t="shared" si="19"/>
        <v>0.4</v>
      </c>
      <c r="R38" s="714">
        <f t="shared" si="20"/>
        <v>18633</v>
      </c>
      <c r="S38" s="360">
        <f t="shared" si="11"/>
        <v>985</v>
      </c>
    </row>
    <row r="39" spans="1:19">
      <c r="A39" s="716" t="str">
        <f>面积!B17</f>
        <v>松江区九亭镇虬泾路124号</v>
      </c>
      <c r="B39" s="716">
        <f>面积!E17</f>
        <v>605.54</v>
      </c>
      <c r="C39" s="23">
        <f t="shared" si="12"/>
        <v>0.99</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v>1</v>
      </c>
      <c r="Q39" s="23">
        <f t="shared" si="19"/>
        <v>1</v>
      </c>
      <c r="R39" s="714">
        <f t="shared" si="20"/>
        <v>46583</v>
      </c>
      <c r="S39" s="360">
        <f t="shared" si="11"/>
        <v>2821</v>
      </c>
    </row>
    <row r="40" spans="1:19">
      <c r="A40" s="716" t="str">
        <f>面积!B18</f>
        <v>松江区九亭镇虬泾路126号1_3层</v>
      </c>
      <c r="B40" s="716">
        <f>面积!E18</f>
        <v>3571.54</v>
      </c>
      <c r="C40" s="23">
        <f t="shared" si="12"/>
        <v>0.96</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3183</v>
      </c>
      <c r="Q40" s="2992">
        <f t="shared" si="19"/>
        <v>0.77</v>
      </c>
      <c r="R40" s="714">
        <f t="shared" si="20"/>
        <v>34782</v>
      </c>
      <c r="S40" s="360">
        <f t="shared" si="11"/>
        <v>12423</v>
      </c>
    </row>
    <row r="41" spans="1:19">
      <c r="A41" s="716"/>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60">
        <f t="shared" si="11"/>
        <v>0</v>
      </c>
    </row>
    <row r="42" spans="1:19">
      <c r="A42" s="716"/>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60">
        <f t="shared" si="11"/>
        <v>0</v>
      </c>
    </row>
    <row r="43" spans="1:19">
      <c r="A43" s="716"/>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J29" activeCellId="1" sqref="C40 J29"/>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3130</v>
      </c>
      <c r="D1" s="1820" t="s">
        <v>70</v>
      </c>
      <c r="E1" s="1821" t="s">
        <v>1387</v>
      </c>
      <c r="F1" s="1284">
        <f ca="1">J53</f>
        <v>23.73</v>
      </c>
      <c r="G1" s="1836">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25511</v>
      </c>
      <c r="C2" s="1845" t="s">
        <v>1516</v>
      </c>
      <c r="D2" s="1845"/>
      <c r="E2" s="1846"/>
      <c r="F2" s="1847"/>
      <c r="G2" s="1848"/>
      <c r="H2" s="1840"/>
      <c r="I2" s="1840"/>
      <c r="J2" s="1840"/>
      <c r="K2" s="1841"/>
      <c r="L2" s="1840"/>
      <c r="M2" s="1840"/>
    </row>
    <row r="3" spans="1:37" ht="18" customHeight="1" thickBot="1">
      <c r="A3" s="1849" t="s">
        <v>1517</v>
      </c>
      <c r="B3" s="1850">
        <f ca="1">IF(ISERROR(B2*10000/F43),0,ROUND(B2*10000/F43,0))</f>
        <v>19452</v>
      </c>
      <c r="C3" s="1845" t="s">
        <v>1518</v>
      </c>
      <c r="D3" s="1845"/>
      <c r="E3" s="1846"/>
      <c r="F3" s="1847"/>
      <c r="G3" s="1848"/>
      <c r="H3" s="742"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916</v>
      </c>
      <c r="D5" s="1822" t="s">
        <v>1402</v>
      </c>
      <c r="E5" s="1294"/>
      <c r="F5" s="1295"/>
      <c r="G5" s="1851"/>
      <c r="H5" s="343">
        <v>1</v>
      </c>
      <c r="I5" s="344" t="s">
        <v>1401</v>
      </c>
      <c r="J5" s="1293">
        <f ca="1">J6+J10+J12</f>
        <v>2863</v>
      </c>
      <c r="K5" s="1822" t="s">
        <v>1402</v>
      </c>
      <c r="L5" s="1294"/>
      <c r="M5" s="1295"/>
    </row>
    <row r="6" spans="1:37" ht="18" customHeight="1">
      <c r="A6" s="1292" t="s">
        <v>1035</v>
      </c>
      <c r="B6" s="3261" t="s">
        <v>1403</v>
      </c>
      <c r="C6" s="1297">
        <f ca="1">ROUND(F6*F8*F7*(1-F9)/10000,0)</f>
        <v>914</v>
      </c>
      <c r="D6" s="163" t="s">
        <v>3019</v>
      </c>
      <c r="E6" s="346" t="s">
        <v>1405</v>
      </c>
      <c r="F6" s="347">
        <f ca="1">INDIRECT("'数据-取费表'!u"&amp;$G$1)</f>
        <v>1.91</v>
      </c>
      <c r="G6" s="1851"/>
      <c r="H6" s="1292" t="s">
        <v>1035</v>
      </c>
      <c r="I6" s="3261" t="s">
        <v>1403</v>
      </c>
      <c r="J6" s="345">
        <f ca="1">ROUND(M6*M8*M7*(1-M9)/10000,0)</f>
        <v>2856</v>
      </c>
      <c r="K6" s="163" t="s">
        <v>3018</v>
      </c>
      <c r="L6" s="346" t="s">
        <v>1405</v>
      </c>
      <c r="M6" s="347">
        <f ca="1">INDIRECT("'数据-取费表'!z"&amp;$G$1)</f>
        <v>6.63</v>
      </c>
    </row>
    <row r="7" spans="1:37" ht="18" customHeight="1">
      <c r="A7" s="1296"/>
      <c r="B7" s="3262"/>
      <c r="C7" s="1298"/>
      <c r="D7" s="351"/>
      <c r="E7" s="1299" t="s">
        <v>1406</v>
      </c>
      <c r="F7" s="347">
        <f ca="1">IF(INDIRECT("'数据-取费表'!ah"&amp;$G$1)="",INDIRECT("'数据-取费表'!k"&amp;$G$1),INDIRECT("'数据-取费表'!ah"&amp;$G$1))</f>
        <v>13115.18</v>
      </c>
      <c r="G7" s="1851"/>
      <c r="H7" s="348"/>
      <c r="I7" s="3262"/>
      <c r="J7" s="350"/>
      <c r="K7" s="351"/>
      <c r="L7" s="346" t="s">
        <v>1406</v>
      </c>
      <c r="M7" s="347">
        <f ca="1">F7</f>
        <v>13115.18</v>
      </c>
    </row>
    <row r="8" spans="1:37" ht="18" customHeight="1">
      <c r="A8" s="348"/>
      <c r="B8" s="3262"/>
      <c r="C8" s="350"/>
      <c r="D8" s="351"/>
      <c r="E8" s="346" t="s">
        <v>1407</v>
      </c>
      <c r="F8" s="347">
        <f ca="1">INDIRECT("'数据-取费表'!ai"&amp;$G$1)</f>
        <v>365</v>
      </c>
      <c r="G8" s="1851"/>
      <c r="H8" s="348"/>
      <c r="I8" s="3262"/>
      <c r="J8" s="350"/>
      <c r="K8" s="351"/>
      <c r="L8" s="346" t="s">
        <v>1407</v>
      </c>
      <c r="M8" s="347">
        <f ca="1">INDIRECT("'数据-取费表'!ai"&amp;$G$1)</f>
        <v>365</v>
      </c>
    </row>
    <row r="9" spans="1:37" ht="18" customHeight="1">
      <c r="A9" s="348"/>
      <c r="B9" s="3263"/>
      <c r="C9" s="350"/>
      <c r="D9" s="351"/>
      <c r="E9" s="346" t="s">
        <v>1408</v>
      </c>
      <c r="F9" s="356">
        <f ca="1">INDIRECT("'数据-取费表'!w"&amp;$G$1)</f>
        <v>0</v>
      </c>
      <c r="G9" s="1851"/>
      <c r="H9" s="348"/>
      <c r="I9" s="3263"/>
      <c r="J9" s="350"/>
      <c r="K9" s="351"/>
      <c r="L9" s="357" t="s">
        <v>1408</v>
      </c>
      <c r="M9" s="358">
        <f ca="1">INDIRECT("'数据-取费表'!ab"&amp;$G$1)</f>
        <v>0.1</v>
      </c>
    </row>
    <row r="10" spans="1:37" ht="18" customHeight="1">
      <c r="A10" s="1292" t="s">
        <v>1039</v>
      </c>
      <c r="B10" s="1823" t="s">
        <v>1409</v>
      </c>
      <c r="C10" s="360">
        <f ca="1">ROUND(IF(F10="押一",C6/12*F11,IF(F10="押二",C6/12*2*F11,IF(F10="押三",C6/12*3*F11,C11*F11))),0)</f>
        <v>2</v>
      </c>
      <c r="D10" s="1824" t="s">
        <v>3028</v>
      </c>
      <c r="E10" s="357" t="s">
        <v>1410</v>
      </c>
      <c r="F10" s="1367" t="s">
        <v>3134</v>
      </c>
      <c r="G10" s="1851"/>
      <c r="H10" s="1292" t="s">
        <v>1039</v>
      </c>
      <c r="I10" s="1823" t="s">
        <v>1409</v>
      </c>
      <c r="J10" s="345">
        <f ca="1">ROUND(IF(M10="押一",J6/12*M11,IF(M10="押二",J6/12*2*M11,IF(M10="押三",J6/12*3*M11,J11*M11))),0)</f>
        <v>7</v>
      </c>
      <c r="K10" s="1824" t="s">
        <v>3027</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5230</v>
      </c>
      <c r="D13" s="1332" t="s">
        <v>1415</v>
      </c>
      <c r="E13" s="1332" t="s">
        <v>1416</v>
      </c>
      <c r="F13" s="1333">
        <f ca="1">INDIRECT("'数据-取费表'!y"&amp;$G$1)</f>
        <v>0.84</v>
      </c>
      <c r="G13" s="1851"/>
      <c r="H13" s="1330">
        <v>2</v>
      </c>
      <c r="I13" s="1331" t="s">
        <v>1414</v>
      </c>
      <c r="J13" s="1291">
        <f ca="1">ROUND(J14*J15,0)</f>
        <v>3922</v>
      </c>
      <c r="K13" s="1338" t="s">
        <v>1415</v>
      </c>
      <c r="L13" s="1852"/>
      <c r="M13" s="1853"/>
    </row>
    <row r="14" spans="1:37" ht="18" customHeight="1">
      <c r="A14" s="1202" t="s">
        <v>1034</v>
      </c>
      <c r="B14" s="346" t="s">
        <v>1417</v>
      </c>
      <c r="C14" s="362">
        <f ca="1">INDIRECT("'数据-取费表'!m"&amp;$G$1)+INDIRECT("'数据-取费表'!t"&amp;$G$1)</f>
        <v>3935</v>
      </c>
      <c r="D14" s="1800" t="s">
        <v>1418</v>
      </c>
      <c r="E14" s="1794"/>
      <c r="F14" s="363"/>
      <c r="G14" s="1851"/>
      <c r="H14" s="1202" t="s">
        <v>1035</v>
      </c>
      <c r="I14" s="346" t="s">
        <v>1419</v>
      </c>
      <c r="J14" s="23">
        <f ca="1">C29</f>
        <v>6226</v>
      </c>
      <c r="K14" s="14"/>
      <c r="L14" s="980"/>
      <c r="M14" s="981"/>
    </row>
    <row r="15" spans="1:37" s="1858" customFormat="1" ht="18" customHeight="1" thickBot="1">
      <c r="A15" s="1202" t="s">
        <v>1036</v>
      </c>
      <c r="B15" s="346" t="s">
        <v>1420</v>
      </c>
      <c r="C15" s="23">
        <f ca="1">ROUND(C14*F15,0)</f>
        <v>118</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637</v>
      </c>
      <c r="K16" s="1338" t="s">
        <v>1425</v>
      </c>
      <c r="L16" s="1339"/>
      <c r="M16" s="1295"/>
    </row>
    <row r="17" spans="1:37" s="1858" customFormat="1" ht="18" customHeight="1">
      <c r="A17" s="1202" t="s">
        <v>1390</v>
      </c>
      <c r="B17" s="346" t="s">
        <v>1426</v>
      </c>
      <c r="C17" s="23">
        <f ca="1">ROUND(F17*(F43+INDIRECT("'数据-取费表'!S"&amp;$G$1))/10000,0)</f>
        <v>262</v>
      </c>
      <c r="D17" s="346" t="s">
        <v>1427</v>
      </c>
      <c r="E17" s="346" t="s">
        <v>1428</v>
      </c>
      <c r="F17" s="25">
        <f>'数据-取费表'!B35</f>
        <v>200</v>
      </c>
      <c r="G17" s="1854"/>
      <c r="H17" s="1202" t="s">
        <v>1035</v>
      </c>
      <c r="I17" s="346" t="s">
        <v>1429</v>
      </c>
      <c r="J17" s="23">
        <f ca="1">ROUND(IF(项目基本情况!B11="自然人",J5*M17,J18+J19+J20),1)</f>
        <v>509.4</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59</v>
      </c>
      <c r="D18" s="346" t="s">
        <v>1421</v>
      </c>
      <c r="E18" s="346" t="s">
        <v>1422</v>
      </c>
      <c r="F18" s="366">
        <f>'数据-取费表'!B36</f>
        <v>1.4999999999999999E-2</v>
      </c>
      <c r="G18" s="1854"/>
      <c r="H18" s="1202" t="s">
        <v>1034</v>
      </c>
      <c r="I18" s="346" t="s">
        <v>1433</v>
      </c>
      <c r="J18" s="23">
        <f ca="1">ROUND(J5*M18/(1+'数据-取费表'!C42),2)</f>
        <v>152.69</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4374</v>
      </c>
      <c r="D19" s="139" t="s">
        <v>1436</v>
      </c>
      <c r="E19" s="1818"/>
      <c r="F19" s="25"/>
      <c r="G19" s="1851"/>
      <c r="H19" s="1202" t="s">
        <v>1036</v>
      </c>
      <c r="I19" s="346" t="s">
        <v>1437</v>
      </c>
      <c r="J19" s="23">
        <f ca="1">IF(K19="按租金收入计税",ROUND(J5*M19,2),ROUND(C29*M19*0.7,2))</f>
        <v>343.56</v>
      </c>
      <c r="K19" s="3012" t="s">
        <v>3135</v>
      </c>
      <c r="L19" s="346" t="s">
        <v>1422</v>
      </c>
      <c r="M19" s="366">
        <f>IF(K19="按租金收入计税",'数据-取费表'!B51,'数据-取费表'!B50)</f>
        <v>0.12</v>
      </c>
    </row>
    <row r="20" spans="1:37" s="1858" customFormat="1" ht="18" customHeight="1">
      <c r="A20" s="1202" t="s">
        <v>1039</v>
      </c>
      <c r="B20" s="346" t="s">
        <v>1439</v>
      </c>
      <c r="C20" s="23">
        <f ca="1">ROUND(C19*F20,0)</f>
        <v>87</v>
      </c>
      <c r="D20" s="368" t="s">
        <v>1440</v>
      </c>
      <c r="E20" s="346" t="s">
        <v>1422</v>
      </c>
      <c r="F20" s="366">
        <f>'数据-取费表'!B37</f>
        <v>0.02</v>
      </c>
      <c r="G20" s="1854"/>
      <c r="H20" s="1202" t="s">
        <v>1389</v>
      </c>
      <c r="I20" s="163" t="s">
        <v>1441</v>
      </c>
      <c r="J20" s="24">
        <f ca="1">ROUND(M20*M21/10000,2)</f>
        <v>13.12</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18</v>
      </c>
      <c r="D21" s="368" t="s">
        <v>1445</v>
      </c>
      <c r="E21" s="346" t="s">
        <v>1446</v>
      </c>
      <c r="F21" s="366">
        <f>'数据-取费表'!B38</f>
        <v>0.02</v>
      </c>
      <c r="G21" s="1854"/>
      <c r="H21" s="371"/>
      <c r="I21" s="355"/>
      <c r="J21" s="28"/>
      <c r="K21" s="372"/>
      <c r="L21" s="346" t="s">
        <v>1447</v>
      </c>
      <c r="M21" s="347">
        <f ca="1">INDIRECT("'数据-取费表'!r"&amp;$G$1)</f>
        <v>10929.32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ROUND(J14*M22,1)</f>
        <v>93.4</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158</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ROUND(J13*M23,1)</f>
        <v>5.9</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ROUND(J5*M24,1)</f>
        <v>28.6</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3"/>
      <c r="D25" s="139" t="s">
        <v>1462</v>
      </c>
      <c r="E25" s="1818"/>
      <c r="F25" s="25"/>
      <c r="G25" s="1851"/>
      <c r="H25" s="1330" t="s">
        <v>1031</v>
      </c>
      <c r="I25" s="1345" t="s">
        <v>1463</v>
      </c>
      <c r="J25" s="354">
        <f ca="1">J5-J16</f>
        <v>2226</v>
      </c>
      <c r="K25" s="1346" t="s">
        <v>1464</v>
      </c>
      <c r="L25" s="1347"/>
      <c r="M25" s="1348"/>
    </row>
    <row r="26" spans="1:37">
      <c r="A26" s="1202" t="s">
        <v>1034</v>
      </c>
      <c r="B26" s="346" t="s">
        <v>1465</v>
      </c>
      <c r="C26" s="23">
        <f ca="1">ROUND((C19+C20)*F26,0)</f>
        <v>1115</v>
      </c>
      <c r="D26" s="368" t="s">
        <v>1466</v>
      </c>
      <c r="E26" s="357" t="s">
        <v>1467</v>
      </c>
      <c r="F26" s="356">
        <f ca="1">INDIRECT("'数据-取费表'!q"&amp;$G$1)</f>
        <v>0.25</v>
      </c>
      <c r="G26" s="1851"/>
      <c r="H26" s="343" t="s">
        <v>1032</v>
      </c>
      <c r="I26" s="344" t="s">
        <v>1468</v>
      </c>
      <c r="J26" s="345">
        <f ca="1">IF(J5&lt;&gt;0,ROUND(J25*(1-((1+M28)/(1+M26))^M27)/(M26-M28),0),0)</f>
        <v>30526</v>
      </c>
      <c r="K26" s="369" t="s">
        <v>1469</v>
      </c>
      <c r="L26" s="346" t="s">
        <v>1470</v>
      </c>
      <c r="M26" s="356">
        <f ca="1">INDIRECT("'数据-取费表'!I"&amp;$G$1)</f>
        <v>4.4999999999999998E-2</v>
      </c>
    </row>
    <row r="27" spans="1:37" ht="18" customHeight="1">
      <c r="A27" s="1202" t="s">
        <v>1036</v>
      </c>
      <c r="B27" s="346" t="s">
        <v>1471</v>
      </c>
      <c r="C27" s="23">
        <f ca="1">ROUND(F21*F26,4)</f>
        <v>5.0000000000000001E-3</v>
      </c>
      <c r="D27" s="368" t="s">
        <v>1472</v>
      </c>
      <c r="E27" s="364"/>
      <c r="F27" s="365"/>
      <c r="G27" s="1851"/>
      <c r="H27" s="348"/>
      <c r="I27" s="349"/>
      <c r="J27" s="350"/>
      <c r="K27" s="377" t="s">
        <v>1473</v>
      </c>
      <c r="L27" s="346" t="s">
        <v>1474</v>
      </c>
      <c r="M27" s="378">
        <f ca="1">INDIRECT("'数据-取费表'!ag"&amp;$G$1)</f>
        <v>14.81</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6226</v>
      </c>
      <c r="D29" s="1343"/>
      <c r="E29" s="1341"/>
      <c r="F29" s="1344"/>
      <c r="G29" s="1854"/>
      <c r="H29" s="379" t="s">
        <v>1033</v>
      </c>
      <c r="I29" s="380" t="s">
        <v>1479</v>
      </c>
      <c r="J29" s="381">
        <f ca="1">ROUND(J26/(1+F40)^F41,0)</f>
        <v>20614</v>
      </c>
      <c r="K29" s="382" t="s">
        <v>1480</v>
      </c>
      <c r="L29" s="383"/>
      <c r="M29" s="384">
        <f ca="1">INDIRECT("'数据-取费表'!k"&amp;$G$1)</f>
        <v>13115.18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282</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ROUND(IF(项目基本情况!B11="自然人",C5*F31,C32+C33+C34),1)</f>
        <v>171.9</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IF(项目基本情况!B11="自然人","——",ROUND(C5*F32/(1+'数据-取费表'!C42),2))</f>
        <v>48.85</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109.92</v>
      </c>
      <c r="D33" s="1828" t="s">
        <v>3135</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IF(项目基本情况!B11="自然人","——",ROUND(F34*F35/10000,2))</f>
        <v>13.12</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10929.32</v>
      </c>
      <c r="G35" s="1851"/>
      <c r="H35" s="743"/>
      <c r="I35" s="1860"/>
      <c r="J35" s="1861"/>
      <c r="K35" s="1862"/>
      <c r="L35" s="1859"/>
      <c r="M35" s="1859"/>
    </row>
    <row r="36" spans="1:18" ht="18" customHeight="1">
      <c r="A36" s="1353" t="s">
        <v>1039</v>
      </c>
      <c r="B36" s="346" t="s">
        <v>1449</v>
      </c>
      <c r="C36" s="23">
        <f ca="1">ROUND(C29*F36,1)</f>
        <v>93.4</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ROUND(C13*F37,1)</f>
        <v>7.8</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9.1999999999999993</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634</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4575</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ROUND(C40*10000/F43,0)</f>
        <v>3488</v>
      </c>
      <c r="D43" s="382" t="s">
        <v>1488</v>
      </c>
      <c r="E43" s="383" t="s">
        <v>1489</v>
      </c>
      <c r="F43" s="384">
        <f ca="1">INDIRECT("'数据-取费表'!k"&amp;$G$1)</f>
        <v>13115.18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-9713</v>
      </c>
      <c r="D46" s="1872" t="str">
        <f>C2</f>
        <v>万元</v>
      </c>
      <c r="E46" s="1866"/>
      <c r="F46" s="1866"/>
      <c r="I46" s="1873" t="s">
        <v>1521</v>
      </c>
      <c r="J46" s="1874"/>
      <c r="K46" s="1875"/>
      <c r="L46" s="1876">
        <f ca="1">IF(M47="住宅",0,IF(L48&gt;J51,L60,J60))</f>
        <v>322</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t="s">
        <v>3136</v>
      </c>
      <c r="K47" s="1882" t="s">
        <v>1527</v>
      </c>
      <c r="L47" s="1883">
        <f ca="1">INDIRECT("'数据-取费表'!d"&amp;$G$1)</f>
        <v>40</v>
      </c>
      <c r="M47" s="1838" t="str">
        <f>IF(ISNUMBER(FIND("住宅",C1)),"住宅","非住宅")</f>
        <v>非住宅</v>
      </c>
      <c r="O47" s="1884" t="s">
        <v>1040</v>
      </c>
      <c r="P47" s="1885" t="s">
        <v>1528</v>
      </c>
      <c r="Q47" s="1886">
        <f ca="1">C40+J29</f>
        <v>25189</v>
      </c>
      <c r="R47" s="1886" t="s">
        <v>1529</v>
      </c>
    </row>
    <row r="48" spans="1:18" s="1842" customFormat="1" ht="28.5" thickBot="1">
      <c r="A48" s="1361" t="s">
        <v>1135</v>
      </c>
      <c r="B48" s="344" t="s">
        <v>1401</v>
      </c>
      <c r="C48" s="1817">
        <f ca="1">C49+C53+C55</f>
        <v>0</v>
      </c>
      <c r="D48" s="1363"/>
      <c r="E48" s="1364"/>
      <c r="F48" s="1182"/>
      <c r="G48" s="790"/>
      <c r="H48" s="791"/>
      <c r="I48" s="1887" t="s">
        <v>1530</v>
      </c>
      <c r="J48" s="1888" t="s">
        <v>3137</v>
      </c>
      <c r="K48" s="1889" t="s">
        <v>1531</v>
      </c>
      <c r="L48" s="1890">
        <f ca="1">INDIRECT("'数据-取费表'!f"&amp;$G$1)</f>
        <v>23.73</v>
      </c>
      <c r="O48" s="1884" t="s">
        <v>1041</v>
      </c>
      <c r="P48" s="1885" t="s">
        <v>1532</v>
      </c>
      <c r="Q48" s="1886">
        <f ca="1">J60</f>
        <v>322</v>
      </c>
      <c r="R48" s="1886" t="s">
        <v>1533</v>
      </c>
    </row>
    <row r="49" spans="1:18" s="1842" customFormat="1" ht="13.5" thickBot="1">
      <c r="A49" s="1195" t="s">
        <v>1136</v>
      </c>
      <c r="B49" s="1829" t="s">
        <v>1490</v>
      </c>
      <c r="C49" s="1365">
        <f ca="1">ROUND(F49*F51*F50*(1-F52)/10000,0)</f>
        <v>0</v>
      </c>
      <c r="D49" s="1277" t="s">
        <v>3020</v>
      </c>
      <c r="E49" s="1830" t="s">
        <v>1491</v>
      </c>
      <c r="F49" s="1282"/>
      <c r="G49" s="1891"/>
      <c r="H49" s="791"/>
      <c r="I49" s="1887" t="s">
        <v>1534</v>
      </c>
      <c r="J49" s="1892">
        <v>2005</v>
      </c>
      <c r="K49" s="1889" t="s">
        <v>1535</v>
      </c>
      <c r="L49" s="1893"/>
      <c r="O49" s="1894" t="s">
        <v>1042</v>
      </c>
      <c r="P49" s="1885" t="s">
        <v>1536</v>
      </c>
      <c r="Q49" s="1886">
        <f ca="1">C29</f>
        <v>6226</v>
      </c>
      <c r="R49" s="1886" t="s">
        <v>1529</v>
      </c>
    </row>
    <row r="50" spans="1:18" s="1842" customFormat="1" ht="13.5" thickBot="1">
      <c r="A50" s="1196"/>
      <c r="B50" s="1199"/>
      <c r="C50" s="1369"/>
      <c r="D50" s="1173"/>
      <c r="E50" s="1278" t="s">
        <v>1406</v>
      </c>
      <c r="F50" s="1279">
        <f ca="1">F7</f>
        <v>13115.18</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365</v>
      </c>
      <c r="I51" s="1898" t="s">
        <v>1540</v>
      </c>
      <c r="J51" s="1899">
        <f>IF(J49="",J50,J49+J50-YEAR('数据-取费表'!B2))</f>
        <v>47</v>
      </c>
      <c r="K51" s="1900" t="s">
        <v>1541</v>
      </c>
      <c r="L51" s="1901">
        <f ca="1">ROUND(-PV(INDIRECT("'数据-取费表'!h"&amp;$G$1),L48,(C39-C13*C76),0),0)</f>
        <v>2729</v>
      </c>
      <c r="M51" s="1902"/>
      <c r="O51" s="1894" t="s">
        <v>1044</v>
      </c>
      <c r="P51" s="1885" t="s">
        <v>1542</v>
      </c>
      <c r="Q51" s="1897">
        <f>J52</f>
        <v>0.09</v>
      </c>
      <c r="R51" s="1886"/>
    </row>
    <row r="52" spans="1:18" s="1842" customFormat="1" ht="13.5" thickBot="1">
      <c r="A52" s="1197"/>
      <c r="B52" s="1199"/>
      <c r="C52" s="1200"/>
      <c r="D52" s="1173"/>
      <c r="E52" s="1201" t="s">
        <v>1408</v>
      </c>
      <c r="F52" s="1276">
        <v>0.15</v>
      </c>
      <c r="I52" s="1903" t="s">
        <v>1543</v>
      </c>
      <c r="J52" s="1904">
        <v>0.09</v>
      </c>
      <c r="K52" s="1903" t="s">
        <v>1544</v>
      </c>
      <c r="L52" s="1904"/>
      <c r="O52" s="1894" t="s">
        <v>1045</v>
      </c>
      <c r="P52" s="1885" t="s">
        <v>1545</v>
      </c>
      <c r="Q52" s="1886">
        <f ca="1">J53</f>
        <v>23.73</v>
      </c>
      <c r="R52" s="1886" t="s">
        <v>1546</v>
      </c>
    </row>
    <row r="53" spans="1:18" s="1842" customFormat="1" ht="24.75" thickBot="1">
      <c r="A53" s="1406" t="s">
        <v>1137</v>
      </c>
      <c r="B53" s="1831" t="s">
        <v>1409</v>
      </c>
      <c r="C53" s="360">
        <f ca="1">ROUND(IF(F53="押一",C49/12*F11,IF(F53="押二",C49/12*2*F11,IF(F53="押三",C49/12*3*F11,C54*F11))),0)</f>
        <v>0</v>
      </c>
      <c r="D53" s="1824" t="s">
        <v>3027</v>
      </c>
      <c r="E53" s="357" t="s">
        <v>1410</v>
      </c>
      <c r="F53" s="1367" t="s">
        <v>3134</v>
      </c>
      <c r="I53" s="1905" t="s">
        <v>1547</v>
      </c>
      <c r="J53" s="1906">
        <f ca="1">IF(M47="住宅",IF(D1="——",MAX(J51,L48),IF(D1="在建（套用方法）",MAX(J51,L48-'数据-取费表'!B24),MAX(J51,L48-'数据-取费表'!B20))),IF(D1="——",MIN(J51,L48),IF(D1="在建（套用方法）",MIN(J51,L48-'数据-取费表'!B24),IF(D1="土地（套用方法）",MIN(J51,L48-'数据-取费表'!B20)))))</f>
        <v>23.73</v>
      </c>
      <c r="K53" s="3259" t="s">
        <v>1548</v>
      </c>
      <c r="L53" s="3260"/>
      <c r="O53" s="1884" t="s">
        <v>1046</v>
      </c>
      <c r="P53" s="1885" t="s">
        <v>1549</v>
      </c>
      <c r="Q53" s="1886">
        <f ca="1">Q47+Q48</f>
        <v>25511</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0.38800000000000001</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5230</v>
      </c>
      <c r="D56" s="1914"/>
      <c r="E56" s="1915"/>
      <c r="F56" s="1907"/>
      <c r="I56" s="1916" t="s">
        <v>1554</v>
      </c>
      <c r="J56" s="1917"/>
      <c r="K56" s="1887" t="s">
        <v>1555</v>
      </c>
      <c r="L56" s="1890" t="str">
        <f ca="1">IF(L48&lt;J51,"——",L48-J53)</f>
        <v>——</v>
      </c>
      <c r="O56" s="1884" t="s">
        <v>1040</v>
      </c>
      <c r="P56" s="1885" t="s">
        <v>1528</v>
      </c>
      <c r="Q56" s="1886">
        <f ca="1">C40+J29</f>
        <v>25189</v>
      </c>
      <c r="R56" s="1886" t="s">
        <v>1529</v>
      </c>
    </row>
    <row r="57" spans="1:18" s="1842" customFormat="1" ht="24.75" thickBot="1">
      <c r="A57" s="1918"/>
      <c r="B57" s="1170" t="s">
        <v>1478</v>
      </c>
      <c r="C57" s="281">
        <f ca="1">C29</f>
        <v>6226</v>
      </c>
      <c r="D57" s="1919"/>
      <c r="E57" s="1920"/>
      <c r="F57" s="1921"/>
      <c r="I57" s="1922" t="s">
        <v>1556</v>
      </c>
      <c r="J57" s="1923">
        <f ca="1">IF(OR(M47="住宅",J51&lt;L48,J56="是"),"——",J51-L48)</f>
        <v>23.27</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637</v>
      </c>
      <c r="D58" s="1180" t="s">
        <v>1425</v>
      </c>
      <c r="E58" s="1181"/>
      <c r="F58" s="1182"/>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ROUND(IF(项目基本情况!B11="自然人",C48*F59,C60+C61+C62),1)</f>
        <v>536.1</v>
      </c>
      <c r="D59" s="1183" t="s">
        <v>1430</v>
      </c>
      <c r="E59" s="1184" t="s">
        <v>1431</v>
      </c>
      <c r="F59" s="367" t="str">
        <f ca="1">IF(项目基本情况!B11="企业","",IF(INDIRECT("'数据-取费表'!c"&amp;$G$1)="住宅",5%,IF(F49*F50*F51/12/(1+'数据-取费表'!C42)&gt;20000,12%,7%)))</f>
        <v/>
      </c>
      <c r="I59" s="1922" t="s">
        <v>1563</v>
      </c>
      <c r="J59" s="1923">
        <f ca="1">IF(OR(M47="住宅",J51&lt;L48,J56="是"),"——",ROUND(C29*J58,0))</f>
        <v>2490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5" t="s">
        <v>1565</v>
      </c>
      <c r="J60" s="1926">
        <f ca="1">IF(OR(M47="住宅",J51&lt;L48,J56="是"),"0",ROUND(J59/(1+J52)^J53,0))</f>
        <v>322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IF(项目基本情况!B11="自然人","——",IF(D61="按租金收入计税",ROUND(C48*F61,2),IF(D61="按房产原值计税",ROUND(C57*F61*0.7,2),INDIRECT("'数据-取费表'!Aj"&amp;$G$1))))</f>
        <v>522.98</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IF(项目基本情况!B11="自然人","——",ROUND(F62*F63/10000,2))</f>
        <v>13.12</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25189</v>
      </c>
      <c r="R62" s="1886" t="s">
        <v>1047</v>
      </c>
    </row>
    <row r="63" spans="1:18" s="1842" customFormat="1" ht="13.5" thickBot="1">
      <c r="A63" s="371"/>
      <c r="B63" s="1176"/>
      <c r="C63" s="28"/>
      <c r="D63" s="1186"/>
      <c r="E63" s="1170" t="s">
        <v>1499</v>
      </c>
      <c r="F63" s="347">
        <f t="shared" ca="1" si="0"/>
        <v>10929.32</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ROUND(C57*F64,1)</f>
        <v>93.4</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ROUND(C56*F65,1)</f>
        <v>7.8</v>
      </c>
      <c r="D65" s="1184" t="s">
        <v>1454</v>
      </c>
      <c r="E65" s="1170" t="s">
        <v>1455</v>
      </c>
      <c r="F65" s="375">
        <f t="shared" ca="1" si="0"/>
        <v>1.5E-3</v>
      </c>
      <c r="I65" s="1929" t="s">
        <v>1579</v>
      </c>
      <c r="J65" s="1930">
        <v>40</v>
      </c>
      <c r="K65" s="1930">
        <v>30</v>
      </c>
      <c r="L65" s="1930">
        <v>50</v>
      </c>
      <c r="M65" s="1932">
        <v>0.02</v>
      </c>
      <c r="O65" s="1884" t="s">
        <v>1040</v>
      </c>
      <c r="P65" s="1885" t="s">
        <v>1580</v>
      </c>
      <c r="Q65" s="1886">
        <f ca="1">C40+J29</f>
        <v>25189</v>
      </c>
      <c r="R65" s="1886" t="s">
        <v>1529</v>
      </c>
    </row>
    <row r="66" spans="1:18" s="1842" customFormat="1" ht="16.5" thickBot="1">
      <c r="A66" s="1202" t="s">
        <v>1504</v>
      </c>
      <c r="B66" s="1170" t="s">
        <v>1439</v>
      </c>
      <c r="C66" s="23">
        <f ca="1">ROUND(C48*F66,1)</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-637</v>
      </c>
      <c r="D67" s="1183" t="s">
        <v>1464</v>
      </c>
      <c r="E67" s="1188"/>
      <c r="F67" s="1189"/>
      <c r="O67" s="1894" t="s">
        <v>1042</v>
      </c>
      <c r="P67" s="1885" t="s">
        <v>1562</v>
      </c>
      <c r="Q67" s="1933">
        <f ca="1">L51</f>
        <v>2729</v>
      </c>
      <c r="R67" s="1886" t="s">
        <v>1582</v>
      </c>
    </row>
    <row r="68" spans="1:18" s="1842" customFormat="1" ht="16.5" thickBot="1">
      <c r="A68" s="1167" t="s">
        <v>1032</v>
      </c>
      <c r="B68" s="1168" t="s">
        <v>1485</v>
      </c>
      <c r="C68" s="345">
        <f ca="1">ROUND(C67*(1-((1+F70)/(1+F68))^F69)/(F68-F70),0)</f>
        <v>-5138</v>
      </c>
      <c r="D68" s="1185" t="s">
        <v>1469</v>
      </c>
      <c r="E68" s="1170" t="s">
        <v>1470</v>
      </c>
      <c r="F68" s="356">
        <f ca="1">F40</f>
        <v>4.4999999999999998E-2</v>
      </c>
      <c r="O68" s="1894" t="s">
        <v>1043</v>
      </c>
      <c r="P68" s="1934" t="s">
        <v>1583</v>
      </c>
      <c r="Q68" s="1886">
        <f ca="1">ROUND(Q69-Q70*Q71,0)</f>
        <v>189</v>
      </c>
      <c r="R68" s="1886" t="s">
        <v>1051</v>
      </c>
    </row>
    <row r="69" spans="1:18" s="1842" customFormat="1" ht="13.5" thickBot="1">
      <c r="A69" s="1171"/>
      <c r="B69" s="1172"/>
      <c r="C69" s="350"/>
      <c r="D69" s="1190" t="s">
        <v>1473</v>
      </c>
      <c r="E69" s="1170" t="s">
        <v>1474</v>
      </c>
      <c r="F69" s="378">
        <f ca="1">F41</f>
        <v>8.92</v>
      </c>
      <c r="O69" s="1894" t="s">
        <v>1048</v>
      </c>
      <c r="P69" s="1934" t="s">
        <v>1584</v>
      </c>
      <c r="Q69" s="1886">
        <f ca="1">C39</f>
        <v>634</v>
      </c>
      <c r="R69" s="1886" t="s">
        <v>1529</v>
      </c>
    </row>
    <row r="70" spans="1:18" s="1842" customFormat="1" ht="13.5" thickBot="1">
      <c r="A70" s="1174"/>
      <c r="B70" s="1175"/>
      <c r="C70" s="354"/>
      <c r="D70" s="1186"/>
      <c r="E70" s="1170" t="s">
        <v>1477</v>
      </c>
      <c r="F70" s="1276">
        <v>0.03</v>
      </c>
      <c r="O70" s="1894" t="s">
        <v>1049</v>
      </c>
      <c r="P70" s="1934" t="s">
        <v>1585</v>
      </c>
      <c r="Q70" s="1886">
        <f ca="1">C13</f>
        <v>5230</v>
      </c>
      <c r="R70" s="1886" t="s">
        <v>1529</v>
      </c>
    </row>
    <row r="71" spans="1:18" s="1842" customFormat="1" ht="13.5" thickBot="1">
      <c r="A71" s="1191" t="s">
        <v>1033</v>
      </c>
      <c r="B71" s="1192" t="s">
        <v>1487</v>
      </c>
      <c r="C71" s="381">
        <f ca="1">ROUND(C68*10000/F71,0)</f>
        <v>-3918</v>
      </c>
      <c r="D71" s="1193" t="s">
        <v>1488</v>
      </c>
      <c r="E71" s="1194" t="s">
        <v>1489</v>
      </c>
      <c r="F71" s="384">
        <f ca="1">F43</f>
        <v>13115.18</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445</v>
      </c>
      <c r="D75" s="1842"/>
      <c r="E75" s="1842"/>
      <c r="F75" s="1842"/>
      <c r="K75" s="1868"/>
      <c r="L75" s="1842"/>
      <c r="O75" s="1884" t="s">
        <v>1046</v>
      </c>
      <c r="P75" s="1885" t="s">
        <v>1549</v>
      </c>
      <c r="Q75" s="1886">
        <f ca="1">Q65+Q66</f>
        <v>25189</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0.29800000000000004</v>
      </c>
    </row>
    <row r="80" spans="1:18">
      <c r="B80" s="385" t="s">
        <v>1511</v>
      </c>
      <c r="C80" s="317">
        <f ca="1">ROUND(C75/C39,3)</f>
        <v>0.70199999999999996</v>
      </c>
    </row>
    <row r="81" spans="2:3">
      <c r="B81" s="313" t="s">
        <v>1512</v>
      </c>
      <c r="C81" s="281"/>
    </row>
    <row r="82" spans="2:3">
      <c r="B82" s="316" t="s">
        <v>1513</v>
      </c>
      <c r="C82" s="318">
        <f ca="1">1-C83</f>
        <v>-0.14300000000000002</v>
      </c>
    </row>
    <row r="83" spans="2:3">
      <c r="B83" s="316" t="s">
        <v>1514</v>
      </c>
      <c r="C83" s="317">
        <f ca="1">ROUND(C13/C40,3)</f>
        <v>1.143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7" zoomScaleNormal="100" zoomScaleSheetLayoutView="100" zoomScalePageLayoutView="80" workbookViewId="0">
      <selection activeCell="I108" sqref="I108"/>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48</v>
      </c>
      <c r="D1" s="2416"/>
      <c r="E1" s="2416"/>
      <c r="F1" s="2418" t="s">
        <v>2108</v>
      </c>
      <c r="G1" s="2068" t="s">
        <v>3050</v>
      </c>
      <c r="H1" s="2419" t="str">
        <f>IF(G1="现房","——","估价对象范围")</f>
        <v>——</v>
      </c>
      <c r="I1" s="2420" t="s">
        <v>3186</v>
      </c>
    </row>
    <row r="2" spans="1:12" ht="21.75" customHeight="1" thickBot="1">
      <c r="A2" s="3147" t="str">
        <f>项目基本情况!S2</f>
        <v>上海市松江区九亭镇虬泾路116号等18套商业、地下车库用房房地产</v>
      </c>
      <c r="B2" s="3148"/>
      <c r="C2" s="3148"/>
      <c r="D2" s="3148"/>
      <c r="E2" s="3148"/>
      <c r="F2" s="3148"/>
      <c r="G2" s="3148"/>
      <c r="H2" s="3148"/>
      <c r="I2" s="3149"/>
    </row>
    <row r="3" spans="1:12" ht="12.75">
      <c r="A3" s="3151" t="s">
        <v>2109</v>
      </c>
      <c r="B3" s="3152"/>
      <c r="C3" s="3152"/>
      <c r="D3" s="3152"/>
      <c r="E3" s="3152"/>
      <c r="F3" s="3152"/>
      <c r="G3" s="3152"/>
      <c r="H3" s="3152"/>
      <c r="I3" s="3152"/>
    </row>
    <row r="4" spans="1:12" ht="14.25">
      <c r="A4" s="2423" t="s">
        <v>2110</v>
      </c>
      <c r="B4" s="2424" t="s">
        <v>2111</v>
      </c>
      <c r="C4" s="2425" t="s">
        <v>3209</v>
      </c>
      <c r="D4" s="2425" t="s">
        <v>3141</v>
      </c>
      <c r="E4" s="3144" t="s">
        <v>2112</v>
      </c>
      <c r="F4" s="3145"/>
      <c r="G4" s="3145"/>
      <c r="H4" s="3145"/>
      <c r="I4" s="3153"/>
      <c r="K4" s="2426" t="str">
        <f>IF(ISNUMBER(FIND("比较法",'结果表-车位'!C4)),"比较法",IF(ISNUMBER(FIND("成本法",'结果表-车位'!C4)),"成本法",IF(ISNUMBER(FIND("假设开发法",'结果表-车位'!C4)),"假设开发法",IF(ISNUMBER(FIND("收益法",'结果表-车位'!C4)),"收益法","基准地价系数修正法"))))</f>
        <v>比较法</v>
      </c>
      <c r="L4" s="242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hidden="1">
      <c r="A5" s="3127" t="s">
        <v>2113</v>
      </c>
      <c r="B5" s="3065">
        <v>25</v>
      </c>
      <c r="C5" s="3130"/>
      <c r="D5" s="3150"/>
      <c r="E5" s="139" t="s">
        <v>2114</v>
      </c>
      <c r="F5" s="2427"/>
      <c r="G5" s="2427"/>
      <c r="H5" s="2427"/>
      <c r="I5" s="1831"/>
    </row>
    <row r="6" spans="1:12" ht="12.75" hidden="1">
      <c r="A6" s="3127"/>
      <c r="B6" s="3065"/>
      <c r="C6" s="3131"/>
      <c r="D6" s="3150"/>
      <c r="E6" s="139" t="s">
        <v>2115</v>
      </c>
      <c r="F6" s="2427"/>
      <c r="G6" s="2427"/>
      <c r="H6" s="2427"/>
      <c r="I6" s="1831"/>
    </row>
    <row r="7" spans="1:12" ht="12.75" hidden="1">
      <c r="A7" s="3127"/>
      <c r="B7" s="3065"/>
      <c r="C7" s="3132"/>
      <c r="D7" s="3150"/>
      <c r="E7" s="139" t="s">
        <v>2116</v>
      </c>
      <c r="F7" s="2427"/>
      <c r="G7" s="2427"/>
      <c r="H7" s="2427"/>
      <c r="I7" s="1831"/>
    </row>
    <row r="8" spans="1:12" ht="12.75" hidden="1">
      <c r="A8" s="3127" t="s">
        <v>2117</v>
      </c>
      <c r="B8" s="3065">
        <v>15</v>
      </c>
      <c r="C8" s="3130"/>
      <c r="D8" s="3150"/>
      <c r="E8" s="139" t="s">
        <v>2118</v>
      </c>
      <c r="F8" s="2427"/>
      <c r="G8" s="2427"/>
      <c r="H8" s="2427"/>
      <c r="I8" s="1831"/>
    </row>
    <row r="9" spans="1:12" ht="12.75" hidden="1">
      <c r="A9" s="3127"/>
      <c r="B9" s="3065"/>
      <c r="C9" s="3132"/>
      <c r="D9" s="3150"/>
      <c r="E9" s="139" t="s">
        <v>2119</v>
      </c>
      <c r="F9" s="2427"/>
      <c r="G9" s="2427"/>
      <c r="H9" s="2427"/>
      <c r="I9" s="1831"/>
    </row>
    <row r="10" spans="1:12" ht="12.75" hidden="1">
      <c r="A10" s="3127" t="s">
        <v>2120</v>
      </c>
      <c r="B10" s="3065">
        <v>15</v>
      </c>
      <c r="C10" s="3130"/>
      <c r="D10" s="3150"/>
      <c r="E10" s="139" t="s">
        <v>2121</v>
      </c>
      <c r="F10" s="2427"/>
      <c r="G10" s="2427"/>
      <c r="H10" s="2427"/>
      <c r="I10" s="1831"/>
    </row>
    <row r="11" spans="1:12" ht="12.75" hidden="1">
      <c r="A11" s="3127"/>
      <c r="B11" s="3065"/>
      <c r="C11" s="3132"/>
      <c r="D11" s="3150"/>
      <c r="E11" s="139" t="s">
        <v>2122</v>
      </c>
      <c r="F11" s="2427"/>
      <c r="G11" s="2427"/>
      <c r="H11" s="2427"/>
      <c r="I11" s="1831"/>
    </row>
    <row r="12" spans="1:12" ht="12.75" hidden="1">
      <c r="A12" s="3127" t="s">
        <v>2123</v>
      </c>
      <c r="B12" s="3065">
        <v>15</v>
      </c>
      <c r="C12" s="3130"/>
      <c r="D12" s="3150"/>
      <c r="E12" s="139" t="s">
        <v>2124</v>
      </c>
      <c r="F12" s="2427"/>
      <c r="G12" s="2427"/>
      <c r="H12" s="2427"/>
      <c r="I12" s="1831"/>
    </row>
    <row r="13" spans="1:12" ht="12.75" hidden="1">
      <c r="A13" s="3127"/>
      <c r="B13" s="3065"/>
      <c r="C13" s="3132"/>
      <c r="D13" s="3150"/>
      <c r="E13" s="139" t="s">
        <v>2125</v>
      </c>
      <c r="F13" s="2427"/>
      <c r="G13" s="2427"/>
      <c r="H13" s="2427"/>
      <c r="I13" s="1831"/>
    </row>
    <row r="14" spans="1:12" ht="12.75">
      <c r="A14" s="3127" t="s">
        <v>2126</v>
      </c>
      <c r="B14" s="3065">
        <v>30</v>
      </c>
      <c r="C14" s="3130">
        <f>结果表!C14</f>
        <v>8</v>
      </c>
      <c r="D14" s="3150">
        <f>结果表!D14</f>
        <v>2</v>
      </c>
      <c r="E14" s="139" t="s">
        <v>2127</v>
      </c>
      <c r="F14" s="2427"/>
      <c r="G14" s="2427"/>
      <c r="H14" s="2427"/>
      <c r="I14" s="1831"/>
    </row>
    <row r="15" spans="1:12" ht="12.75">
      <c r="A15" s="3127"/>
      <c r="B15" s="3065"/>
      <c r="C15" s="3131"/>
      <c r="D15" s="3150"/>
      <c r="E15" s="139" t="s">
        <v>2128</v>
      </c>
      <c r="F15" s="2427"/>
      <c r="G15" s="2427"/>
      <c r="H15" s="2427"/>
      <c r="I15" s="1831"/>
    </row>
    <row r="16" spans="1:12" ht="12.75">
      <c r="A16" s="3127"/>
      <c r="B16" s="3065"/>
      <c r="C16" s="3132"/>
      <c r="D16" s="3150"/>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3250</v>
      </c>
      <c r="M18" s="2426">
        <f>IF(C1="",'数据-汇总表'!E3,SUMIF(项目类型,C1,'数据-汇总表'!E17:E26))</f>
        <v>3250</v>
      </c>
    </row>
    <row r="19" spans="1:35" ht="15">
      <c r="A19" s="2432" t="s">
        <v>2135</v>
      </c>
      <c r="B19" s="2433" t="s">
        <v>2136</v>
      </c>
      <c r="C19" s="142">
        <f ca="1">SUMIF(INDIRECT("'"&amp;C4&amp;"'"&amp;"!A:A"),'结果表-车位'!B19,INDIRECT("'"&amp;C4&amp;"'"&amp;"!B:B"))</f>
        <v>1245</v>
      </c>
      <c r="D19" s="143">
        <f ca="1">SUMIF(INDIRECT("'"&amp;D4&amp;"'"&amp;"!A:A"),'结果表-车位'!B19,INDIRECT("'"&amp;D4&amp;"'"&amp;"!B:B"))</f>
        <v>372</v>
      </c>
      <c r="E19" s="2432" t="s">
        <v>2137</v>
      </c>
      <c r="F19" s="2433" t="s">
        <v>2136</v>
      </c>
      <c r="G19" s="144">
        <f ca="1">ROUND(C19*$C$18+D19*$D$18,0)</f>
        <v>1070</v>
      </c>
      <c r="H19" s="2434" t="s">
        <v>2138</v>
      </c>
      <c r="I19" s="137"/>
      <c r="K19" s="2426" t="s">
        <v>2139</v>
      </c>
      <c r="L19" s="2426">
        <f>IF(C1="",'数据-汇总表'!D3,SUMIF(项目类型,C1,'数据-汇总表'!D17:D26)+SUMIF(项目类型,C1,'数据-汇总表'!H17:H27))</f>
        <v>2708.33</v>
      </c>
      <c r="M19" s="2426">
        <f>IF(C1="",'数据-汇总表'!D3,SUMIF(项目类型,C1,'数据-汇总表'!D17:D26))</f>
        <v>2708.33</v>
      </c>
    </row>
    <row r="20" spans="1:35" ht="15">
      <c r="A20" s="2435"/>
      <c r="B20" s="1248" t="s">
        <v>2140</v>
      </c>
      <c r="C20" s="145">
        <f ca="1">SUMIF(INDIRECT("'"&amp;C4&amp;"'"&amp;"!A:A"),'结果表-车位'!B20,INDIRECT("'"&amp;C4&amp;"'"&amp;"!B:B"))</f>
        <v>3831</v>
      </c>
      <c r="D20" s="146">
        <f ca="1">SUMIF(INDIRECT("'"&amp;D4&amp;"'"&amp;"!A:A"),'结果表-车位'!B20,INDIRECT("'"&amp;D4&amp;"'"&amp;"!B:B"))</f>
        <v>1145</v>
      </c>
      <c r="E20" s="2435"/>
      <c r="F20" s="1248" t="s">
        <v>2140</v>
      </c>
      <c r="G20" s="147">
        <f ca="1">ROUND(C20*$C$18+D20*$D$18,0)</f>
        <v>3294</v>
      </c>
      <c r="H20" s="981" t="s">
        <v>2141</v>
      </c>
      <c r="I20" s="137"/>
    </row>
    <row r="21" spans="1:35" ht="15" customHeight="1" thickBot="1">
      <c r="A21" s="1001"/>
      <c r="B21" s="2436" t="s">
        <v>2142</v>
      </c>
      <c r="C21" s="787">
        <f ca="1">ROUND(C19*10000/L19,0)</f>
        <v>4597</v>
      </c>
      <c r="D21" s="788">
        <f ca="1">ROUND(D19*10000/L19,0)</f>
        <v>1374</v>
      </c>
      <c r="E21" s="1001"/>
      <c r="F21" s="2436" t="s">
        <v>2142</v>
      </c>
      <c r="G21" s="148">
        <f ca="1">ROUND(G19*10000/L19,0)</f>
        <v>3951</v>
      </c>
      <c r="H21" s="2437" t="s">
        <v>2141</v>
      </c>
      <c r="I21" s="137"/>
    </row>
    <row r="22" spans="1:35" ht="15" thickBot="1">
      <c r="A22" s="2278" t="s">
        <v>2143</v>
      </c>
      <c r="B22" s="2438"/>
      <c r="C22" s="2439"/>
      <c r="D22" s="789">
        <f ca="1">IF(C19&lt;D19,D19/C19-1,C19/D19-1)</f>
        <v>2.346774193548387</v>
      </c>
      <c r="E22" s="137"/>
      <c r="F22" s="137"/>
      <c r="G22" s="137"/>
      <c r="H22" s="137"/>
      <c r="I22" s="137"/>
    </row>
    <row r="23" spans="1:35" ht="13.5" hidden="1" thickBot="1">
      <c r="A23" s="2416"/>
      <c r="B23" s="2416"/>
      <c r="C23" s="2416"/>
      <c r="D23" s="2416"/>
      <c r="E23" s="137"/>
      <c r="F23" s="137"/>
      <c r="G23" s="137"/>
      <c r="H23" s="137"/>
      <c r="I23" s="137"/>
    </row>
    <row r="24" spans="1:35" ht="15" hidden="1" thickBot="1">
      <c r="A24" s="3121" t="s">
        <v>2144</v>
      </c>
      <c r="B24" s="2433" t="s">
        <v>2136</v>
      </c>
      <c r="C24" s="144">
        <f>IF(B30=0,0,D30)</f>
        <v>0</v>
      </c>
      <c r="D24" s="2440"/>
      <c r="E24" s="137"/>
      <c r="F24" s="137"/>
      <c r="G24" s="137"/>
      <c r="H24" s="137"/>
      <c r="I24" s="137"/>
    </row>
    <row r="25" spans="1:35" ht="15" hidden="1" thickBot="1">
      <c r="A25" s="3122"/>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5" hidden="1" thickBot="1">
      <c r="A27" s="2442"/>
      <c r="B27" s="150">
        <v>0</v>
      </c>
      <c r="C27" s="150">
        <v>0</v>
      </c>
      <c r="D27" s="151">
        <f>ROUND(C27*B27/10000,0)</f>
        <v>0</v>
      </c>
      <c r="E27" s="137"/>
      <c r="F27" s="137"/>
      <c r="G27" s="137"/>
      <c r="H27" s="137"/>
      <c r="I27" s="137"/>
    </row>
    <row r="28" spans="1:35" ht="15" hidden="1" thickBot="1">
      <c r="A28" s="2442"/>
      <c r="B28" s="150"/>
      <c r="C28" s="150"/>
      <c r="D28" s="151"/>
      <c r="E28" s="137"/>
      <c r="F28" s="137"/>
      <c r="G28" s="137"/>
      <c r="H28" s="137"/>
      <c r="I28" s="137"/>
    </row>
    <row r="29" spans="1:35" ht="15" hidden="1" thickBot="1">
      <c r="A29" s="2442"/>
      <c r="B29" s="150"/>
      <c r="C29" s="150"/>
      <c r="D29" s="151"/>
      <c r="E29" s="137"/>
      <c r="F29" s="137"/>
      <c r="G29" s="137"/>
      <c r="H29" s="137"/>
      <c r="I29" s="137"/>
    </row>
    <row r="30" spans="1:35" ht="15" hidden="1" thickBot="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1070</v>
      </c>
      <c r="D32" s="2447" t="s">
        <v>2151</v>
      </c>
      <c r="E32" s="137"/>
      <c r="F32" s="137"/>
      <c r="G32" s="137"/>
      <c r="H32" s="137"/>
      <c r="I32" s="137"/>
    </row>
    <row r="33" spans="1:15" ht="15">
      <c r="A33" s="958" t="s">
        <v>2152</v>
      </c>
      <c r="B33" s="2448"/>
      <c r="C33" s="2449" t="s">
        <v>3266</v>
      </c>
      <c r="D33" s="2450" t="s">
        <v>3141</v>
      </c>
      <c r="E33" s="2451" t="s">
        <v>2153</v>
      </c>
      <c r="F33" s="2947" t="str">
        <f>IF(D32="楼面单价","取值（单价）","取值（总价）")</f>
        <v>取值（总价）</v>
      </c>
      <c r="G33" s="137"/>
      <c r="H33" s="137"/>
      <c r="I33" s="137"/>
    </row>
    <row r="34" spans="1:15" ht="15">
      <c r="A34" s="2453"/>
      <c r="B34" s="2454" t="s">
        <v>2154</v>
      </c>
      <c r="C34" s="156">
        <f ca="1">IF(C33="自定义",F34,C32-C35)</f>
        <v>-29852</v>
      </c>
      <c r="D34" s="1056">
        <f ca="1">IF(C33="自定义",ROUND(C34/C32,3),IF(C33="收益比率",SUMIF(INDIRECT("'"&amp;D33&amp;"'"&amp;"!b:b"),"土地收益比率",INDIRECT("'"&amp;D33&amp;"'"&amp;"!c:c")),SUMIF(INDIRECT("'"&amp;D33&amp;"'"&amp;"!b:b"),"土地成本比率",INDIRECT("'"&amp;D33&amp;"'"&amp;"!c:c"))))</f>
        <v>-27.899000000000001</v>
      </c>
      <c r="E34" s="2455" t="s">
        <v>2155</v>
      </c>
      <c r="F34" s="1736"/>
      <c r="G34" s="137"/>
      <c r="H34" s="137"/>
      <c r="I34" s="137"/>
    </row>
    <row r="35" spans="1:15" ht="15.75" thickBot="1">
      <c r="A35" s="2456"/>
      <c r="B35" s="2457" t="s">
        <v>2156</v>
      </c>
      <c r="C35" s="1442">
        <f ca="1">IF(C33="自定义",F35,ROUND(C32*D35,0))</f>
        <v>30922</v>
      </c>
      <c r="D35" s="1443">
        <f ca="1">IF(C33="自定义",ROUND(C35/C32,3),IF(C33="收益比率",SUMIF(INDIRECT("'"&amp;D33&amp;"'"&amp;"!b:b"),"建筑物收益比率",INDIRECT("'"&amp;D33&amp;"'"&amp;"!c:c")),SUMIF(INDIRECT("'"&amp;D33&amp;"'"&amp;"!b:b"),"建筑物成本比率",INDIRECT("'"&amp;D33&amp;"'"&amp;"!c:c"))))</f>
        <v>28.899000000000001</v>
      </c>
      <c r="E35" s="2458" t="s">
        <v>2157</v>
      </c>
      <c r="F35" s="162"/>
      <c r="G35" s="137"/>
      <c r="H35" s="137"/>
      <c r="I35" s="137"/>
    </row>
    <row r="36" spans="1:15" ht="15.75" hidden="1" thickBot="1">
      <c r="A36" s="3139" t="s">
        <v>2158</v>
      </c>
      <c r="B36" s="2459" t="s">
        <v>2159</v>
      </c>
      <c r="C36" s="153"/>
      <c r="D36" s="2460"/>
      <c r="E36" s="2461"/>
      <c r="F36" s="2462"/>
      <c r="G36" s="137"/>
      <c r="H36" s="137"/>
      <c r="I36" s="137"/>
    </row>
    <row r="37" spans="1:15" ht="15" hidden="1">
      <c r="A37" s="3140"/>
      <c r="B37" s="2264" t="s">
        <v>2160</v>
      </c>
      <c r="C37" s="155"/>
      <c r="D37" s="1393"/>
      <c r="E37" s="1393"/>
      <c r="F37" s="2462"/>
      <c r="G37" s="137"/>
      <c r="H37" s="137"/>
      <c r="I37" s="137"/>
    </row>
    <row r="38" spans="1:15" ht="15.75" hidden="1" thickBot="1">
      <c r="A38" s="3141"/>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18" t="s">
        <v>2172</v>
      </c>
      <c r="B45" s="3119"/>
      <c r="C45" s="3120"/>
      <c r="D45" s="163">
        <f ca="1">ROUND(H101*F45,0)</f>
        <v>1070</v>
      </c>
      <c r="E45" s="164" t="s">
        <v>2173</v>
      </c>
      <c r="F45" s="165">
        <v>1</v>
      </c>
      <c r="G45" s="166" t="s">
        <v>2174</v>
      </c>
      <c r="H45" s="137"/>
      <c r="I45" s="137"/>
      <c r="J45" s="3178" t="s">
        <v>2175</v>
      </c>
      <c r="K45" s="3178"/>
      <c r="L45" s="3178"/>
      <c r="M45" s="3178"/>
      <c r="N45" s="3178"/>
      <c r="O45" s="3178"/>
    </row>
    <row r="46" spans="1:15" ht="14.25" hidden="1" customHeight="1">
      <c r="A46" s="3115" t="s">
        <v>2176</v>
      </c>
      <c r="B46" s="3116"/>
      <c r="C46" s="3116"/>
      <c r="D46" s="3116"/>
      <c r="E46" s="3116"/>
      <c r="F46" s="3116"/>
      <c r="G46" s="3117"/>
      <c r="H46" s="2478"/>
      <c r="I46" s="167"/>
      <c r="J46" s="2952">
        <v>1</v>
      </c>
      <c r="K46" s="3178" t="s">
        <v>2177</v>
      </c>
      <c r="L46" s="3178"/>
      <c r="M46" s="3198"/>
      <c r="N46" s="3198"/>
      <c r="O46" s="3198"/>
    </row>
    <row r="47" spans="1:15" ht="12" hidden="1" customHeight="1">
      <c r="A47" s="168" t="s">
        <v>2178</v>
      </c>
      <c r="B47" s="169"/>
      <c r="C47" s="170"/>
      <c r="D47" s="171" t="s">
        <v>2179</v>
      </c>
      <c r="E47" s="23" t="s">
        <v>2180</v>
      </c>
      <c r="F47" s="172" t="s">
        <v>2181</v>
      </c>
      <c r="G47" s="173" t="s">
        <v>2182</v>
      </c>
      <c r="H47" s="2478"/>
      <c r="I47" s="167"/>
      <c r="J47" s="2952">
        <v>2</v>
      </c>
      <c r="K47" s="3178" t="s">
        <v>2183</v>
      </c>
      <c r="L47" s="3178"/>
      <c r="M47" s="3199">
        <f>'数据-取费表'!B2</f>
        <v>43344</v>
      </c>
      <c r="N47" s="3199"/>
      <c r="O47" s="3199"/>
    </row>
    <row r="48" spans="1:15" ht="25.5" hidden="1">
      <c r="A48" s="3146" t="s">
        <v>2184</v>
      </c>
      <c r="B48" s="3129"/>
      <c r="C48" s="3129"/>
      <c r="D48" s="139">
        <f>IF(H48="情况1",0,IF(H48="情况2",D52,IF(H48="情况3",D53,IF(H48="情况4",D54))))</f>
        <v>0</v>
      </c>
      <c r="E48" s="2961" t="str">
        <f>IF(H48="情况4","(销售额-原购置价)×税（费）率","销售额×税（费）率")</f>
        <v>销售额×税（费）率</v>
      </c>
      <c r="F48" s="174" t="str">
        <f>IF(H48="情况1","免征",'数据-取费表'!B41)</f>
        <v>免征</v>
      </c>
      <c r="G48" s="2479" t="s">
        <v>2185</v>
      </c>
      <c r="H48" s="2480" t="s">
        <v>2186</v>
      </c>
      <c r="I48" s="2478"/>
      <c r="J48" s="2952">
        <v>3</v>
      </c>
      <c r="K48" s="3178" t="s">
        <v>2187</v>
      </c>
      <c r="L48" s="3178"/>
      <c r="M48" s="3200">
        <f ca="1">H101</f>
        <v>1070</v>
      </c>
      <c r="N48" s="3200"/>
      <c r="O48" s="3200"/>
    </row>
    <row r="49" spans="1:35" ht="25.5" hidden="1" customHeight="1">
      <c r="A49" s="175" t="s">
        <v>2188</v>
      </c>
      <c r="B49" s="3114" t="s">
        <v>2189</v>
      </c>
      <c r="C49" s="3114"/>
      <c r="D49" s="176">
        <v>0</v>
      </c>
      <c r="E49" s="22" t="s">
        <v>2190</v>
      </c>
      <c r="F49" s="27" t="s">
        <v>34</v>
      </c>
      <c r="G49" s="3184"/>
      <c r="H49" s="137"/>
      <c r="I49" s="2481"/>
      <c r="J49" s="2952">
        <v>4</v>
      </c>
      <c r="K49" s="3178" t="str">
        <f>IF(项目基本情况!E8="房地产抵押价值","房地产抵押价值","抵押担保权已注销时的房地产抵押价值")</f>
        <v>房地产抵押价值</v>
      </c>
      <c r="L49" s="3178"/>
      <c r="M49" s="3200">
        <f ca="1">IF(项目基本情况!E8="房地产抵押价值",H107,H109)</f>
        <v>1070</v>
      </c>
      <c r="N49" s="3200"/>
      <c r="O49" s="3200"/>
    </row>
    <row r="50" spans="1:35" ht="25.5" hidden="1" customHeight="1">
      <c r="A50" s="177"/>
      <c r="B50" s="3114" t="s">
        <v>2191</v>
      </c>
      <c r="C50" s="3114"/>
      <c r="D50" s="178"/>
      <c r="E50" s="30"/>
      <c r="F50" s="179"/>
      <c r="G50" s="3185"/>
      <c r="H50" s="137"/>
      <c r="I50" s="2481"/>
      <c r="J50" s="3178" t="s">
        <v>2192</v>
      </c>
      <c r="K50" s="3178"/>
      <c r="L50" s="3178"/>
      <c r="M50" s="3178"/>
      <c r="N50" s="3178"/>
      <c r="O50" s="3178"/>
    </row>
    <row r="51" spans="1:35" ht="12" hidden="1" customHeight="1">
      <c r="A51" s="180"/>
      <c r="B51" s="3114" t="s">
        <v>2193</v>
      </c>
      <c r="C51" s="3114"/>
      <c r="D51" s="181"/>
      <c r="E51" s="29"/>
      <c r="F51" s="179"/>
      <c r="G51" s="3186"/>
      <c r="H51" s="137"/>
      <c r="I51" s="2481"/>
      <c r="J51" s="2949" t="s">
        <v>2194</v>
      </c>
      <c r="K51" s="3178" t="s">
        <v>2195</v>
      </c>
      <c r="L51" s="3178"/>
      <c r="M51" s="2949" t="s">
        <v>2196</v>
      </c>
      <c r="N51" s="2949" t="s">
        <v>2197</v>
      </c>
      <c r="O51" s="2949" t="s">
        <v>2198</v>
      </c>
    </row>
    <row r="52" spans="1:35" ht="24" hidden="1" customHeight="1">
      <c r="A52" s="182" t="s">
        <v>2199</v>
      </c>
      <c r="B52" s="3114" t="s">
        <v>2200</v>
      </c>
      <c r="C52" s="3114"/>
      <c r="D52" s="181">
        <f ca="1">ROUND(D45*'数据-取费表'!B41/(1+'数据-取费表'!C42),0)</f>
        <v>57</v>
      </c>
      <c r="E52" s="11" t="s">
        <v>2201</v>
      </c>
      <c r="F52" s="183">
        <f>'数据-取费表'!B41</f>
        <v>5.6000000000000001E-2</v>
      </c>
      <c r="G52" s="2483"/>
      <c r="H52" s="137"/>
      <c r="I52" s="2481"/>
      <c r="J52" s="2952">
        <v>1</v>
      </c>
      <c r="K52" s="3179" t="s">
        <v>2202</v>
      </c>
      <c r="L52" s="3179"/>
      <c r="M52" s="1751">
        <f>D48</f>
        <v>0</v>
      </c>
      <c r="N52" s="2952" t="str">
        <f>E48</f>
        <v>销售额×税（费）率</v>
      </c>
      <c r="O52" s="1752" t="str">
        <f>F48</f>
        <v>免征</v>
      </c>
    </row>
    <row r="53" spans="1:35" ht="12" hidden="1" customHeight="1">
      <c r="A53" s="182" t="s">
        <v>2203</v>
      </c>
      <c r="B53" s="3137" t="s">
        <v>2204</v>
      </c>
      <c r="C53" s="3138"/>
      <c r="D53" s="181">
        <f ca="1">ROUND(D45*'数据-取费表'!B41/(1+'数据-取费表'!C42),0)</f>
        <v>57</v>
      </c>
      <c r="E53" s="11" t="s">
        <v>2201</v>
      </c>
      <c r="F53" s="183">
        <f>'数据-取费表'!B41</f>
        <v>5.6000000000000001E-2</v>
      </c>
      <c r="G53" s="2483"/>
      <c r="H53" s="137"/>
      <c r="I53" s="2481"/>
      <c r="J53" s="2952">
        <v>2</v>
      </c>
      <c r="K53" s="3179" t="s">
        <v>2205</v>
      </c>
      <c r="L53" s="3179"/>
      <c r="M53" s="1751">
        <f t="shared" ref="M53:O54" ca="1" si="0">D55</f>
        <v>1</v>
      </c>
      <c r="N53" s="2952" t="str">
        <f t="shared" si="0"/>
        <v>销售额×税（费）率</v>
      </c>
      <c r="O53" s="1752">
        <f t="shared" si="0"/>
        <v>5.0000000000000001E-4</v>
      </c>
    </row>
    <row r="54" spans="1:35" ht="12" hidden="1" customHeight="1">
      <c r="A54" s="182" t="s">
        <v>2206</v>
      </c>
      <c r="B54" s="3137" t="s">
        <v>2207</v>
      </c>
      <c r="C54" s="3138"/>
      <c r="D54" s="181">
        <f ca="1">C68</f>
        <v>57</v>
      </c>
      <c r="E54" s="29" t="s">
        <v>2208</v>
      </c>
      <c r="F54" s="183">
        <f>'数据-取费表'!B41</f>
        <v>5.6000000000000001E-2</v>
      </c>
      <c r="G54" s="2483"/>
      <c r="H54" s="2484"/>
      <c r="I54" s="2481"/>
      <c r="J54" s="2952">
        <v>3</v>
      </c>
      <c r="K54" s="3179" t="s">
        <v>2209</v>
      </c>
      <c r="L54" s="3179"/>
      <c r="M54" s="1751">
        <f t="shared" ca="1" si="0"/>
        <v>606</v>
      </c>
      <c r="N54" s="2952" t="str">
        <f t="shared" si="0"/>
        <v>增值额×税（费）率</v>
      </c>
      <c r="O54" s="1753" t="str">
        <f t="shared" si="0"/>
        <v>——</v>
      </c>
    </row>
    <row r="55" spans="1:35" ht="24" hidden="1" customHeight="1">
      <c r="A55" s="3128" t="s">
        <v>2210</v>
      </c>
      <c r="B55" s="3129"/>
      <c r="C55" s="3129"/>
      <c r="D55" s="184">
        <f ca="1">IF(H55="个人住宅",0,ROUND(D45*I55,0))</f>
        <v>1</v>
      </c>
      <c r="E55" s="11" t="s">
        <v>2211</v>
      </c>
      <c r="F55" s="183">
        <f>IF(H55="正常",I55,"免征")</f>
        <v>5.0000000000000001E-4</v>
      </c>
      <c r="G55" s="2483"/>
      <c r="H55" s="2480" t="s">
        <v>2212</v>
      </c>
      <c r="I55" s="185">
        <f>'数据-取费表'!B49</f>
        <v>5.0000000000000001E-4</v>
      </c>
      <c r="J55" s="2952" t="str">
        <f>IF(H59="非个人房产","",4)</f>
        <v/>
      </c>
      <c r="K55" s="3179" t="str">
        <f>IF(H59="非个人房产","——","个人所得税")</f>
        <v>——</v>
      </c>
      <c r="L55" s="3179"/>
      <c r="M55" s="1754" t="str">
        <f>D59</f>
        <v>——</v>
      </c>
      <c r="N55" s="2953" t="str">
        <f>E59</f>
        <v>——</v>
      </c>
      <c r="O55" s="1755" t="str">
        <f>F59</f>
        <v>——</v>
      </c>
    </row>
    <row r="56" spans="1:35" ht="24.75" hidden="1">
      <c r="A56" s="3128" t="s">
        <v>2213</v>
      </c>
      <c r="B56" s="3129"/>
      <c r="C56" s="3129"/>
      <c r="D56" s="184">
        <f ca="1">IF(H56="个人住宅",D57,D58)</f>
        <v>606</v>
      </c>
      <c r="E56" s="11" t="s">
        <v>2214</v>
      </c>
      <c r="F56" s="183" t="str">
        <f>IF(H56="正常",F58,"免征")</f>
        <v>——</v>
      </c>
      <c r="G56" s="2485" t="s">
        <v>2215</v>
      </c>
      <c r="H56" s="2486" t="s">
        <v>2212</v>
      </c>
      <c r="I56" s="2487"/>
      <c r="J56" s="2952" t="str">
        <f>IF(项目基本情况!K6="上海银行",IF(J55="",4,J55+1),"")</f>
        <v/>
      </c>
      <c r="K56" s="3202" t="str">
        <f>IF(项目基本情况!K6="上海银行","其他处置费用","")</f>
        <v/>
      </c>
      <c r="L56" s="3203"/>
      <c r="M56" s="1751" t="str">
        <f>IF(项目基本情况!K6="上海银行",M69,"")</f>
        <v/>
      </c>
      <c r="N56" s="3205" t="str">
        <f>IF(项目基本情况!K6="上海银行","包含处置中涉及的律师、诉讼、拍卖、评估等费用","")</f>
        <v/>
      </c>
      <c r="O56" s="3206"/>
    </row>
    <row r="57" spans="1:35" ht="12.75" hidden="1">
      <c r="A57" s="182" t="s">
        <v>2188</v>
      </c>
      <c r="B57" s="3144" t="s">
        <v>2216</v>
      </c>
      <c r="C57" s="3153"/>
      <c r="D57" s="186">
        <v>0</v>
      </c>
      <c r="E57" s="22" t="s">
        <v>2190</v>
      </c>
      <c r="F57" s="154"/>
      <c r="G57" s="2483"/>
      <c r="H57" s="2487"/>
      <c r="I57" s="2487"/>
      <c r="J57" s="3179">
        <f>IF(AND(J55="",J56=""),4,IF(项目基本情况!K6="上海银行",'结果表-车位'!J56+1,'结果表-车位'!J55+1))</f>
        <v>4</v>
      </c>
      <c r="K57" s="3179" t="s">
        <v>2217</v>
      </c>
      <c r="L57" s="2488" t="s">
        <v>2218</v>
      </c>
      <c r="M57" s="1756"/>
      <c r="N57" s="1757">
        <f ca="1">SUMIF(M52:M56,"&lt;9e307")</f>
        <v>607</v>
      </c>
      <c r="O57" s="2489"/>
      <c r="P57" s="1750">
        <f ca="1">N57/M49</f>
        <v>0.56728971962616825</v>
      </c>
    </row>
    <row r="58" spans="1:35" ht="24.75" hidden="1">
      <c r="A58" s="182" t="s">
        <v>2199</v>
      </c>
      <c r="B58" s="3144" t="s">
        <v>2219</v>
      </c>
      <c r="C58" s="3145"/>
      <c r="D58" s="184">
        <f ca="1">IF(H58="转让取得",C81,C97)</f>
        <v>606</v>
      </c>
      <c r="E58" s="11" t="s">
        <v>2214</v>
      </c>
      <c r="F58" s="23" t="s">
        <v>34</v>
      </c>
      <c r="G58" s="2483"/>
      <c r="H58" s="2486" t="s">
        <v>2220</v>
      </c>
      <c r="I58" s="2487"/>
      <c r="J58" s="3179"/>
      <c r="K58" s="3179"/>
      <c r="L58" s="2488" t="s">
        <v>2221</v>
      </c>
      <c r="M58" s="1758"/>
      <c r="N58" s="2490" t="str">
        <f ca="1">NUMBERSTRING(INT(N57*10000),2)&amp;"元整"</f>
        <v>陆佰零柒万元整</v>
      </c>
      <c r="O58" s="2491"/>
    </row>
    <row r="59" spans="1:35" ht="24.75" hidden="1" thickBot="1">
      <c r="A59" s="3182" t="s">
        <v>2222</v>
      </c>
      <c r="B59" s="3183"/>
      <c r="C59" s="3183"/>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80">
        <f>J57+1</f>
        <v>5</v>
      </c>
      <c r="K59" s="3179" t="s">
        <v>2224</v>
      </c>
      <c r="L59" s="2952" t="s">
        <v>2218</v>
      </c>
      <c r="M59" s="1759"/>
      <c r="N59" s="1760">
        <f ca="1">M49-N57</f>
        <v>463</v>
      </c>
      <c r="O59" s="2493"/>
    </row>
    <row r="60" spans="1:35" ht="12" hidden="1" customHeight="1">
      <c r="A60" s="2494"/>
      <c r="B60" s="2416"/>
      <c r="C60" s="2416"/>
      <c r="D60" s="2416"/>
      <c r="E60" s="2163"/>
      <c r="F60" s="2487"/>
      <c r="G60" s="2487"/>
      <c r="H60" s="2495"/>
      <c r="I60" s="137"/>
      <c r="J60" s="3181"/>
      <c r="K60" s="3179"/>
      <c r="L60" s="2488" t="s">
        <v>2221</v>
      </c>
      <c r="M60" s="1758"/>
      <c r="N60" s="2490" t="str">
        <f ca="1">NUMBERSTRING(INT(N59*10000),2)&amp;"元整"</f>
        <v>肆佰陆拾叁万元整</v>
      </c>
      <c r="O60" s="2491"/>
    </row>
    <row r="61" spans="1:35" ht="13.5" hidden="1" thickBot="1">
      <c r="A61" s="3126" t="s">
        <v>2225</v>
      </c>
      <c r="B61" s="3126"/>
      <c r="C61" s="3126"/>
      <c r="D61" s="3126"/>
      <c r="E61" s="3126"/>
      <c r="F61" s="2487"/>
      <c r="G61" s="2487"/>
      <c r="H61" s="2495"/>
      <c r="I61" s="137"/>
      <c r="J61" s="2952">
        <f>J59+1</f>
        <v>6</v>
      </c>
      <c r="K61" s="3179" t="s">
        <v>2226</v>
      </c>
      <c r="L61" s="3179"/>
      <c r="M61" s="1761"/>
      <c r="N61" s="1762">
        <f ca="1">ROUND(N59*10000/'数据-汇总表'!E3,0)</f>
        <v>283</v>
      </c>
      <c r="O61" s="2496"/>
    </row>
    <row r="62" spans="1:35" ht="12.75" hidden="1">
      <c r="A62" s="3142" t="s">
        <v>2227</v>
      </c>
      <c r="B62" s="3143"/>
      <c r="C62" s="2957"/>
      <c r="D62" s="2957" t="s">
        <v>2228</v>
      </c>
      <c r="E62" s="191" t="s">
        <v>2229</v>
      </c>
      <c r="F62" s="2487"/>
      <c r="G62" s="2487"/>
      <c r="H62" s="2495"/>
      <c r="I62" s="137"/>
    </row>
    <row r="63" spans="1:35" ht="12.75" hidden="1">
      <c r="A63" s="202" t="s">
        <v>775</v>
      </c>
      <c r="B63" s="192" t="s">
        <v>2230</v>
      </c>
      <c r="C63" s="193">
        <f ca="1">ROUND((C64+C65)/(1+'数据-取费表'!C42),0)</f>
        <v>1019</v>
      </c>
      <c r="D63" s="194"/>
      <c r="E63" s="195"/>
      <c r="F63" s="2487"/>
      <c r="G63" s="2487"/>
      <c r="H63" s="2495"/>
      <c r="I63" s="137"/>
      <c r="J63" s="3204" t="s">
        <v>2231</v>
      </c>
      <c r="K63" s="2950" t="s">
        <v>2232</v>
      </c>
      <c r="L63" s="1749">
        <f ca="1">IF(M49&gt;10000,M49*0.5%,IF(AND(M49&gt;1000,M49&lt;=10000),M49*1%,IF(AND(M49&gt;100,M49&lt;=1000),M49*3%,IF(AND(M49&gt;10,M49&lt;=100),M49*5%,M49*8%))))</f>
        <v>10.700000000000001</v>
      </c>
      <c r="M63" s="23">
        <f ca="1">ROUND(L63,1)</f>
        <v>10.7</v>
      </c>
      <c r="Z63" s="2421"/>
      <c r="AI63" s="2422"/>
    </row>
    <row r="64" spans="1:35" ht="14.25" hidden="1" customHeight="1">
      <c r="A64" s="196" t="s">
        <v>770</v>
      </c>
      <c r="B64" s="197" t="s">
        <v>2233</v>
      </c>
      <c r="C64" s="198">
        <f ca="1">D45</f>
        <v>1070</v>
      </c>
      <c r="D64" s="199" t="s">
        <v>32</v>
      </c>
      <c r="E64" s="200"/>
      <c r="F64" s="2487"/>
      <c r="G64" s="2487"/>
      <c r="H64" s="2495"/>
      <c r="I64" s="137"/>
      <c r="J64" s="3204"/>
      <c r="K64" s="2950" t="s">
        <v>2234</v>
      </c>
      <c r="L64" s="1749">
        <f ca="1">IF(M49&gt;2000,M49*0.5%,IF(AND(M49&gt;1000,M49&lt;=2000),M49*0.6%,IF(AND(M49&gt;500,M49&lt;=1000),M49*0.7%,IF(AND(M49&gt;200,M49&lt;=500),M49*0.8%,IF(AND(M49&gt;100,M49&lt;=200),M49*0.9%,IF(AND(M49&gt;50,M49&lt;=100),M49*1%,IF(AND(M49&gt;20,M49&lt;=50),M49*1.5%,IF(AND(M49&gt;10,M49&lt;=20),M49*2%,IF(AND(M49&gt;1,M49&lt;=10),M49*2.5%)))))))))</f>
        <v>6.42</v>
      </c>
      <c r="M64" s="23">
        <f t="shared" ref="M64:M65" ca="1" si="1">ROUND(L64,1)</f>
        <v>6.4</v>
      </c>
      <c r="N64" s="137" t="s">
        <v>2235</v>
      </c>
      <c r="Z64" s="2421"/>
      <c r="AI64" s="2422"/>
    </row>
    <row r="65" spans="1:35" ht="14.25" hidden="1" customHeight="1">
      <c r="A65" s="196" t="s">
        <v>771</v>
      </c>
      <c r="B65" s="197" t="s">
        <v>2236</v>
      </c>
      <c r="C65" s="201"/>
      <c r="D65" s="199"/>
      <c r="E65" s="200"/>
      <c r="F65" s="2487"/>
      <c r="G65" s="2487"/>
      <c r="H65" s="2495"/>
      <c r="I65" s="137"/>
      <c r="J65" s="3204"/>
      <c r="K65" s="2950" t="s">
        <v>2237</v>
      </c>
      <c r="L65" s="1749">
        <f ca="1">IF(M49&gt;1000,M49*0.1%,IF(AND(M49&gt;500,M49&lt;=1000),M49*0.5%,IF(AND(M49&gt;50,M49&lt;=500),M49*1%,IF(AND(M49&gt;1,M49&lt;=50),M49*1.5%))))</f>
        <v>1.07</v>
      </c>
      <c r="M65" s="23">
        <f t="shared" ca="1" si="1"/>
        <v>1.1000000000000001</v>
      </c>
      <c r="N65" s="137" t="s">
        <v>2235</v>
      </c>
      <c r="Z65" s="2421"/>
      <c r="AI65" s="2422"/>
    </row>
    <row r="66" spans="1:35" ht="14.25" hidden="1" customHeight="1">
      <c r="A66" s="202" t="s">
        <v>772</v>
      </c>
      <c r="B66" s="203" t="s">
        <v>2238</v>
      </c>
      <c r="C66" s="204"/>
      <c r="D66" s="205" t="s">
        <v>32</v>
      </c>
      <c r="E66" s="1773" t="s">
        <v>1371</v>
      </c>
      <c r="F66" s="2487"/>
      <c r="G66" s="2487"/>
      <c r="H66" s="2495"/>
      <c r="I66" s="137"/>
      <c r="J66" s="3204"/>
      <c r="K66" s="2950" t="s">
        <v>2239</v>
      </c>
      <c r="L66" s="1749">
        <f ca="1">M49*0.5%</f>
        <v>5.3500000000000005</v>
      </c>
      <c r="M66" s="23">
        <f ca="1">IF(L66&gt;0.5,0.5,ROUND(L66,0))</f>
        <v>0.5</v>
      </c>
      <c r="N66" s="137" t="s">
        <v>2240</v>
      </c>
      <c r="Z66" s="2421"/>
      <c r="AI66" s="2422"/>
    </row>
    <row r="67" spans="1:35" ht="14.25" hidden="1" customHeight="1">
      <c r="A67" s="202" t="s">
        <v>773</v>
      </c>
      <c r="B67" s="203" t="s">
        <v>2241</v>
      </c>
      <c r="C67" s="206">
        <f ca="1">C63-C66</f>
        <v>1019</v>
      </c>
      <c r="D67" s="199" t="s">
        <v>32</v>
      </c>
      <c r="E67" s="200"/>
      <c r="F67" s="2487"/>
      <c r="G67" s="2487"/>
      <c r="H67" s="2495"/>
      <c r="I67" s="137"/>
      <c r="J67" s="3204"/>
      <c r="K67" s="2950" t="s">
        <v>2242</v>
      </c>
      <c r="L67" s="1749">
        <f ca="1">IF(M49&gt;=10000,(8.25+(M49-10000)*0.01%),IF(AND(M49&gt;=8000,M49&lt;10000),(7.85+(M49-8000)*0.02%),IF(AND(M49&gt;=5000,M49&lt;8000),(6.65+(M49-5000)*0.04%),IF(AND(M49&gt;=2000,M49&lt;5000),(4.25+(PM49-2000)*0.08%),IF(AND(M49&gt;=1000,M49&lt;2000),(2.75+(M49-1000)*0.15%),IF(AND(M49&gt;=100,M49&lt;1000),(0.5+(M49-100)*0.25%),IF(AND(M49&gt;0,M49&lt;100),M49*0.5%)))))))</f>
        <v>2.855</v>
      </c>
      <c r="M67" s="23">
        <f ca="1">ROUND(L67*0.9,1)</f>
        <v>2.6</v>
      </c>
      <c r="Z67" s="2421"/>
      <c r="AI67" s="2422"/>
    </row>
    <row r="68" spans="1:35" ht="14.25" hidden="1" customHeight="1" thickBot="1">
      <c r="A68" s="207" t="s">
        <v>774</v>
      </c>
      <c r="B68" s="208" t="s">
        <v>2243</v>
      </c>
      <c r="C68" s="209">
        <f ca="1">IF(C67&lt;=0,0,ROUND(C67*D68,0))</f>
        <v>57</v>
      </c>
      <c r="D68" s="210">
        <f>'数据-取费表'!B41</f>
        <v>5.6000000000000001E-2</v>
      </c>
      <c r="E68" s="211"/>
      <c r="F68" s="2487"/>
      <c r="G68" s="2487"/>
      <c r="H68" s="2495"/>
      <c r="I68" s="137"/>
      <c r="J68" s="3204"/>
      <c r="K68" s="2950" t="s">
        <v>2244</v>
      </c>
      <c r="L68" s="1749">
        <f ca="1">IF(M49&gt;10000,M49*0.5%,IF(AND(M49&gt;5000,M49&lt;=10000),M49*1%,IF(AND(M49&gt;1000,M49&lt;=5000),M49*2%,IF(AND(M49&gt;200,M49&lt;=1000),M49*3%,M49*5%))))</f>
        <v>21.400000000000002</v>
      </c>
      <c r="M68" s="23">
        <f ca="1">ROUND(L68,1)</f>
        <v>21.4</v>
      </c>
      <c r="Z68" s="2421"/>
      <c r="AI68" s="2422"/>
    </row>
    <row r="69" spans="1:35" s="2444" customFormat="1" ht="16.5" hidden="1" customHeight="1">
      <c r="A69" s="2498"/>
      <c r="B69" s="2499"/>
      <c r="C69" s="2500"/>
      <c r="D69" s="2501"/>
      <c r="E69" s="2502"/>
      <c r="F69" s="2163"/>
      <c r="G69" s="2163"/>
      <c r="H69" s="2162"/>
      <c r="I69" s="2416"/>
      <c r="J69" s="3204"/>
      <c r="K69" s="2950" t="s">
        <v>2245</v>
      </c>
      <c r="L69" s="2503"/>
      <c r="M69" s="23">
        <f ca="1">ROUND(SUM(M63:M68),0)</f>
        <v>43</v>
      </c>
      <c r="N69" s="1750">
        <f ca="1">M69/M49</f>
        <v>4.018691588785047E-2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25" hidden="1">
      <c r="A70" s="3163" t="s">
        <v>2246</v>
      </c>
      <c r="B70" s="3164"/>
      <c r="C70" s="3164"/>
      <c r="D70" s="3164"/>
      <c r="E70" s="3164"/>
      <c r="F70" s="3164"/>
      <c r="G70" s="3164"/>
      <c r="H70" s="316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2" t="s">
        <v>2227</v>
      </c>
      <c r="B71" s="3143"/>
      <c r="C71" s="2957"/>
      <c r="D71" s="2957"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1019</v>
      </c>
      <c r="D72" s="199" t="s">
        <v>32</v>
      </c>
      <c r="E72" s="2959"/>
      <c r="F72" s="2958"/>
      <c r="G72" s="2958"/>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6</v>
      </c>
      <c r="D73" s="199" t="s">
        <v>32</v>
      </c>
      <c r="E73" s="2959"/>
      <c r="F73" s="2958"/>
      <c r="G73" s="2958"/>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2959"/>
      <c r="F74" s="2958"/>
      <c r="G74" s="2958"/>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37" t="s">
        <v>2255</v>
      </c>
      <c r="F76" s="3114"/>
      <c r="G76" s="3114"/>
      <c r="H76" s="316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2951" t="s">
        <v>2257</v>
      </c>
      <c r="F77" s="223"/>
      <c r="G77" s="2511" t="s">
        <v>2258</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6</v>
      </c>
      <c r="D78" s="225">
        <f>'数据-取费表'!B43</f>
        <v>6.000000000000001E-3</v>
      </c>
      <c r="E78" s="3123" t="s">
        <v>2260</v>
      </c>
      <c r="F78" s="3124"/>
      <c r="G78" s="3124"/>
      <c r="H78" s="313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1013</v>
      </c>
      <c r="D79" s="199" t="s">
        <v>32</v>
      </c>
      <c r="E79" s="2959"/>
      <c r="F79" s="2958"/>
      <c r="G79" s="2958"/>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168.83333333333334</v>
      </c>
      <c r="D80" s="199"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606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25" hidden="1">
      <c r="A83" s="3163" t="s">
        <v>2264</v>
      </c>
      <c r="B83" s="3164"/>
      <c r="C83" s="3164"/>
      <c r="D83" s="3164"/>
      <c r="E83" s="3164"/>
      <c r="F83" s="3164"/>
      <c r="G83" s="3164"/>
      <c r="H83" s="316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2" t="s">
        <v>2227</v>
      </c>
      <c r="B84" s="3143"/>
      <c r="C84" s="2957"/>
      <c r="D84" s="2957"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1019</v>
      </c>
      <c r="D85" s="199" t="s">
        <v>32</v>
      </c>
      <c r="E85" s="2959"/>
      <c r="F85" s="2958"/>
      <c r="G85" s="2958"/>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6</v>
      </c>
      <c r="D86" s="234"/>
      <c r="E86" s="2959"/>
      <c r="F86" s="2958"/>
      <c r="G86" s="2958"/>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2954"/>
      <c r="F87" s="2955"/>
      <c r="G87" s="2955"/>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2955"/>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2955"/>
      <c r="G89" s="2955"/>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2955"/>
      <c r="G90" s="2955"/>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23" t="s">
        <v>2273</v>
      </c>
      <c r="F91" s="3124"/>
      <c r="G91" s="3124"/>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23" t="s">
        <v>2277</v>
      </c>
      <c r="F92" s="3124"/>
      <c r="G92" s="3124"/>
      <c r="H92" s="313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6</v>
      </c>
      <c r="D93" s="225">
        <f>'数据-取费表'!B43</f>
        <v>6.000000000000001E-3</v>
      </c>
      <c r="E93" s="3123" t="s">
        <v>2260</v>
      </c>
      <c r="F93" s="3124"/>
      <c r="G93" s="3124"/>
      <c r="H93" s="313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134" t="s">
        <v>2281</v>
      </c>
      <c r="F94" s="3135"/>
      <c r="G94" s="3135"/>
      <c r="H94" s="313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1013</v>
      </c>
      <c r="D95" s="199" t="s">
        <v>32</v>
      </c>
      <c r="E95" s="2959"/>
      <c r="F95" s="2958"/>
      <c r="G95" s="2958"/>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168.83333333333334</v>
      </c>
      <c r="D96" s="199"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606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8" t="s">
        <v>2283</v>
      </c>
      <c r="B100" s="3109"/>
      <c r="C100" s="3109"/>
      <c r="D100" s="3125"/>
      <c r="E100" s="3109" t="s">
        <v>2284</v>
      </c>
      <c r="F100" s="3109"/>
      <c r="G100" s="3109"/>
      <c r="H100" s="3125"/>
      <c r="I100" s="137"/>
    </row>
    <row r="101" spans="1:35" ht="15">
      <c r="A101" s="3187" t="s">
        <v>2285</v>
      </c>
      <c r="B101" s="3188"/>
      <c r="C101" s="734" t="str">
        <f>C4</f>
        <v>比较法-车位</v>
      </c>
      <c r="D101" s="735" t="str">
        <f>D4</f>
        <v>收益法 (元)</v>
      </c>
      <c r="E101" s="3201" t="s">
        <v>2286</v>
      </c>
      <c r="F101" s="3155"/>
      <c r="G101" s="2518" t="s">
        <v>2287</v>
      </c>
      <c r="H101" s="1046">
        <f ca="1">H118</f>
        <v>1070</v>
      </c>
      <c r="I101" s="137"/>
    </row>
    <row r="102" spans="1:35" ht="18.75" customHeight="1">
      <c r="A102" s="3157" t="s">
        <v>2288</v>
      </c>
      <c r="B102" s="2518" t="s">
        <v>2287</v>
      </c>
      <c r="C102" s="734">
        <f ca="1">C19</f>
        <v>1245</v>
      </c>
      <c r="D102" s="735">
        <f ca="1">D19</f>
        <v>372</v>
      </c>
      <c r="E102" s="3201"/>
      <c r="F102" s="3155"/>
      <c r="G102" s="2518" t="s">
        <v>2289</v>
      </c>
      <c r="H102" s="370">
        <f ca="1">I118</f>
        <v>3292</v>
      </c>
      <c r="I102" s="137"/>
    </row>
    <row r="103" spans="1:35" ht="42.75" customHeight="1">
      <c r="A103" s="3157"/>
      <c r="B103" s="2518" t="s">
        <v>2289</v>
      </c>
      <c r="C103" s="736">
        <f ca="1">C20</f>
        <v>3831</v>
      </c>
      <c r="D103" s="737">
        <f ca="1">D20</f>
        <v>1145</v>
      </c>
      <c r="E103" s="3196" t="s">
        <v>2290</v>
      </c>
      <c r="F103" s="3197"/>
      <c r="G103" s="2519" t="s">
        <v>2291</v>
      </c>
      <c r="H103" s="1046">
        <f>IF(D36="正常操作",H104+H105+H106,H105+H106)</f>
        <v>0</v>
      </c>
      <c r="I103" s="137"/>
    </row>
    <row r="104" spans="1:35" ht="18.75" customHeight="1">
      <c r="A104" s="3157" t="s">
        <v>2292</v>
      </c>
      <c r="B104" s="2520" t="s">
        <v>2287</v>
      </c>
      <c r="C104" s="738">
        <f ca="1">H118</f>
        <v>1070</v>
      </c>
      <c r="D104" s="739"/>
      <c r="E104" s="2264" t="s">
        <v>2293</v>
      </c>
      <c r="F104" s="2255"/>
      <c r="G104" s="2519" t="s">
        <v>2291</v>
      </c>
      <c r="H104" s="1047">
        <f>IF(D36="同一抵押权人同一抵押物续贷",C36&amp;"（未扣减，详见特别提示）",C36)</f>
        <v>0</v>
      </c>
      <c r="I104" s="137"/>
    </row>
    <row r="105" spans="1:35" ht="18.75" customHeight="1" thickBot="1">
      <c r="A105" s="3158"/>
      <c r="B105" s="2521" t="s">
        <v>2289</v>
      </c>
      <c r="C105" s="740">
        <f ca="1">I118</f>
        <v>3292</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4" t="str">
        <f>IF(项目基本情况!E8="已注销","——","3.房地产抵押价值")</f>
        <v>3.房地产抵押价值</v>
      </c>
      <c r="F107" s="3155"/>
      <c r="G107" s="2518" t="s">
        <v>2287</v>
      </c>
      <c r="H107" s="1046">
        <f ca="1">IF(E107="——","——",H101-H103)</f>
        <v>1070</v>
      </c>
      <c r="I107" s="137"/>
    </row>
    <row r="108" spans="1:35" ht="18.75" customHeight="1" thickBot="1">
      <c r="A108" s="137"/>
      <c r="B108" s="137"/>
      <c r="C108" s="137"/>
      <c r="D108" s="137"/>
      <c r="E108" s="3154"/>
      <c r="F108" s="3155"/>
      <c r="G108" s="2518" t="s">
        <v>2289</v>
      </c>
      <c r="H108" s="370">
        <f ca="1">ROUND(H107*10000/'数据-汇总表'!E3,0)</f>
        <v>654</v>
      </c>
      <c r="I108" s="137"/>
    </row>
    <row r="109" spans="1:35" ht="18.75" hidden="1"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55"/>
      <c r="G109" s="2518" t="s">
        <v>2287</v>
      </c>
      <c r="H109" s="347" t="str">
        <f>IF(E109="——","——",H101-H105-H106)</f>
        <v>——</v>
      </c>
      <c r="I109" s="137"/>
    </row>
    <row r="110" spans="1:35" ht="18.75" hidden="1" customHeight="1">
      <c r="A110" s="137"/>
      <c r="B110" s="137"/>
      <c r="C110" s="137"/>
      <c r="D110" s="137"/>
      <c r="E110" s="3154"/>
      <c r="F110" s="3155"/>
      <c r="G110" s="2518" t="s">
        <v>2289</v>
      </c>
      <c r="H110" s="370" t="str">
        <f>IF(H109="——","——",ROUND(H109*10000/'数据-汇总表'!E3,0))</f>
        <v>——</v>
      </c>
      <c r="I110" s="137"/>
    </row>
    <row r="111" spans="1:35" ht="18.75" hidden="1" customHeight="1">
      <c r="A111" s="137"/>
      <c r="B111" s="137"/>
      <c r="C111" s="137"/>
      <c r="D111" s="137"/>
      <c r="E111" s="3189" t="str">
        <f>IF(项目基本情况!E9="抵押净值",IF(OR(项目基本情况!E8="已注销",项目基本情况!E8="房地产抵押价值"),"4.抵押净值","5.抵押净值"),"——")</f>
        <v>——</v>
      </c>
      <c r="F111" s="3190"/>
      <c r="G111" s="2518" t="s">
        <v>2287</v>
      </c>
      <c r="H111" s="1046" t="str">
        <f>IF(E111="——","——",N59)</f>
        <v>——</v>
      </c>
      <c r="I111" s="137"/>
    </row>
    <row r="112" spans="1:35" ht="18.75" hidden="1" customHeight="1" thickBot="1">
      <c r="A112" s="137"/>
      <c r="B112" s="137"/>
      <c r="C112" s="137"/>
      <c r="D112" s="137"/>
      <c r="E112" s="3191"/>
      <c r="F112" s="3192"/>
      <c r="G112" s="2523" t="s">
        <v>2289</v>
      </c>
      <c r="H112" s="788" t="str">
        <f>IF(E111="——","——",N61)</f>
        <v>——</v>
      </c>
      <c r="I112" s="137"/>
    </row>
    <row r="113" spans="1:11" ht="18.75" customHeight="1">
      <c r="A113" s="137"/>
      <c r="B113" s="137"/>
      <c r="C113" s="137"/>
      <c r="D113" s="137"/>
      <c r="E113" s="3159" t="s">
        <v>2295</v>
      </c>
      <c r="F113" s="3159"/>
      <c r="G113" s="3159"/>
      <c r="H113" s="3159"/>
      <c r="I113" s="137"/>
    </row>
    <row r="114" spans="1:11" ht="3.75" customHeight="1">
      <c r="A114" s="2416"/>
      <c r="B114" s="2416"/>
      <c r="C114" s="2416"/>
      <c r="D114" s="2416"/>
      <c r="E114" s="2494"/>
      <c r="F114" s="2494"/>
      <c r="G114" s="2494"/>
      <c r="H114" s="2494"/>
      <c r="I114" s="2416"/>
    </row>
    <row r="115" spans="1:11" ht="18.75" customHeight="1">
      <c r="A115" s="3172" t="s">
        <v>2297</v>
      </c>
      <c r="B115" s="3173"/>
      <c r="C115" s="3173"/>
      <c r="D115" s="3173"/>
      <c r="E115" s="3173"/>
      <c r="F115" s="3173"/>
      <c r="G115" s="3173"/>
      <c r="H115" s="3173"/>
      <c r="I115" s="3174"/>
    </row>
    <row r="116" spans="1:11" ht="27" customHeight="1">
      <c r="A116" s="3065" t="s">
        <v>2298</v>
      </c>
      <c r="B116" s="3160" t="s">
        <v>3191</v>
      </c>
      <c r="C116" s="3160" t="s">
        <v>3211</v>
      </c>
      <c r="D116" s="3176" t="s">
        <v>2299</v>
      </c>
      <c r="E116" s="3177"/>
      <c r="F116" s="3168" t="s">
        <v>3210</v>
      </c>
      <c r="G116" s="3168"/>
      <c r="H116" s="3065" t="s">
        <v>2300</v>
      </c>
      <c r="I116" s="3065"/>
    </row>
    <row r="117" spans="1:11" ht="18.75" customHeight="1">
      <c r="A117" s="3065"/>
      <c r="B117" s="3161"/>
      <c r="C117" s="3161"/>
      <c r="D117" s="2948" t="s">
        <v>2301</v>
      </c>
      <c r="E117" s="2948" t="s">
        <v>2302</v>
      </c>
      <c r="F117" s="2948" t="s">
        <v>2301</v>
      </c>
      <c r="G117" s="2948" t="s">
        <v>2303</v>
      </c>
      <c r="H117" s="2948" t="s">
        <v>2301</v>
      </c>
      <c r="I117" s="2948" t="s">
        <v>2303</v>
      </c>
    </row>
    <row r="118" spans="1:11" ht="24.75" customHeight="1">
      <c r="A118" s="2524" t="str">
        <f>项目基本情况!S2</f>
        <v>上海市松江区九亭镇虬泾路116号等18套商业、地下车库用房房地产</v>
      </c>
      <c r="B118" s="2948">
        <f>M18</f>
        <v>3250</v>
      </c>
      <c r="C118" s="2948">
        <f>M19</f>
        <v>2708.33</v>
      </c>
      <c r="D118" s="2948">
        <f ca="1">ROUND(IF(D32="总价",C34,E118*B118/10000),0)</f>
        <v>-29852</v>
      </c>
      <c r="E118" s="2948">
        <f ca="1">ROUND(IF(C33="自定义",IF(D32="楼面单价",C34,D118*10000/B118),I118-G118),0)</f>
        <v>-91853</v>
      </c>
      <c r="F118" s="2948">
        <f ca="1">ROUND(IF(D32="总价",C35,G118*B118/10000),0)</f>
        <v>30922</v>
      </c>
      <c r="G118" s="2948">
        <f ca="1">ROUND(IF(D32="楼面单价",C35,F118*10000/B118),0)</f>
        <v>95145</v>
      </c>
      <c r="H118" s="2948">
        <f ca="1">ROUND(IF(D32="总价",C32,I118*B118/10000),0)</f>
        <v>1070</v>
      </c>
      <c r="I118" s="2948">
        <f ca="1">ROUND(IF(D32="楼面单价",C32,H118*10000/B118),0)</f>
        <v>3292</v>
      </c>
    </row>
    <row r="119" spans="1:11" ht="18.75" customHeight="1">
      <c r="A119" s="3065" t="s">
        <v>2304</v>
      </c>
      <c r="B119" s="3065"/>
      <c r="C119" s="3065"/>
      <c r="D119" s="3165" t="e">
        <f ca="1">NUMBERSTRING(INT(D118*10000),2)&amp;"元整"</f>
        <v>#NUM!</v>
      </c>
      <c r="E119" s="3167"/>
      <c r="F119" s="3165" t="str">
        <f ca="1">NUMBERSTRING(INT(F118*10000),2)&amp;"元整"</f>
        <v>叁亿零玖佰贰拾贰万元整</v>
      </c>
      <c r="G119" s="3167"/>
      <c r="H119" s="3165" t="str">
        <f ca="1">NUMBERSTRING(INT(H118*10000),2)&amp;"元整"</f>
        <v>壹仟零柒拾万元整</v>
      </c>
      <c r="I119" s="3167"/>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21" t="str">
        <f>IF(D120=0,"故，本次评估不存在"&amp;A120,"故，本次评估"&amp;A120&amp;"为人民币"&amp;D120&amp;"万元整。")</f>
        <v>故，本次评估不存在估价师知悉的法定优先受偿款</v>
      </c>
    </row>
    <row r="121" spans="1:11" ht="18.75" customHeight="1">
      <c r="A121" s="3169" t="s">
        <v>2304</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房地产抵押价值</v>
      </c>
      <c r="B122" s="3156"/>
      <c r="C122" s="3156"/>
      <c r="D122" s="3193">
        <f ca="1">H107</f>
        <v>1070</v>
      </c>
      <c r="E122" s="3194"/>
      <c r="F122" s="3194"/>
      <c r="G122" s="3194"/>
      <c r="H122" s="3194"/>
      <c r="I122" s="3195"/>
    </row>
    <row r="123" spans="1:11" ht="18.75" customHeight="1">
      <c r="A123" s="3065" t="s">
        <v>2304</v>
      </c>
      <c r="B123" s="3065"/>
      <c r="C123" s="3065"/>
      <c r="D123" s="3165" t="str">
        <f ca="1">NUMBERSTRING(INT(D122*10000),2)&amp;"元整"</f>
        <v>壹仟零柒拾万元整</v>
      </c>
      <c r="E123" s="3166"/>
      <c r="F123" s="3166"/>
      <c r="G123" s="3166"/>
      <c r="H123" s="3166"/>
      <c r="I123" s="3167"/>
    </row>
    <row r="124" spans="1:11" ht="18.75" hidden="1" customHeight="1">
      <c r="A124" s="3156" t="str">
        <f>IF(项目基本情况!B9="房地产市场价值","",MID(E109,3,LEN(E109)-2))</f>
        <v/>
      </c>
      <c r="B124" s="3156"/>
      <c r="C124" s="3156"/>
      <c r="D124" s="3193" t="str">
        <f>H109</f>
        <v>——</v>
      </c>
      <c r="E124" s="3194"/>
      <c r="F124" s="3194"/>
      <c r="G124" s="3194"/>
      <c r="H124" s="3194"/>
      <c r="I124" s="3195"/>
    </row>
    <row r="125" spans="1:11" ht="18.75" hidden="1" customHeight="1">
      <c r="A125" s="3065" t="s">
        <v>2304</v>
      </c>
      <c r="B125" s="3065"/>
      <c r="C125" s="3065"/>
      <c r="D125" s="3165" t="e">
        <f>NUMBERSTRING(INT(D124*10000),2)&amp;"元整"</f>
        <v>#VALUE!</v>
      </c>
      <c r="E125" s="3166"/>
      <c r="F125" s="3166"/>
      <c r="G125" s="3166"/>
      <c r="H125" s="3166"/>
      <c r="I125" s="3167"/>
    </row>
    <row r="126" spans="1:11" ht="18.75" hidden="1" customHeight="1">
      <c r="A126" s="3156" t="str">
        <f>IF(项目基本情况!B9="房地产市场价值","",MID(E111,3,LEN(E111)-2))</f>
        <v/>
      </c>
      <c r="B126" s="3156"/>
      <c r="C126" s="3156"/>
      <c r="D126" s="3193" t="str">
        <f>H111</f>
        <v>——</v>
      </c>
      <c r="E126" s="3194"/>
      <c r="F126" s="3194"/>
      <c r="G126" s="3194"/>
      <c r="H126" s="3194"/>
      <c r="I126" s="3195"/>
    </row>
    <row r="127" spans="1:11" ht="18.75" hidden="1" customHeight="1">
      <c r="A127" s="3065" t="s">
        <v>2304</v>
      </c>
      <c r="B127" s="3065"/>
      <c r="C127" s="3065"/>
      <c r="D127" s="3165" t="e">
        <f>NUMBERSTRING(INT(D126*10000),2)&amp;"元整"</f>
        <v>#VALUE!</v>
      </c>
      <c r="E127" s="3166"/>
      <c r="F127" s="3166"/>
      <c r="G127" s="3166"/>
      <c r="H127" s="3166"/>
      <c r="I127" s="3167"/>
    </row>
    <row r="128" spans="1:11" ht="21.75" customHeight="1">
      <c r="A128" s="3175" t="s">
        <v>2305</v>
      </c>
      <c r="B128" s="3175"/>
      <c r="C128" s="3175"/>
      <c r="D128" s="3175"/>
      <c r="E128" s="3175"/>
      <c r="F128" s="3175"/>
      <c r="G128" s="3175"/>
      <c r="H128" s="3175"/>
      <c r="I128" s="3175"/>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sqref="I4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t="s">
        <v>3115</v>
      </c>
      <c r="C1" s="1621" t="s">
        <v>2517</v>
      </c>
      <c r="D1" s="1622" t="s">
        <v>48</v>
      </c>
      <c r="E1" s="1623"/>
      <c r="F1" s="2584" t="s">
        <v>3138</v>
      </c>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f>IF(C2="——",IF(B37="元/平方米",ROUND(C39*D3/10000,0),ROUND(F3*C39/10000,0)),IF(B37="元/平方米",ROUND(C39*D3/10000,0),ROUND(F3*C39/10000,0))-D2)</f>
        <v>1245</v>
      </c>
      <c r="C2" s="2586" t="s">
        <v>70</v>
      </c>
      <c r="D2" s="1125" t="e">
        <f ca="1">SUMIF(INDIRECT("'"&amp;F2&amp;"'"&amp;"!A:A"),"承租人权益价值",INDIRECT("'"&amp;F2&amp;"'"&amp;"!c:c"))</f>
        <v>#REF!</v>
      </c>
      <c r="E2" s="2587" t="s">
        <v>2315</v>
      </c>
      <c r="F2" s="2588"/>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2316</v>
      </c>
      <c r="B3" s="608">
        <f>IF(AND(C2="——",B37="元/平方米"),C39,ROUND(B2*10000/D3,0))</f>
        <v>3831</v>
      </c>
      <c r="C3" s="399" t="s">
        <v>2631</v>
      </c>
      <c r="D3" s="398">
        <f>SUMIF('数据-汇总表'!$C19:$C33,D1,'数据-汇总表'!$E19:$E33)</f>
        <v>3250</v>
      </c>
      <c r="E3" s="399" t="s">
        <v>2695</v>
      </c>
      <c r="F3" s="398">
        <f>SUMIF('数据-取费表'!A5:A15,D1,'数据-取费表'!AH5:AH15)</f>
        <v>92</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7" t="s">
        <v>2635</v>
      </c>
      <c r="AC4" s="3226" t="s">
        <v>2636</v>
      </c>
    </row>
    <row r="5" spans="1:29" ht="15">
      <c r="A5" s="403"/>
      <c r="B5" s="404"/>
      <c r="C5" s="3265" t="s">
        <v>2529</v>
      </c>
      <c r="D5" s="3248"/>
      <c r="E5" s="3253" t="s">
        <v>3263</v>
      </c>
      <c r="F5" s="3254"/>
      <c r="G5" s="3247" t="s">
        <v>3264</v>
      </c>
      <c r="H5" s="3248"/>
      <c r="I5" s="3247" t="s">
        <v>3265</v>
      </c>
      <c r="J5" s="3248"/>
      <c r="K5" s="609"/>
      <c r="L5" s="1131"/>
      <c r="M5" s="1132"/>
      <c r="N5" s="1132"/>
      <c r="O5" s="1132"/>
      <c r="P5" s="3235"/>
      <c r="Q5" s="3236"/>
      <c r="R5" s="3241"/>
      <c r="S5" s="3242"/>
      <c r="T5" s="3241"/>
      <c r="U5" s="3242"/>
      <c r="V5" s="3224"/>
      <c r="W5" s="3224"/>
      <c r="X5" s="1813"/>
      <c r="Y5" s="3241"/>
      <c r="Z5" s="3242"/>
      <c r="AA5" s="3227"/>
      <c r="AB5" s="3227"/>
      <c r="AC5" s="3227"/>
    </row>
    <row r="6" spans="1:29" ht="15.75" thickBot="1">
      <c r="A6" s="405"/>
      <c r="B6" s="406"/>
      <c r="C6" s="3245" t="s">
        <v>3144</v>
      </c>
      <c r="D6" s="3246"/>
      <c r="E6" s="3245" t="s">
        <v>3144</v>
      </c>
      <c r="F6" s="3246"/>
      <c r="G6" s="3245" t="s">
        <v>3144</v>
      </c>
      <c r="H6" s="3246"/>
      <c r="I6" s="3245" t="s">
        <v>3208</v>
      </c>
      <c r="J6" s="3246"/>
      <c r="K6" s="609" t="s">
        <v>2534</v>
      </c>
      <c r="L6" s="1131"/>
      <c r="M6" s="1132"/>
      <c r="N6" s="1132"/>
      <c r="O6" s="1132"/>
      <c r="P6" s="3237"/>
      <c r="Q6" s="3238"/>
      <c r="R6" s="3241"/>
      <c r="S6" s="3242"/>
      <c r="T6" s="3243"/>
      <c r="U6" s="3244"/>
      <c r="V6" s="3224"/>
      <c r="W6" s="3224"/>
      <c r="X6" s="1813"/>
      <c r="Y6" s="3243"/>
      <c r="Z6" s="3244"/>
      <c r="AA6" s="3228"/>
      <c r="AB6" s="3228"/>
      <c r="AC6" s="3228"/>
    </row>
    <row r="7" spans="1:29" s="116" customFormat="1" ht="15.75" thickBot="1">
      <c r="A7" s="407" t="s">
        <v>2535</v>
      </c>
      <c r="B7" s="408"/>
      <c r="C7" s="409">
        <f>'数据-取费表'!B2</f>
        <v>43344</v>
      </c>
      <c r="D7" s="410">
        <v>100</v>
      </c>
      <c r="E7" s="411">
        <v>43323</v>
      </c>
      <c r="F7" s="412">
        <f>SUMIF(48:48,YEAR(E7)&amp;"-"&amp;MONTH(E7),49:49)</f>
        <v>99.5</v>
      </c>
      <c r="G7" s="411">
        <v>43296</v>
      </c>
      <c r="H7" s="410">
        <f>SUMIF(48:48,YEAR(G7)&amp;"-"&amp;MONTH(G7),49:49)</f>
        <v>99</v>
      </c>
      <c r="I7" s="411">
        <v>43304</v>
      </c>
      <c r="J7" s="410">
        <f>SUMIF(48:48,YEAR(I7)&amp;"-"&amp;MONTH(I7),49:49)</f>
        <v>99</v>
      </c>
      <c r="K7" s="610"/>
      <c r="L7" s="1133"/>
      <c r="M7" s="1134"/>
      <c r="N7" s="1134"/>
      <c r="O7" s="1134"/>
      <c r="P7" s="3249" t="s">
        <v>2536</v>
      </c>
      <c r="Q7" s="3251"/>
      <c r="R7" s="768" t="s">
        <v>17</v>
      </c>
      <c r="S7" s="769">
        <f t="shared" ref="S7:S14" si="0">F7</f>
        <v>99.5</v>
      </c>
      <c r="T7" s="768" t="s">
        <v>17</v>
      </c>
      <c r="U7" s="769">
        <f t="shared" ref="U7:U14" si="1">H7</f>
        <v>99</v>
      </c>
      <c r="V7" s="768" t="s">
        <v>17</v>
      </c>
      <c r="W7" s="769">
        <f t="shared" ref="W7:W14" si="2">J7</f>
        <v>99</v>
      </c>
      <c r="X7" s="770"/>
      <c r="Y7" s="3249" t="s">
        <v>2536</v>
      </c>
      <c r="Z7" s="3250"/>
      <c r="AA7" s="771">
        <f>D7/F7</f>
        <v>1.0050251256281406</v>
      </c>
      <c r="AB7" s="771">
        <f>D7/H7</f>
        <v>1.0101010101010102</v>
      </c>
      <c r="AC7" s="771">
        <f>D7/J7</f>
        <v>1.0101010101010102</v>
      </c>
    </row>
    <row r="8" spans="1:29" s="116" customFormat="1" ht="15.75" thickBot="1">
      <c r="A8" s="407" t="s">
        <v>2537</v>
      </c>
      <c r="B8" s="408"/>
      <c r="C8" s="413" t="s">
        <v>2639</v>
      </c>
      <c r="D8" s="410">
        <v>100</v>
      </c>
      <c r="E8" s="413" t="s">
        <v>3143</v>
      </c>
      <c r="F8" s="412">
        <f>SUMIF(51:51,E8,52:52)-SUMIF(51:51,C8,52:52)+100</f>
        <v>100</v>
      </c>
      <c r="G8" s="413" t="s">
        <v>3143</v>
      </c>
      <c r="H8" s="410">
        <f>SUMIF(51:51,G8,52:52)-SUMIF(51:51,C8,52:52)+100</f>
        <v>100</v>
      </c>
      <c r="I8" s="413" t="s">
        <v>3143</v>
      </c>
      <c r="J8" s="410">
        <f>SUMIF(51:51,I8,52:52)-SUMIF(51:51,C8,52:52)+100</f>
        <v>100</v>
      </c>
      <c r="K8" s="610"/>
      <c r="L8" s="1133"/>
      <c r="M8" s="1134"/>
      <c r="N8" s="1134"/>
      <c r="O8" s="1134"/>
      <c r="P8" s="3249" t="s">
        <v>2539</v>
      </c>
      <c r="Q8" s="3250"/>
      <c r="R8" s="768" t="s">
        <v>17</v>
      </c>
      <c r="S8" s="769">
        <f t="shared" si="0"/>
        <v>100</v>
      </c>
      <c r="T8" s="768" t="s">
        <v>17</v>
      </c>
      <c r="U8" s="769">
        <f t="shared" si="1"/>
        <v>100</v>
      </c>
      <c r="V8" s="768" t="s">
        <v>17</v>
      </c>
      <c r="W8" s="769">
        <f t="shared" si="2"/>
        <v>100</v>
      </c>
      <c r="X8" s="770"/>
      <c r="Y8" s="3249" t="s">
        <v>2539</v>
      </c>
      <c r="Z8" s="3250"/>
      <c r="AA8" s="771">
        <f t="shared" ref="AA8:AA36" si="3">D8/F8</f>
        <v>1</v>
      </c>
      <c r="AB8" s="771">
        <f t="shared" ref="AB8:AB36" si="4">D8/H8</f>
        <v>1</v>
      </c>
      <c r="AC8" s="771">
        <f t="shared" ref="AC8:AC36" si="5">D8/J8</f>
        <v>1</v>
      </c>
    </row>
    <row r="9" spans="1:29" s="116" customFormat="1">
      <c r="A9" s="67" t="s">
        <v>2540</v>
      </c>
      <c r="B9" s="639" t="s">
        <v>2541</v>
      </c>
      <c r="C9" s="2970" t="s">
        <v>3207</v>
      </c>
      <c r="D9" s="134">
        <v>100</v>
      </c>
      <c r="E9" s="418" t="s">
        <v>3206</v>
      </c>
      <c r="F9" s="134">
        <f>SUMIF(53:53,E9,54:54)-SUMIF(53:53,C9,54:54)+100</f>
        <v>100</v>
      </c>
      <c r="G9" s="416" t="s">
        <v>3206</v>
      </c>
      <c r="H9" s="134">
        <f>SUMIF(53:53,G9,54:54)-SUMIF(53:53,C9,54:54)+100</f>
        <v>100</v>
      </c>
      <c r="I9" s="416" t="s">
        <v>3206</v>
      </c>
      <c r="J9" s="134">
        <f>SUMIF(53:53,I9,54:54)-SUMIF(53:53,C9,54:54)+100</f>
        <v>100</v>
      </c>
      <c r="K9" s="610"/>
      <c r="L9" s="1133"/>
      <c r="M9" s="1134"/>
      <c r="N9" s="1134"/>
      <c r="O9" s="1134"/>
      <c r="P9" s="3210" t="s">
        <v>2542</v>
      </c>
      <c r="Q9" s="1795" t="str">
        <f t="shared" ref="Q9:Q14" si="6">B9</f>
        <v>用途</v>
      </c>
      <c r="R9" s="768" t="s">
        <v>17</v>
      </c>
      <c r="S9" s="769">
        <f t="shared" si="0"/>
        <v>100</v>
      </c>
      <c r="T9" s="768" t="s">
        <v>17</v>
      </c>
      <c r="U9" s="769">
        <f t="shared" si="1"/>
        <v>100</v>
      </c>
      <c r="V9" s="768" t="s">
        <v>17</v>
      </c>
      <c r="W9" s="769">
        <f t="shared" si="2"/>
        <v>100</v>
      </c>
      <c r="X9" s="770"/>
      <c r="Y9" s="3065" t="s">
        <v>2543</v>
      </c>
      <c r="Z9" s="54" t="str">
        <f t="shared" ref="Z9:Z14" si="7">Q9</f>
        <v>用途</v>
      </c>
      <c r="AA9" s="771">
        <f t="shared" si="3"/>
        <v>1</v>
      </c>
      <c r="AB9" s="771">
        <f t="shared" si="4"/>
        <v>1</v>
      </c>
      <c r="AC9" s="771">
        <f t="shared" si="5"/>
        <v>1</v>
      </c>
    </row>
    <row r="10" spans="1:29" s="426" customFormat="1" ht="27.75" thickBot="1">
      <c r="A10" s="640"/>
      <c r="B10" s="641" t="s">
        <v>2544</v>
      </c>
      <c r="C10" s="422" t="s">
        <v>3193</v>
      </c>
      <c r="D10" s="135">
        <v>100</v>
      </c>
      <c r="E10" s="422" t="s">
        <v>3193</v>
      </c>
      <c r="F10" s="135">
        <f>SUMIF(55:55,E10,56:56)-SUMIF(55:55,C10,56:56)+100</f>
        <v>100</v>
      </c>
      <c r="G10" s="422" t="s">
        <v>3193</v>
      </c>
      <c r="H10" s="135">
        <f>SUMIF(55:55,G10,56:56)-SUMIF(55:55,C10,56:56)+100</f>
        <v>100</v>
      </c>
      <c r="I10" s="422" t="s">
        <v>3193</v>
      </c>
      <c r="J10" s="135">
        <f>SUMIF(55:55,I10,56:56)-SUMIF(55:55,C10,56:56)+100</f>
        <v>100</v>
      </c>
      <c r="K10" s="611">
        <v>2</v>
      </c>
      <c r="L10" s="1136"/>
      <c r="M10" s="1137"/>
      <c r="N10" s="1137"/>
      <c r="O10" s="1137"/>
      <c r="P10" s="3210"/>
      <c r="Q10" s="1795" t="str">
        <f t="shared" si="6"/>
        <v>土地使用年限（年）</v>
      </c>
      <c r="R10" s="768" t="s">
        <v>17</v>
      </c>
      <c r="S10" s="769">
        <f t="shared" si="0"/>
        <v>100</v>
      </c>
      <c r="T10" s="768" t="s">
        <v>17</v>
      </c>
      <c r="U10" s="769">
        <f t="shared" si="1"/>
        <v>100</v>
      </c>
      <c r="V10" s="768" t="s">
        <v>17</v>
      </c>
      <c r="W10" s="769">
        <f t="shared" si="2"/>
        <v>100</v>
      </c>
      <c r="X10" s="770"/>
      <c r="Y10" s="3065"/>
      <c r="Z10" s="54" t="str">
        <f t="shared" si="7"/>
        <v>土地使用年限（年）</v>
      </c>
      <c r="AA10" s="771">
        <f t="shared" si="3"/>
        <v>1</v>
      </c>
      <c r="AB10" s="771">
        <f t="shared" si="4"/>
        <v>1</v>
      </c>
      <c r="AC10" s="771">
        <f t="shared" si="5"/>
        <v>1</v>
      </c>
    </row>
    <row r="11" spans="1:29" ht="15" hidden="1">
      <c r="A11" s="642"/>
      <c r="B11" s="643"/>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0"/>
      <c r="Q11" s="1795">
        <f t="shared" si="6"/>
        <v>0</v>
      </c>
      <c r="R11" s="768" t="s">
        <v>17</v>
      </c>
      <c r="S11" s="769">
        <f t="shared" si="0"/>
        <v>100</v>
      </c>
      <c r="T11" s="768" t="s">
        <v>17</v>
      </c>
      <c r="U11" s="769">
        <f t="shared" si="1"/>
        <v>100</v>
      </c>
      <c r="V11" s="768" t="s">
        <v>17</v>
      </c>
      <c r="W11" s="769">
        <f t="shared" si="2"/>
        <v>100</v>
      </c>
      <c r="X11" s="770"/>
      <c r="Y11" s="3065"/>
      <c r="Z11" s="54">
        <f t="shared" si="7"/>
        <v>0</v>
      </c>
      <c r="AA11" s="771">
        <f t="shared" si="3"/>
        <v>1</v>
      </c>
      <c r="AB11" s="771">
        <f t="shared" si="4"/>
        <v>1</v>
      </c>
      <c r="AC11" s="771">
        <f t="shared" si="5"/>
        <v>1</v>
      </c>
    </row>
    <row r="12" spans="1:29" s="116" customFormat="1" ht="15" hidden="1">
      <c r="A12" s="644"/>
      <c r="B12" s="643"/>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0"/>
      <c r="Q12" s="1795">
        <f t="shared" si="6"/>
        <v>0</v>
      </c>
      <c r="R12" s="768" t="s">
        <v>17</v>
      </c>
      <c r="S12" s="769">
        <f t="shared" si="0"/>
        <v>100</v>
      </c>
      <c r="T12" s="768" t="s">
        <v>17</v>
      </c>
      <c r="U12" s="769">
        <f t="shared" si="1"/>
        <v>100</v>
      </c>
      <c r="V12" s="768" t="s">
        <v>17</v>
      </c>
      <c r="W12" s="769">
        <f t="shared" si="2"/>
        <v>100</v>
      </c>
      <c r="X12" s="770"/>
      <c r="Y12" s="3065"/>
      <c r="Z12" s="54">
        <f t="shared" si="7"/>
        <v>0</v>
      </c>
      <c r="AA12" s="771">
        <f>D12/F12</f>
        <v>1</v>
      </c>
      <c r="AB12" s="771">
        <f>D12/H12</f>
        <v>1</v>
      </c>
      <c r="AC12" s="771">
        <f>D12/J12</f>
        <v>1</v>
      </c>
    </row>
    <row r="13" spans="1:29" ht="15.75" hidden="1" thickBot="1">
      <c r="A13" s="645"/>
      <c r="B13" s="643"/>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0"/>
      <c r="Q13" s="1795">
        <f t="shared" si="6"/>
        <v>0</v>
      </c>
      <c r="R13" s="768" t="s">
        <v>17</v>
      </c>
      <c r="S13" s="769">
        <f t="shared" si="0"/>
        <v>100</v>
      </c>
      <c r="T13" s="768" t="s">
        <v>17</v>
      </c>
      <c r="U13" s="769">
        <f t="shared" si="1"/>
        <v>100</v>
      </c>
      <c r="V13" s="768" t="s">
        <v>17</v>
      </c>
      <c r="W13" s="769">
        <f t="shared" si="2"/>
        <v>100</v>
      </c>
      <c r="X13" s="770"/>
      <c r="Y13" s="3065"/>
      <c r="Z13" s="54">
        <f t="shared" si="7"/>
        <v>0</v>
      </c>
      <c r="AA13" s="771">
        <f t="shared" si="3"/>
        <v>1</v>
      </c>
      <c r="AB13" s="771">
        <f t="shared" si="4"/>
        <v>1</v>
      </c>
      <c r="AC13" s="771">
        <f t="shared" si="5"/>
        <v>1</v>
      </c>
    </row>
    <row r="14" spans="1:29" ht="15">
      <c r="A14" s="400" t="s">
        <v>2546</v>
      </c>
      <c r="B14" s="628" t="s">
        <v>2696</v>
      </c>
      <c r="C14" s="2693">
        <f>IF(B1="工业",估价对象房地状况!G4,估价对象房地状况!C6)</f>
        <v>0</v>
      </c>
      <c r="D14" s="440">
        <v>100</v>
      </c>
      <c r="E14" s="441"/>
      <c r="F14" s="442">
        <f>SUMIF(63:63,E15,64:64)-SUMIF(63:63,C15,64:64)+100</f>
        <v>100</v>
      </c>
      <c r="G14" s="443"/>
      <c r="H14" s="440">
        <f>SUMIF(63:63,G15,64:64)-SUMIF(63:63,C15,64:64)+100</f>
        <v>103</v>
      </c>
      <c r="I14" s="441"/>
      <c r="J14" s="440">
        <f>SUMIF(63:63,I15,64:64)-SUMIF(63:63,C15,64:64)+100</f>
        <v>100</v>
      </c>
      <c r="K14" s="613">
        <v>3</v>
      </c>
      <c r="L14" s="1141"/>
      <c r="M14" s="1132"/>
      <c r="N14" s="1132"/>
      <c r="O14" s="1132"/>
      <c r="P14" s="3217" t="s">
        <v>2547</v>
      </c>
      <c r="Q14" s="1810" t="str">
        <f t="shared" si="6"/>
        <v>交通便捷度</v>
      </c>
      <c r="R14" s="772" t="s">
        <v>17</v>
      </c>
      <c r="S14" s="773">
        <f t="shared" si="0"/>
        <v>100</v>
      </c>
      <c r="T14" s="772" t="s">
        <v>17</v>
      </c>
      <c r="U14" s="773">
        <f t="shared" si="1"/>
        <v>103</v>
      </c>
      <c r="V14" s="772" t="s">
        <v>17</v>
      </c>
      <c r="W14" s="773">
        <f t="shared" si="2"/>
        <v>100</v>
      </c>
      <c r="X14" s="1813"/>
      <c r="Y14" s="3217" t="s">
        <v>2547</v>
      </c>
      <c r="Z14" s="1814" t="str">
        <f t="shared" si="7"/>
        <v>交通便捷度</v>
      </c>
      <c r="AA14" s="1811">
        <f t="shared" si="3"/>
        <v>1</v>
      </c>
      <c r="AB14" s="1811">
        <f t="shared" si="4"/>
        <v>0.970873786407767</v>
      </c>
      <c r="AC14" s="1811">
        <f t="shared" si="5"/>
        <v>1</v>
      </c>
    </row>
    <row r="15" spans="1:29" ht="15">
      <c r="A15" s="403"/>
      <c r="B15" s="646"/>
      <c r="C15" s="446" t="s">
        <v>3146</v>
      </c>
      <c r="D15" s="447"/>
      <c r="E15" s="446" t="s">
        <v>3146</v>
      </c>
      <c r="F15" s="448"/>
      <c r="G15" s="446" t="s">
        <v>3147</v>
      </c>
      <c r="H15" s="449"/>
      <c r="I15" s="446" t="s">
        <v>3146</v>
      </c>
      <c r="J15" s="447"/>
      <c r="K15" s="614"/>
      <c r="L15" s="1141"/>
      <c r="M15" s="1132"/>
      <c r="N15" s="1132"/>
      <c r="O15" s="1132"/>
      <c r="P15" s="3218"/>
      <c r="Q15" s="1810"/>
      <c r="R15" s="772"/>
      <c r="S15" s="773"/>
      <c r="T15" s="772"/>
      <c r="U15" s="773"/>
      <c r="V15" s="772"/>
      <c r="W15" s="773"/>
      <c r="X15" s="1813"/>
      <c r="Y15" s="3218"/>
      <c r="Z15" s="1814"/>
      <c r="AA15" s="1811">
        <v>1</v>
      </c>
      <c r="AB15" s="1811">
        <v>1</v>
      </c>
      <c r="AC15" s="1811">
        <v>1</v>
      </c>
    </row>
    <row r="16" spans="1:29" ht="15">
      <c r="A16" s="403"/>
      <c r="B16" s="630" t="s">
        <v>2675</v>
      </c>
      <c r="C16" s="2607">
        <f>IF(B1="工业",估价对象房地状况!G5,估价对象房地状况!C7)</f>
        <v>0</v>
      </c>
      <c r="D16" s="454">
        <v>100</v>
      </c>
      <c r="E16" s="456"/>
      <c r="F16" s="457">
        <f>SUMIF(65:65,E17,66:66)-SUMIF(65:65,C17,66:66)+100</f>
        <v>100</v>
      </c>
      <c r="G16" s="456"/>
      <c r="H16" s="454">
        <f>SUMIF(65:65,G17,66:66)-SUMIF(65:65,C17,66:66)+100</f>
        <v>100</v>
      </c>
      <c r="I16" s="456"/>
      <c r="J16" s="454">
        <f>SUMIF(65:65,I17,66:66)-SUMIF(65:65,C17,66:66)+100</f>
        <v>100</v>
      </c>
      <c r="K16" s="613">
        <v>2</v>
      </c>
      <c r="L16" s="1141"/>
      <c r="M16" s="1132"/>
      <c r="N16" s="1132"/>
      <c r="O16" s="1132"/>
      <c r="P16" s="3218"/>
      <c r="Q16" s="1810" t="str">
        <f>B16</f>
        <v>公共配套设施</v>
      </c>
      <c r="R16" s="772" t="s">
        <v>17</v>
      </c>
      <c r="S16" s="773">
        <f>F16</f>
        <v>100</v>
      </c>
      <c r="T16" s="772" t="s">
        <v>17</v>
      </c>
      <c r="U16" s="773">
        <f>H16</f>
        <v>100</v>
      </c>
      <c r="V16" s="772" t="s">
        <v>17</v>
      </c>
      <c r="W16" s="773">
        <f>J16</f>
        <v>100</v>
      </c>
      <c r="X16" s="1813"/>
      <c r="Y16" s="3218"/>
      <c r="Z16" s="1814" t="str">
        <f>Q16</f>
        <v>公共配套设施</v>
      </c>
      <c r="AA16" s="1811">
        <f t="shared" si="3"/>
        <v>1</v>
      </c>
      <c r="AB16" s="1811">
        <f t="shared" si="4"/>
        <v>1</v>
      </c>
      <c r="AC16" s="1811">
        <f t="shared" si="5"/>
        <v>1</v>
      </c>
    </row>
    <row r="17" spans="1:29" ht="15">
      <c r="A17" s="403"/>
      <c r="B17" s="631"/>
      <c r="C17" s="2608" t="s">
        <v>3147</v>
      </c>
      <c r="D17" s="447"/>
      <c r="E17" s="446" t="s">
        <v>3147</v>
      </c>
      <c r="F17" s="448"/>
      <c r="G17" s="446" t="s">
        <v>3147</v>
      </c>
      <c r="H17" s="447"/>
      <c r="I17" s="446" t="s">
        <v>3147</v>
      </c>
      <c r="J17" s="447"/>
      <c r="K17" s="614"/>
      <c r="L17" s="1141"/>
      <c r="M17" s="1132"/>
      <c r="N17" s="1132"/>
      <c r="O17" s="1132"/>
      <c r="P17" s="3218"/>
      <c r="Q17" s="1810"/>
      <c r="R17" s="772"/>
      <c r="S17" s="773"/>
      <c r="T17" s="772"/>
      <c r="U17" s="773"/>
      <c r="V17" s="772"/>
      <c r="W17" s="773"/>
      <c r="X17" s="1813"/>
      <c r="Y17" s="3218"/>
      <c r="Z17" s="1814"/>
      <c r="AA17" s="1811">
        <v>1</v>
      </c>
      <c r="AB17" s="1811">
        <v>1</v>
      </c>
      <c r="AC17" s="1811">
        <v>1</v>
      </c>
    </row>
    <row r="18" spans="1:29" ht="15">
      <c r="A18" s="403"/>
      <c r="B18" s="632" t="s">
        <v>2676</v>
      </c>
      <c r="C18" s="2607">
        <f>IF(B1="工业",估价对象房地状况!G6,估价对象房地状况!C8)</f>
        <v>0</v>
      </c>
      <c r="D18" s="449">
        <v>100</v>
      </c>
      <c r="E18" s="451"/>
      <c r="F18" s="457">
        <f>SUMIF(67:67,E19,68:68)-SUMIF(67:67,C19,68:68)+100</f>
        <v>100</v>
      </c>
      <c r="G18" s="451"/>
      <c r="H18" s="454">
        <f>SUMIF(67:67,G19,68:68)-SUMIF(67:67,C19,68:68)+100</f>
        <v>100</v>
      </c>
      <c r="I18" s="451"/>
      <c r="J18" s="454">
        <f>SUMIF(67:67,I19,68:68)-SUMIF(67:67,C19,68:68)+100</f>
        <v>100</v>
      </c>
      <c r="K18" s="613">
        <v>2</v>
      </c>
      <c r="L18" s="1141"/>
      <c r="M18" s="1132"/>
      <c r="N18" s="1132"/>
      <c r="O18" s="1132"/>
      <c r="P18" s="3218"/>
      <c r="Q18" s="1810" t="str">
        <f>B18</f>
        <v>基础设施水平</v>
      </c>
      <c r="R18" s="772" t="s">
        <v>17</v>
      </c>
      <c r="S18" s="773">
        <f>F18</f>
        <v>100</v>
      </c>
      <c r="T18" s="772" t="s">
        <v>17</v>
      </c>
      <c r="U18" s="773">
        <f>H18</f>
        <v>100</v>
      </c>
      <c r="V18" s="772" t="s">
        <v>17</v>
      </c>
      <c r="W18" s="773">
        <f>J18</f>
        <v>100</v>
      </c>
      <c r="X18" s="1813"/>
      <c r="Y18" s="3218"/>
      <c r="Z18" s="1814" t="str">
        <f>Q18</f>
        <v>基础设施水平</v>
      </c>
      <c r="AA18" s="1811">
        <f t="shared" ref="AA18" si="8">D18/F18</f>
        <v>1</v>
      </c>
      <c r="AB18" s="1811">
        <f t="shared" ref="AB18" si="9">D18/H18</f>
        <v>1</v>
      </c>
      <c r="AC18" s="1811">
        <f t="shared" ref="AC18" si="10">D18/J18</f>
        <v>1</v>
      </c>
    </row>
    <row r="19" spans="1:29" ht="15">
      <c r="A19" s="403"/>
      <c r="B19" s="632"/>
      <c r="C19" s="2608" t="s">
        <v>3148</v>
      </c>
      <c r="D19" s="449"/>
      <c r="E19" s="2608" t="s">
        <v>3148</v>
      </c>
      <c r="F19" s="452"/>
      <c r="G19" s="2608" t="s">
        <v>3148</v>
      </c>
      <c r="H19" s="447"/>
      <c r="I19" s="2608" t="s">
        <v>3148</v>
      </c>
      <c r="J19" s="447"/>
      <c r="K19" s="1384"/>
      <c r="L19" s="1141"/>
      <c r="M19" s="1132"/>
      <c r="N19" s="1132"/>
      <c r="O19" s="1132"/>
      <c r="P19" s="3218"/>
      <c r="Q19" s="1810"/>
      <c r="R19" s="772"/>
      <c r="S19" s="773"/>
      <c r="T19" s="772"/>
      <c r="U19" s="773"/>
      <c r="V19" s="772"/>
      <c r="W19" s="773"/>
      <c r="X19" s="1813"/>
      <c r="Y19" s="3218"/>
      <c r="Z19" s="1814"/>
      <c r="AA19" s="1811">
        <v>1</v>
      </c>
      <c r="AB19" s="1811">
        <v>1</v>
      </c>
      <c r="AC19" s="1811">
        <v>1</v>
      </c>
    </row>
    <row r="20" spans="1:29" ht="15">
      <c r="A20" s="403"/>
      <c r="B20" s="630" t="s">
        <v>2697</v>
      </c>
      <c r="C20" s="2607">
        <f>IF(B1="工业",估价对象房地状况!G7,估价对象房地状况!C9)</f>
        <v>0</v>
      </c>
      <c r="D20" s="454">
        <v>100</v>
      </c>
      <c r="E20" s="456"/>
      <c r="F20" s="457">
        <f>SUMIF(69:69,E21,70:70)-SUMIF(69:69,C21,70:70)+100</f>
        <v>100</v>
      </c>
      <c r="G20" s="456"/>
      <c r="H20" s="449">
        <f>SUMIF(69:69,G21,70:70)-SUMIF(69:69,C21,70:70)+100</f>
        <v>100</v>
      </c>
      <c r="I20" s="456"/>
      <c r="J20" s="449">
        <f>SUMIF(69:69,I21,70:70)-SUMIF(69:69,C21,70:70)+100</f>
        <v>100</v>
      </c>
      <c r="K20" s="613">
        <v>2</v>
      </c>
      <c r="L20" s="1141"/>
      <c r="M20" s="1132"/>
      <c r="N20" s="1132"/>
      <c r="O20" s="1132"/>
      <c r="P20" s="3218"/>
      <c r="Q20" s="1810" t="str">
        <f>B20</f>
        <v>自然及人文环境</v>
      </c>
      <c r="R20" s="772" t="s">
        <v>17</v>
      </c>
      <c r="S20" s="773">
        <f>F20</f>
        <v>100</v>
      </c>
      <c r="T20" s="772" t="s">
        <v>17</v>
      </c>
      <c r="U20" s="773">
        <f>H20</f>
        <v>100</v>
      </c>
      <c r="V20" s="772" t="s">
        <v>17</v>
      </c>
      <c r="W20" s="773">
        <f>J20</f>
        <v>100</v>
      </c>
      <c r="X20" s="1813"/>
      <c r="Y20" s="3218"/>
      <c r="Z20" s="1814" t="str">
        <f>Q20</f>
        <v>自然及人文环境</v>
      </c>
      <c r="AA20" s="1811">
        <f t="shared" si="3"/>
        <v>1</v>
      </c>
      <c r="AB20" s="1811">
        <f t="shared" si="4"/>
        <v>1</v>
      </c>
      <c r="AC20" s="1811">
        <f t="shared" si="5"/>
        <v>1</v>
      </c>
    </row>
    <row r="21" spans="1:29" ht="15.75" thickBot="1">
      <c r="A21" s="403"/>
      <c r="B21" s="631"/>
      <c r="C21" s="446" t="s">
        <v>3146</v>
      </c>
      <c r="D21" s="447"/>
      <c r="E21" s="446" t="s">
        <v>3146</v>
      </c>
      <c r="F21" s="448"/>
      <c r="G21" s="446" t="s">
        <v>3146</v>
      </c>
      <c r="H21" s="447"/>
      <c r="I21" s="446" t="s">
        <v>3146</v>
      </c>
      <c r="J21" s="447"/>
      <c r="K21" s="614"/>
      <c r="L21" s="1141"/>
      <c r="M21" s="1132"/>
      <c r="N21" s="1132"/>
      <c r="O21" s="1132"/>
      <c r="P21" s="3218"/>
      <c r="Q21" s="1810"/>
      <c r="R21" s="772"/>
      <c r="S21" s="773"/>
      <c r="T21" s="772"/>
      <c r="U21" s="773"/>
      <c r="V21" s="772"/>
      <c r="W21" s="773"/>
      <c r="X21" s="1813"/>
      <c r="Y21" s="3218"/>
      <c r="Z21" s="1814"/>
      <c r="AA21" s="1811">
        <v>1</v>
      </c>
      <c r="AB21" s="1811">
        <v>1</v>
      </c>
      <c r="AC21" s="1811">
        <v>1</v>
      </c>
    </row>
    <row r="22" spans="1:29" ht="15.75" hidden="1" thickBot="1">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v>0</v>
      </c>
      <c r="L22" s="1141"/>
      <c r="M22" s="1132"/>
      <c r="N22" s="1132"/>
      <c r="O22" s="1132"/>
      <c r="P22" s="3218"/>
      <c r="Q22" s="1810" t="str">
        <f>B22</f>
        <v>楼层</v>
      </c>
      <c r="R22" s="772" t="s">
        <v>17</v>
      </c>
      <c r="S22" s="773">
        <f>F22</f>
        <v>100</v>
      </c>
      <c r="T22" s="772" t="s">
        <v>17</v>
      </c>
      <c r="U22" s="773">
        <f>H22</f>
        <v>100</v>
      </c>
      <c r="V22" s="772" t="s">
        <v>17</v>
      </c>
      <c r="W22" s="773">
        <f>J22</f>
        <v>100</v>
      </c>
      <c r="X22" s="1813"/>
      <c r="Y22" s="3218"/>
      <c r="Z22" s="1814" t="str">
        <f>Q22</f>
        <v>楼层</v>
      </c>
      <c r="AA22" s="1811">
        <f t="shared" si="3"/>
        <v>1</v>
      </c>
      <c r="AB22" s="1811">
        <f t="shared" si="4"/>
        <v>1</v>
      </c>
      <c r="AC22" s="1811">
        <f t="shared" si="5"/>
        <v>1</v>
      </c>
    </row>
    <row r="23" spans="1:29" ht="15" hidden="1">
      <c r="A23" s="403"/>
      <c r="B23" s="647"/>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8"/>
      <c r="Q23" s="1810">
        <f>B23</f>
        <v>0</v>
      </c>
      <c r="R23" s="772" t="s">
        <v>17</v>
      </c>
      <c r="S23" s="773">
        <f>F23</f>
        <v>100</v>
      </c>
      <c r="T23" s="772" t="s">
        <v>17</v>
      </c>
      <c r="U23" s="773">
        <f>H23</f>
        <v>100</v>
      </c>
      <c r="V23" s="772" t="s">
        <v>17</v>
      </c>
      <c r="W23" s="773">
        <f>J23</f>
        <v>100</v>
      </c>
      <c r="X23" s="1813"/>
      <c r="Y23" s="3218"/>
      <c r="Z23" s="1814">
        <f>Q23</f>
        <v>0</v>
      </c>
      <c r="AA23" s="1811">
        <f t="shared" si="3"/>
        <v>1</v>
      </c>
      <c r="AB23" s="1811">
        <f t="shared" si="4"/>
        <v>1</v>
      </c>
      <c r="AC23" s="1811">
        <f t="shared" si="5"/>
        <v>1</v>
      </c>
    </row>
    <row r="24" spans="1:29" ht="15" hidden="1">
      <c r="A24" s="403"/>
      <c r="B24" s="647"/>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8"/>
      <c r="Q24" s="1810">
        <f t="shared" ref="Q24:Q36" si="11">B24</f>
        <v>0</v>
      </c>
      <c r="R24" s="772" t="s">
        <v>17</v>
      </c>
      <c r="S24" s="773">
        <f>F24</f>
        <v>100</v>
      </c>
      <c r="T24" s="772" t="s">
        <v>17</v>
      </c>
      <c r="U24" s="773">
        <f>H24</f>
        <v>100</v>
      </c>
      <c r="V24" s="772" t="s">
        <v>17</v>
      </c>
      <c r="W24" s="773">
        <f>J24</f>
        <v>100</v>
      </c>
      <c r="X24" s="1813"/>
      <c r="Y24" s="3218"/>
      <c r="Z24" s="1814">
        <f>Q24</f>
        <v>0</v>
      </c>
      <c r="AA24" s="1811">
        <f t="shared" si="3"/>
        <v>1</v>
      </c>
      <c r="AB24" s="1811">
        <f t="shared" si="4"/>
        <v>1</v>
      </c>
      <c r="AC24" s="1811">
        <f t="shared" si="5"/>
        <v>1</v>
      </c>
    </row>
    <row r="25" spans="1:29" s="116" customFormat="1" ht="15.75" hidden="1" thickBot="1">
      <c r="A25" s="648"/>
      <c r="B25" s="634"/>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8"/>
      <c r="Q25" s="1795">
        <f t="shared" si="11"/>
        <v>0</v>
      </c>
      <c r="R25" s="768" t="s">
        <v>17</v>
      </c>
      <c r="S25" s="769">
        <f>F25</f>
        <v>100</v>
      </c>
      <c r="T25" s="768" t="s">
        <v>17</v>
      </c>
      <c r="U25" s="769">
        <f>H25</f>
        <v>100</v>
      </c>
      <c r="V25" s="768" t="s">
        <v>17</v>
      </c>
      <c r="W25" s="769">
        <f>J25</f>
        <v>100</v>
      </c>
      <c r="X25" s="770"/>
      <c r="Y25" s="3218"/>
      <c r="Z25" s="54">
        <f>Q25</f>
        <v>0</v>
      </c>
      <c r="AA25" s="1811">
        <f>D25/F25</f>
        <v>1</v>
      </c>
      <c r="AB25" s="1811">
        <f>D25/H25</f>
        <v>1</v>
      </c>
      <c r="AC25" s="1811">
        <f>D25/J25</f>
        <v>1</v>
      </c>
    </row>
    <row r="26" spans="1:29" ht="15">
      <c r="A26" s="651" t="s">
        <v>2550</v>
      </c>
      <c r="B26" s="69" t="s">
        <v>2699</v>
      </c>
      <c r="C26" s="2694" t="str">
        <f>B1</f>
        <v>车库</v>
      </c>
      <c r="D26" s="447">
        <v>100</v>
      </c>
      <c r="E26" s="446" t="s">
        <v>3196</v>
      </c>
      <c r="F26" s="448">
        <f>SUMIF(79:79,E26,80:80)-SUMIF(79:79,C26,80:80)+100</f>
        <v>110</v>
      </c>
      <c r="G26" s="446" t="s">
        <v>3196</v>
      </c>
      <c r="H26" s="447">
        <f>SUMIF(79:79,G26,80:80)-SUMIF(79:79,C26,80:80)+100</f>
        <v>110</v>
      </c>
      <c r="I26" s="446" t="s">
        <v>3196</v>
      </c>
      <c r="J26" s="447">
        <f>SUMIF(79:79,I26,80:80)-SUMIF(79:79,C26,80:80)+100</f>
        <v>110</v>
      </c>
      <c r="K26" s="611">
        <v>-10</v>
      </c>
      <c r="L26" s="1141"/>
      <c r="M26" s="1132"/>
      <c r="N26" s="1132"/>
      <c r="O26" s="1132"/>
      <c r="P26" s="3264" t="s">
        <v>2552</v>
      </c>
      <c r="Q26" s="1810" t="str">
        <f t="shared" si="11"/>
        <v>配套类型</v>
      </c>
      <c r="R26" s="772" t="s">
        <v>17</v>
      </c>
      <c r="S26" s="773">
        <f t="shared" ref="S26:S36" si="12">F26</f>
        <v>110</v>
      </c>
      <c r="T26" s="772" t="s">
        <v>17</v>
      </c>
      <c r="U26" s="773">
        <f t="shared" ref="U26:U36" si="13">H26</f>
        <v>110</v>
      </c>
      <c r="V26" s="772" t="s">
        <v>17</v>
      </c>
      <c r="W26" s="773">
        <f t="shared" ref="W26:W36" si="14">J26</f>
        <v>110</v>
      </c>
      <c r="X26" s="1813"/>
      <c r="Y26" s="3222" t="s">
        <v>2552</v>
      </c>
      <c r="Z26" s="1814" t="str">
        <f t="shared" ref="Z26:Z36" si="15">Q26</f>
        <v>配套类型</v>
      </c>
      <c r="AA26" s="1811">
        <f t="shared" si="3"/>
        <v>0.90909090909090906</v>
      </c>
      <c r="AB26" s="1811">
        <f t="shared" si="4"/>
        <v>0.90909090909090906</v>
      </c>
      <c r="AC26" s="1811">
        <f t="shared" si="5"/>
        <v>0.90909090909090906</v>
      </c>
    </row>
    <row r="27" spans="1:29" s="470" customFormat="1" ht="15" hidden="1">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2"/>
      <c r="Q27" s="774" t="str">
        <f t="shared" si="11"/>
        <v>项目停车位配比</v>
      </c>
      <c r="R27" s="775" t="s">
        <v>17</v>
      </c>
      <c r="S27" s="776">
        <f t="shared" si="12"/>
        <v>100</v>
      </c>
      <c r="T27" s="775" t="s">
        <v>17</v>
      </c>
      <c r="U27" s="776">
        <f t="shared" si="13"/>
        <v>100</v>
      </c>
      <c r="V27" s="775" t="s">
        <v>17</v>
      </c>
      <c r="W27" s="776">
        <f t="shared" si="14"/>
        <v>100</v>
      </c>
      <c r="X27" s="777"/>
      <c r="Y27" s="3222"/>
      <c r="Z27" s="778" t="str">
        <f t="shared" si="15"/>
        <v>项目停车位配比</v>
      </c>
      <c r="AA27" s="1811">
        <f t="shared" si="3"/>
        <v>1</v>
      </c>
      <c r="AB27" s="1811">
        <f t="shared" si="4"/>
        <v>1</v>
      </c>
      <c r="AC27" s="1811">
        <f t="shared" si="5"/>
        <v>1</v>
      </c>
    </row>
    <row r="28" spans="1:29" ht="15">
      <c r="A28" s="655"/>
      <c r="B28" s="653" t="s">
        <v>2701</v>
      </c>
      <c r="C28" s="459" t="s">
        <v>3198</v>
      </c>
      <c r="D28" s="434">
        <v>100</v>
      </c>
      <c r="E28" s="459" t="s">
        <v>3198</v>
      </c>
      <c r="F28" s="460">
        <f>SUMIF(83:83,E28,84:84)-SUMIF(83:83,C28,84:84)+100</f>
        <v>100</v>
      </c>
      <c r="G28" s="459" t="s">
        <v>3198</v>
      </c>
      <c r="H28" s="434">
        <f>SUMIF(83:83,G28,84:84)-SUMIF(83:83,C28,84:84)+100</f>
        <v>100</v>
      </c>
      <c r="I28" s="459" t="s">
        <v>3198</v>
      </c>
      <c r="J28" s="434">
        <f>SUMIF(83:83,I28,84:84)-SUMIF(83:83,C28,84:84)+100</f>
        <v>100</v>
      </c>
      <c r="K28" s="611">
        <v>1</v>
      </c>
      <c r="L28" s="1141"/>
      <c r="M28" s="1132"/>
      <c r="N28" s="1132"/>
      <c r="O28" s="1132"/>
      <c r="P28" s="3222"/>
      <c r="Q28" s="1810" t="str">
        <f t="shared" si="11"/>
        <v>公共部分装修</v>
      </c>
      <c r="R28" s="772" t="s">
        <v>17</v>
      </c>
      <c r="S28" s="773">
        <f t="shared" si="12"/>
        <v>100</v>
      </c>
      <c r="T28" s="772" t="s">
        <v>17</v>
      </c>
      <c r="U28" s="773">
        <f t="shared" si="13"/>
        <v>100</v>
      </c>
      <c r="V28" s="772" t="s">
        <v>17</v>
      </c>
      <c r="W28" s="773">
        <f t="shared" si="14"/>
        <v>100</v>
      </c>
      <c r="X28" s="1813"/>
      <c r="Y28" s="3222"/>
      <c r="Z28" s="1814" t="str">
        <f t="shared" si="15"/>
        <v>公共部分装修</v>
      </c>
      <c r="AA28" s="1811">
        <f t="shared" si="3"/>
        <v>1</v>
      </c>
      <c r="AB28" s="1811">
        <f t="shared" si="4"/>
        <v>1</v>
      </c>
      <c r="AC28" s="1811">
        <f t="shared" si="5"/>
        <v>1</v>
      </c>
    </row>
    <row r="29" spans="1:29" ht="15">
      <c r="A29" s="655"/>
      <c r="B29" s="653" t="s">
        <v>2702</v>
      </c>
      <c r="C29" s="2984">
        <f>'数据-取费表'!N6</f>
        <v>0.84</v>
      </c>
      <c r="D29" s="434">
        <v>100</v>
      </c>
      <c r="E29" s="2984">
        <f>ROUND(1-(2018-2004)/60,2)</f>
        <v>0.77</v>
      </c>
      <c r="F29" s="460">
        <f>LOOKUP(E29,86:86,87:87)-LOOKUP(C29,86:86,87:87)+100</f>
        <v>99</v>
      </c>
      <c r="G29" s="2984">
        <f>ROUND(1-(2018-2003)/60,2)</f>
        <v>0.75</v>
      </c>
      <c r="H29" s="460">
        <f>LOOKUP(G29,86:86,87:87)-LOOKUP(C29,86:86,87:87)+100</f>
        <v>99</v>
      </c>
      <c r="I29" s="2984">
        <f>ROUND(1-(2018-2009)/60,2)</f>
        <v>0.85</v>
      </c>
      <c r="J29" s="434">
        <f>LOOKUP(I29,86:86,87:87)-LOOKUP(C29,86:86,87:87)+100</f>
        <v>100</v>
      </c>
      <c r="K29" s="611">
        <v>1</v>
      </c>
      <c r="L29" s="1141"/>
      <c r="M29" s="1132"/>
      <c r="N29" s="1132"/>
      <c r="O29" s="1132"/>
      <c r="P29" s="3222"/>
      <c r="Q29" s="1810" t="str">
        <f t="shared" si="11"/>
        <v>成新率</v>
      </c>
      <c r="R29" s="772" t="s">
        <v>17</v>
      </c>
      <c r="S29" s="773">
        <f t="shared" si="12"/>
        <v>99</v>
      </c>
      <c r="T29" s="772" t="s">
        <v>17</v>
      </c>
      <c r="U29" s="773">
        <f t="shared" si="13"/>
        <v>99</v>
      </c>
      <c r="V29" s="772" t="s">
        <v>17</v>
      </c>
      <c r="W29" s="773">
        <f t="shared" si="14"/>
        <v>100</v>
      </c>
      <c r="X29" s="1813"/>
      <c r="Y29" s="3222"/>
      <c r="Z29" s="1814" t="str">
        <f t="shared" si="15"/>
        <v>成新率</v>
      </c>
      <c r="AA29" s="1811">
        <f t="shared" si="3"/>
        <v>1.0101010101010102</v>
      </c>
      <c r="AB29" s="1811">
        <f t="shared" si="4"/>
        <v>1.0101010101010102</v>
      </c>
      <c r="AC29" s="1811">
        <f t="shared" si="5"/>
        <v>1</v>
      </c>
    </row>
    <row r="30" spans="1:29" ht="15">
      <c r="A30" s="655"/>
      <c r="B30" s="653" t="s">
        <v>2703</v>
      </c>
      <c r="C30" s="656" t="s">
        <v>3200</v>
      </c>
      <c r="D30" s="434">
        <v>100</v>
      </c>
      <c r="E30" s="656" t="s">
        <v>3200</v>
      </c>
      <c r="F30" s="460">
        <f>SUMIF(88:88,E30,89:89)-SUMIF(88:88,C30,89:89)+100</f>
        <v>100</v>
      </c>
      <c r="G30" s="656" t="s">
        <v>3200</v>
      </c>
      <c r="H30" s="434">
        <f>SUMIF(88:88,E30,89:89)-SUMIF(88:88,C30,89:89)+100</f>
        <v>100</v>
      </c>
      <c r="I30" s="656" t="s">
        <v>3200</v>
      </c>
      <c r="J30" s="434">
        <f>SUMIF(88:88,E30,89:89)-SUMIF(88:88,C30,89:89)+100</f>
        <v>100</v>
      </c>
      <c r="K30" s="611">
        <v>1</v>
      </c>
      <c r="L30" s="1141"/>
      <c r="M30" s="1132"/>
      <c r="N30" s="1132"/>
      <c r="O30" s="1132"/>
      <c r="P30" s="3222"/>
      <c r="Q30" s="1810" t="str">
        <f t="shared" si="11"/>
        <v>物业等级</v>
      </c>
      <c r="R30" s="772" t="s">
        <v>17</v>
      </c>
      <c r="S30" s="773">
        <f t="shared" si="12"/>
        <v>100</v>
      </c>
      <c r="T30" s="772" t="s">
        <v>17</v>
      </c>
      <c r="U30" s="773">
        <f t="shared" si="13"/>
        <v>100</v>
      </c>
      <c r="V30" s="772" t="s">
        <v>17</v>
      </c>
      <c r="W30" s="773">
        <f t="shared" si="14"/>
        <v>100</v>
      </c>
      <c r="X30" s="1813"/>
      <c r="Y30" s="3222"/>
      <c r="Z30" s="1814" t="str">
        <f t="shared" si="15"/>
        <v>物业等级</v>
      </c>
      <c r="AA30" s="1811">
        <f t="shared" si="3"/>
        <v>1</v>
      </c>
      <c r="AB30" s="1811">
        <f t="shared" si="4"/>
        <v>1</v>
      </c>
      <c r="AC30" s="1811">
        <f t="shared" si="5"/>
        <v>1</v>
      </c>
    </row>
    <row r="31" spans="1:29" s="116" customFormat="1" ht="15">
      <c r="A31" s="657"/>
      <c r="B31" s="653" t="s">
        <v>2704</v>
      </c>
      <c r="C31" s="468">
        <v>35</v>
      </c>
      <c r="D31" s="135">
        <v>100</v>
      </c>
      <c r="E31" s="468">
        <v>26.91</v>
      </c>
      <c r="F31" s="460">
        <f>LOOKUP(E31,91:91,92:92)-LOOKUP(C31,91:91,92:92)+100</f>
        <v>99</v>
      </c>
      <c r="G31" s="468">
        <v>48.27</v>
      </c>
      <c r="H31" s="434">
        <f>LOOKUP(G31,91:91,92:92)-LOOKUP(C31,91:91,92:92)+100</f>
        <v>101</v>
      </c>
      <c r="I31" s="468">
        <v>26.57</v>
      </c>
      <c r="J31" s="434">
        <f>LOOKUP(I31,91:91,92:92)-LOOKUP(C31,91:91,92:92)+100</f>
        <v>99</v>
      </c>
      <c r="K31" s="611">
        <v>1</v>
      </c>
      <c r="L31" s="1133"/>
      <c r="M31" s="1134"/>
      <c r="N31" s="1134"/>
      <c r="O31" s="1134"/>
      <c r="P31" s="3222"/>
      <c r="Q31" s="1795" t="str">
        <f t="shared" si="11"/>
        <v>停车位面积</v>
      </c>
      <c r="R31" s="768" t="s">
        <v>17</v>
      </c>
      <c r="S31" s="769">
        <f t="shared" si="12"/>
        <v>99</v>
      </c>
      <c r="T31" s="768" t="s">
        <v>17</v>
      </c>
      <c r="U31" s="769">
        <f t="shared" si="13"/>
        <v>101</v>
      </c>
      <c r="V31" s="768" t="s">
        <v>17</v>
      </c>
      <c r="W31" s="769">
        <f t="shared" si="14"/>
        <v>99</v>
      </c>
      <c r="X31" s="770"/>
      <c r="Y31" s="3222"/>
      <c r="Z31" s="54" t="str">
        <f t="shared" si="15"/>
        <v>停车位面积</v>
      </c>
      <c r="AA31" s="771">
        <f t="shared" si="3"/>
        <v>1.0101010101010102</v>
      </c>
      <c r="AB31" s="771">
        <f t="shared" si="4"/>
        <v>0.99009900990099009</v>
      </c>
      <c r="AC31" s="771">
        <f t="shared" si="5"/>
        <v>1.0101010101010102</v>
      </c>
    </row>
    <row r="32" spans="1:29" ht="15">
      <c r="A32" s="655"/>
      <c r="B32" s="653" t="s">
        <v>2705</v>
      </c>
      <c r="C32" s="459" t="s">
        <v>3203</v>
      </c>
      <c r="D32" s="434">
        <v>100</v>
      </c>
      <c r="E32" s="459" t="s">
        <v>3203</v>
      </c>
      <c r="F32" s="460">
        <f>SUMIF(93:93,E32,94:94)-SUMIF(93:93,C32,94:94)+100</f>
        <v>100</v>
      </c>
      <c r="G32" s="459" t="s">
        <v>3203</v>
      </c>
      <c r="H32" s="434">
        <f>SUMIF(93:93,G32,94:94)-SUMIF(93:93,C32,94:94)+100</f>
        <v>100</v>
      </c>
      <c r="I32" s="459" t="s">
        <v>3203</v>
      </c>
      <c r="J32" s="434">
        <f>SUMIF(93:93,I32,94:94)-SUMIF(93:93,C32,94:94)+100</f>
        <v>100</v>
      </c>
      <c r="K32" s="611">
        <v>1</v>
      </c>
      <c r="L32" s="1141"/>
      <c r="M32" s="1132"/>
      <c r="N32" s="1132"/>
      <c r="O32" s="1132"/>
      <c r="P32" s="3222" t="s">
        <v>2552</v>
      </c>
      <c r="Q32" s="1810" t="str">
        <f t="shared" si="11"/>
        <v>车位类型</v>
      </c>
      <c r="R32" s="772" t="s">
        <v>17</v>
      </c>
      <c r="S32" s="773">
        <f t="shared" si="12"/>
        <v>100</v>
      </c>
      <c r="T32" s="772" t="s">
        <v>17</v>
      </c>
      <c r="U32" s="773">
        <f t="shared" si="13"/>
        <v>100</v>
      </c>
      <c r="V32" s="772" t="s">
        <v>17</v>
      </c>
      <c r="W32" s="773">
        <f t="shared" si="14"/>
        <v>100</v>
      </c>
      <c r="X32" s="1813"/>
      <c r="Y32" s="3222" t="s">
        <v>2552</v>
      </c>
      <c r="Z32" s="1814" t="str">
        <f t="shared" si="15"/>
        <v>车位类型</v>
      </c>
      <c r="AA32" s="1811">
        <f t="shared" si="3"/>
        <v>1</v>
      </c>
      <c r="AB32" s="1811">
        <f t="shared" si="4"/>
        <v>1</v>
      </c>
      <c r="AC32" s="1811">
        <f t="shared" si="5"/>
        <v>1</v>
      </c>
    </row>
    <row r="33" spans="1:29" ht="15.75" thickBot="1">
      <c r="A33" s="655"/>
      <c r="B33" s="653" t="s">
        <v>2706</v>
      </c>
      <c r="C33" s="459" t="s">
        <v>3057</v>
      </c>
      <c r="D33" s="434">
        <v>100</v>
      </c>
      <c r="E33" s="459" t="s">
        <v>3057</v>
      </c>
      <c r="F33" s="460">
        <f>SUMIF(95:95,E33,96:96)-SUMIF(95:95,C33,96:96)+100</f>
        <v>100</v>
      </c>
      <c r="G33" s="459" t="s">
        <v>3057</v>
      </c>
      <c r="H33" s="434">
        <f>SUMIF(95:95,G33,96:96)-SUMIF(95:95,C33,96:96)+100</f>
        <v>100</v>
      </c>
      <c r="I33" s="459" t="s">
        <v>3057</v>
      </c>
      <c r="J33" s="434">
        <f>SUMIF(95:95,I33,96:96)-SUMIF(95:95,C33,96:96)+100</f>
        <v>100</v>
      </c>
      <c r="K33" s="611">
        <v>1</v>
      </c>
      <c r="L33" s="1141"/>
      <c r="M33" s="1132"/>
      <c r="N33" s="1132"/>
      <c r="O33" s="1132"/>
      <c r="P33" s="3222"/>
      <c r="Q33" s="1810" t="str">
        <f t="shared" si="11"/>
        <v>是否直接入户</v>
      </c>
      <c r="R33" s="772" t="s">
        <v>17</v>
      </c>
      <c r="S33" s="773">
        <f t="shared" si="12"/>
        <v>100</v>
      </c>
      <c r="T33" s="772" t="s">
        <v>17</v>
      </c>
      <c r="U33" s="773">
        <f t="shared" si="13"/>
        <v>100</v>
      </c>
      <c r="V33" s="772" t="s">
        <v>17</v>
      </c>
      <c r="W33" s="773">
        <f t="shared" si="14"/>
        <v>100</v>
      </c>
      <c r="X33" s="1813"/>
      <c r="Y33" s="3222"/>
      <c r="Z33" s="1814" t="str">
        <f t="shared" si="15"/>
        <v>是否直接入户</v>
      </c>
      <c r="AA33" s="1811">
        <f t="shared" si="3"/>
        <v>1</v>
      </c>
      <c r="AB33" s="1811">
        <f t="shared" si="4"/>
        <v>1</v>
      </c>
      <c r="AC33" s="1811">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2"/>
      <c r="Q34" s="1810">
        <f t="shared" si="11"/>
        <v>111</v>
      </c>
      <c r="R34" s="772" t="s">
        <v>17</v>
      </c>
      <c r="S34" s="773">
        <f t="shared" si="12"/>
        <v>100</v>
      </c>
      <c r="T34" s="772" t="s">
        <v>17</v>
      </c>
      <c r="U34" s="773">
        <f t="shared" si="13"/>
        <v>100</v>
      </c>
      <c r="V34" s="772" t="s">
        <v>17</v>
      </c>
      <c r="W34" s="773">
        <f t="shared" si="14"/>
        <v>100</v>
      </c>
      <c r="X34" s="1813"/>
      <c r="Y34" s="3222"/>
      <c r="Z34" s="1814">
        <f t="shared" si="15"/>
        <v>111</v>
      </c>
      <c r="AA34" s="1811">
        <f t="shared" si="3"/>
        <v>1</v>
      </c>
      <c r="AB34" s="1811">
        <f t="shared" si="4"/>
        <v>1</v>
      </c>
      <c r="AC34" s="1811">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2"/>
      <c r="Q35" s="774">
        <f t="shared" si="11"/>
        <v>111</v>
      </c>
      <c r="R35" s="775" t="s">
        <v>17</v>
      </c>
      <c r="S35" s="776">
        <f t="shared" si="12"/>
        <v>100</v>
      </c>
      <c r="T35" s="775" t="s">
        <v>17</v>
      </c>
      <c r="U35" s="776">
        <f t="shared" si="13"/>
        <v>100</v>
      </c>
      <c r="V35" s="775" t="s">
        <v>17</v>
      </c>
      <c r="W35" s="776">
        <f t="shared" si="14"/>
        <v>100</v>
      </c>
      <c r="X35" s="777"/>
      <c r="Y35" s="3222"/>
      <c r="Z35" s="778">
        <f t="shared" si="15"/>
        <v>111</v>
      </c>
      <c r="AA35" s="1811">
        <f t="shared" si="3"/>
        <v>1</v>
      </c>
      <c r="AB35" s="1811">
        <f t="shared" si="4"/>
        <v>1</v>
      </c>
      <c r="AC35" s="1811">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2"/>
      <c r="Q36" s="1810">
        <f t="shared" si="11"/>
        <v>111</v>
      </c>
      <c r="R36" s="772" t="s">
        <v>17</v>
      </c>
      <c r="S36" s="773">
        <f t="shared" si="12"/>
        <v>100</v>
      </c>
      <c r="T36" s="772" t="s">
        <v>17</v>
      </c>
      <c r="U36" s="773">
        <f t="shared" si="13"/>
        <v>100</v>
      </c>
      <c r="V36" s="772" t="s">
        <v>17</v>
      </c>
      <c r="W36" s="773">
        <f t="shared" si="14"/>
        <v>100</v>
      </c>
      <c r="X36" s="1813"/>
      <c r="Y36" s="3222"/>
      <c r="Z36" s="1814">
        <f t="shared" si="15"/>
        <v>111</v>
      </c>
      <c r="AA36" s="1811">
        <f t="shared" si="3"/>
        <v>1</v>
      </c>
      <c r="AB36" s="1811">
        <f t="shared" si="4"/>
        <v>1</v>
      </c>
      <c r="AC36" s="1811">
        <f t="shared" si="5"/>
        <v>1</v>
      </c>
    </row>
    <row r="37" spans="1:29" ht="15">
      <c r="A37" s="478" t="s">
        <v>2707</v>
      </c>
      <c r="B37" s="2695" t="s">
        <v>2708</v>
      </c>
      <c r="C37" s="1408" t="s">
        <v>1</v>
      </c>
      <c r="D37" s="1409"/>
      <c r="E37" s="1410">
        <v>158000</v>
      </c>
      <c r="F37" s="1411"/>
      <c r="G37" s="1412">
        <v>155000</v>
      </c>
      <c r="H37" s="1413"/>
      <c r="I37" s="1410">
        <v>130000</v>
      </c>
      <c r="J37" s="1413"/>
      <c r="K37" s="618"/>
      <c r="L37" s="1144"/>
      <c r="M37" s="1145"/>
      <c r="N37" s="1132"/>
      <c r="O37" s="1145"/>
      <c r="P37" s="3210" t="str">
        <f>A37</f>
        <v>成交单价</v>
      </c>
      <c r="Q37" s="3210"/>
      <c r="R37" s="3211">
        <f>E37</f>
        <v>158000</v>
      </c>
      <c r="S37" s="3211"/>
      <c r="T37" s="3211">
        <f>G37</f>
        <v>155000</v>
      </c>
      <c r="U37" s="3211"/>
      <c r="V37" s="3211">
        <f>I37</f>
        <v>130000</v>
      </c>
      <c r="W37" s="3211"/>
      <c r="X37" s="757"/>
      <c r="Y37" s="779"/>
      <c r="Z37" s="757"/>
      <c r="AA37" s="757"/>
      <c r="AB37" s="757"/>
      <c r="AC37" s="757"/>
    </row>
    <row r="38" spans="1:29" ht="15.75" thickBot="1">
      <c r="A38" s="485" t="s">
        <v>2709</v>
      </c>
      <c r="B38" s="486" t="str">
        <f>B37</f>
        <v>元/车位</v>
      </c>
      <c r="C38" s="1414">
        <f>R39</f>
        <v>135357</v>
      </c>
      <c r="D38" s="1415"/>
      <c r="E38" s="1416">
        <f>R38</f>
        <v>147289</v>
      </c>
      <c r="F38" s="1416"/>
      <c r="G38" s="1414">
        <f>T38</f>
        <v>138201</v>
      </c>
      <c r="H38" s="1415"/>
      <c r="I38" s="1416">
        <f>V38</f>
        <v>120581</v>
      </c>
      <c r="J38" s="1415"/>
      <c r="K38" s="619"/>
      <c r="L38" s="1144"/>
      <c r="M38" s="1145"/>
      <c r="N38" s="1145"/>
      <c r="O38" s="1145"/>
      <c r="P38" s="3210" t="str">
        <f>A38</f>
        <v>比较价值（元/平方米）</v>
      </c>
      <c r="Q38" s="3210"/>
      <c r="R38" s="3211">
        <f>IF(F1="售价",ROUND(PRODUCT(R37,AA7:AA36),0),ROUND(PRODUCT(R37,AA7:AA36),1))</f>
        <v>147289</v>
      </c>
      <c r="S38" s="3211"/>
      <c r="T38" s="3211">
        <f>IF(F1="售价",ROUND(PRODUCT(T37,AB7:AB36),0),ROUND(PRODUCT(T37,AB7:AB36),1))</f>
        <v>138201</v>
      </c>
      <c r="U38" s="3211"/>
      <c r="V38" s="3211">
        <f>IF(F1="售价",ROUND(PRODUCT(V37,AC7:AC36),0),ROUND(PRODUCT(V37,AC7:AC36),1))</f>
        <v>120581</v>
      </c>
      <c r="W38" s="3211"/>
      <c r="X38" s="757"/>
      <c r="Y38" s="757"/>
      <c r="Z38" s="757"/>
      <c r="AA38" s="757"/>
      <c r="AB38" s="757"/>
      <c r="AC38" s="757"/>
    </row>
    <row r="39" spans="1:29" ht="15.75" thickBot="1">
      <c r="A39" s="491" t="s">
        <v>2710</v>
      </c>
      <c r="B39" s="492"/>
      <c r="C39" s="1418">
        <f>R39</f>
        <v>135357</v>
      </c>
      <c r="D39" s="1418"/>
      <c r="E39" s="1418"/>
      <c r="F39" s="1418"/>
      <c r="G39" s="1418"/>
      <c r="H39" s="1418"/>
      <c r="I39" s="1418"/>
      <c r="J39" s="1418"/>
      <c r="K39" s="620"/>
      <c r="L39" s="1144"/>
      <c r="M39" s="1145"/>
      <c r="N39" s="1145"/>
      <c r="O39" s="1145"/>
      <c r="P39" s="3212" t="str">
        <f>A39</f>
        <v>估价对象XX用房的比较价值（楼面单价，元/平方米）</v>
      </c>
      <c r="Q39" s="3213"/>
      <c r="R39" s="3214">
        <f>IF(F1="售价",ROUND(AVERAGE(R38:V38),0),ROUND(AVERAGE(R38:V38),1))</f>
        <v>135357</v>
      </c>
      <c r="S39" s="3214"/>
      <c r="T39" s="3214"/>
      <c r="U39" s="3214"/>
      <c r="V39" s="3214"/>
      <c r="W39" s="321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f>IF(E37&lt;E38,E38/E37-1,E37/E38-1)</f>
        <v>7.2720977126601527E-2</v>
      </c>
      <c r="F42" s="499" t="str">
        <f>IF(OR(E42&gt;=0.3,E42&lt;=-0.3),"超过30%","")</f>
        <v/>
      </c>
      <c r="G42" s="498">
        <f>IF(G37&lt;G38,G38/G37-1,G37/G38-1)</f>
        <v>0.12155483679568158</v>
      </c>
      <c r="H42" s="499" t="str">
        <f>IF(OR(G42&gt;=0.3,G42&lt;=-0.3),"超过30%","")</f>
        <v/>
      </c>
      <c r="I42" s="498">
        <f>IF(I37&lt;I38,I38/I37-1,I37/I38-1)</f>
        <v>7.8113467295842565E-2</v>
      </c>
      <c r="J42" s="499" t="str">
        <f>IF(OR(I42&gt;=0.3,I42&lt;=-0.3),"超过30%","")</f>
        <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f>IF(E38&lt;G38,G38/E38-1,E38/G38-1)</f>
        <v>6.5759292624510746E-2</v>
      </c>
      <c r="F43" s="499" t="str">
        <f>IF(OR(E43&gt;=0.2,E43&lt;=-0.2),"超过20%","")</f>
        <v/>
      </c>
      <c r="G43" s="498">
        <f>IF(G38&lt;I38,I38/G38-1,G38/I38-1)</f>
        <v>0.14612584072117496</v>
      </c>
      <c r="H43" s="499" t="str">
        <f>IF(OR(G43&gt;=0.2,G43&lt;=-0.2),"超过20%","")</f>
        <v/>
      </c>
      <c r="I43" s="498">
        <f>IF(I38&lt;E38,E38/I38-1,I38/E38-1)</f>
        <v>0.22149426526567195</v>
      </c>
      <c r="J43" s="499" t="str">
        <f>IF(OR(I43&gt;=0.2,I43&lt;=-0.2),"超过20%","")</f>
        <v>超过20%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f>IF(E37&lt;G37,G37/E37-1,E37/G37-1)</f>
        <v>1.9354838709677358E-2</v>
      </c>
      <c r="F44" s="499" t="str">
        <f>IF(OR(E44&gt;=0.3,E44&lt;=-0.3),"超过30%","")</f>
        <v/>
      </c>
      <c r="G44" s="498">
        <f>IF(G37&lt;I37,I37/G37-1,G37/I37-1)</f>
        <v>0.19230769230769229</v>
      </c>
      <c r="H44" s="499" t="str">
        <f>IF(OR(G44&gt;=0.3,G44&lt;=-0.3),"超过30%","")</f>
        <v/>
      </c>
      <c r="I44" s="498">
        <f>IF(I37&lt;E37,E37/I37-1,I37/E37-1)</f>
        <v>0.21538461538461529</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2018-9</v>
      </c>
      <c r="D48" s="1576">
        <f>EDATE(C48,-1)</f>
        <v>43313</v>
      </c>
      <c r="E48" s="1576">
        <f t="shared" ref="E48:O48" si="16">EDATE(D48,-1)</f>
        <v>43282</v>
      </c>
      <c r="F48" s="1576">
        <f t="shared" si="16"/>
        <v>43252</v>
      </c>
      <c r="G48" s="1576">
        <f t="shared" si="16"/>
        <v>43221</v>
      </c>
      <c r="H48" s="1576">
        <f t="shared" si="16"/>
        <v>43191</v>
      </c>
      <c r="I48" s="1576">
        <f t="shared" si="16"/>
        <v>43160</v>
      </c>
      <c r="J48" s="1576">
        <f t="shared" si="16"/>
        <v>43132</v>
      </c>
      <c r="K48" s="1576">
        <f t="shared" si="16"/>
        <v>43101</v>
      </c>
      <c r="L48" s="1576">
        <f t="shared" si="16"/>
        <v>43070</v>
      </c>
      <c r="M48" s="1576">
        <f t="shared" si="16"/>
        <v>43040</v>
      </c>
      <c r="N48" s="1576">
        <f t="shared" si="16"/>
        <v>43009</v>
      </c>
      <c r="O48" s="1576">
        <f t="shared" si="16"/>
        <v>42979</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v>99.5</v>
      </c>
      <c r="E49" s="511">
        <v>99</v>
      </c>
      <c r="F49" s="511">
        <v>98.5</v>
      </c>
      <c r="G49" s="511">
        <v>98</v>
      </c>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t="str">
        <f>C9</f>
        <v>车位</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0</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0</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0</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97</v>
      </c>
      <c r="E64" s="543">
        <f>D64-$K14</f>
        <v>94</v>
      </c>
      <c r="F64" s="543">
        <f>E64-$K14</f>
        <v>91</v>
      </c>
      <c r="G64" s="543">
        <f>F64-$K14</f>
        <v>88</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98</v>
      </c>
      <c r="E66" s="543">
        <f>D66-$K16</f>
        <v>96</v>
      </c>
      <c r="F66" s="543">
        <f>E66-$K16</f>
        <v>94</v>
      </c>
      <c r="G66" s="543">
        <f>F66-$K16</f>
        <v>92</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98</v>
      </c>
      <c r="E68" s="543">
        <f>D68-$K18</f>
        <v>96</v>
      </c>
      <c r="F68" s="543">
        <f>E68-$K18</f>
        <v>94</v>
      </c>
      <c r="G68" s="543">
        <f>F68-$K18</f>
        <v>92</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98</v>
      </c>
      <c r="E70" s="543">
        <f>D70-$K20</f>
        <v>96</v>
      </c>
      <c r="F70" s="543">
        <f>E70-$K20</f>
        <v>94</v>
      </c>
      <c r="G70" s="543">
        <f>F70-$K20</f>
        <v>92</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t="s">
        <v>3194</v>
      </c>
      <c r="D71" s="553" t="s">
        <v>3195</v>
      </c>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0</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0</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0</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t="str">
        <f>C26</f>
        <v>车库</v>
      </c>
      <c r="D79" s="2972" t="s">
        <v>3197</v>
      </c>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110</v>
      </c>
      <c r="E80" s="543">
        <f t="shared" si="17"/>
        <v>120</v>
      </c>
      <c r="F80" s="543">
        <f t="shared" si="17"/>
        <v>130</v>
      </c>
      <c r="G80" s="543">
        <f t="shared" si="17"/>
        <v>140</v>
      </c>
      <c r="H80" s="543">
        <f t="shared" si="17"/>
        <v>150</v>
      </c>
      <c r="I80" s="543">
        <f t="shared" si="17"/>
        <v>160</v>
      </c>
      <c r="J80" s="543">
        <f t="shared" si="17"/>
        <v>170</v>
      </c>
      <c r="K80" s="543">
        <f t="shared" si="17"/>
        <v>180</v>
      </c>
      <c r="L80" s="543">
        <f t="shared" si="17"/>
        <v>190</v>
      </c>
      <c r="M80" s="544">
        <f t="shared" si="17"/>
        <v>200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2971" t="s">
        <v>3199</v>
      </c>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2972" t="s">
        <v>3201</v>
      </c>
      <c r="D88" s="2972" t="s">
        <v>3202</v>
      </c>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101</v>
      </c>
      <c r="E89" s="543">
        <f t="shared" si="20"/>
        <v>102</v>
      </c>
      <c r="F89" s="543">
        <f t="shared" si="20"/>
        <v>103</v>
      </c>
      <c r="G89" s="543">
        <f t="shared" si="20"/>
        <v>104</v>
      </c>
      <c r="H89" s="543">
        <f t="shared" si="20"/>
        <v>105</v>
      </c>
      <c r="I89" s="543">
        <f t="shared" si="20"/>
        <v>106</v>
      </c>
      <c r="J89" s="543">
        <f t="shared" si="20"/>
        <v>107</v>
      </c>
      <c r="K89" s="543">
        <f t="shared" si="20"/>
        <v>108</v>
      </c>
      <c r="L89" s="543">
        <f t="shared" si="20"/>
        <v>109</v>
      </c>
      <c r="M89" s="543">
        <f t="shared" si="20"/>
        <v>110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0(含)-30</v>
      </c>
      <c r="D90" s="577" t="str">
        <f t="shared" ref="D90:L90" si="21">D91&amp;"(含)"&amp;"-"&amp;E91</f>
        <v>30(含)-40</v>
      </c>
      <c r="E90" s="577" t="str">
        <f t="shared" si="21"/>
        <v>40(含)-50</v>
      </c>
      <c r="F90" s="577" t="str">
        <f t="shared" si="21"/>
        <v>50(含)-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v>0</v>
      </c>
      <c r="D91" s="594">
        <v>30</v>
      </c>
      <c r="E91" s="594">
        <v>40</v>
      </c>
      <c r="F91" s="594">
        <v>50</v>
      </c>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101</v>
      </c>
      <c r="E92" s="535">
        <v>102</v>
      </c>
      <c r="F92" s="535">
        <v>103</v>
      </c>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2971" t="s">
        <v>3204</v>
      </c>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99</v>
      </c>
      <c r="E94" s="543">
        <f t="shared" si="22"/>
        <v>98</v>
      </c>
      <c r="F94" s="543">
        <f t="shared" si="22"/>
        <v>97</v>
      </c>
      <c r="G94" s="543">
        <f t="shared" si="22"/>
        <v>96</v>
      </c>
      <c r="H94" s="543">
        <f t="shared" si="22"/>
        <v>95</v>
      </c>
      <c r="I94" s="543">
        <f t="shared" si="22"/>
        <v>94</v>
      </c>
      <c r="J94" s="543">
        <f t="shared" si="22"/>
        <v>93</v>
      </c>
      <c r="K94" s="543">
        <f t="shared" si="22"/>
        <v>92</v>
      </c>
      <c r="L94" s="543">
        <f t="shared" si="22"/>
        <v>91</v>
      </c>
      <c r="M94" s="544">
        <f t="shared" si="22"/>
        <v>90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2972" t="s">
        <v>3205</v>
      </c>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99</v>
      </c>
      <c r="E96" s="543">
        <f>D96-$K33</f>
        <v>98</v>
      </c>
      <c r="F96" s="543">
        <f>E96-$K33</f>
        <v>97</v>
      </c>
      <c r="G96" s="543">
        <f>F96-$K33</f>
        <v>96</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1" priority="14" stopIfTrue="1" operator="containsText" text="超过">
      <formula>NOT(ISERROR(SEARCH("超过",F42)))</formula>
    </cfRule>
  </conditionalFormatting>
  <conditionalFormatting sqref="J44">
    <cfRule type="containsText" dxfId="110" priority="13" stopIfTrue="1" operator="containsText" text="超过">
      <formula>NOT(ISERROR(SEARCH("超过",J44)))</formula>
    </cfRule>
  </conditionalFormatting>
  <conditionalFormatting sqref="H44">
    <cfRule type="containsText" dxfId="109" priority="12" stopIfTrue="1" operator="containsText" text="超过">
      <formula>NOT(ISERROR(SEARCH("超过",H44)))</formula>
    </cfRule>
  </conditionalFormatting>
  <conditionalFormatting sqref="F44">
    <cfRule type="containsText" dxfId="108" priority="11" stopIfTrue="1" operator="containsText" text="超过">
      <formula>NOT(ISERROR(SEARCH("超过",F44)))</formula>
    </cfRule>
  </conditionalFormatting>
  <conditionalFormatting sqref="F43 H43 J43">
    <cfRule type="containsText" dxfId="107" priority="10" stopIfTrue="1" operator="containsText" text="超过">
      <formula>NOT(ISERROR(SEARCH("超过",F43)))</formula>
    </cfRule>
  </conditionalFormatting>
  <conditionalFormatting sqref="E42">
    <cfRule type="expression" dxfId="106" priority="9" stopIfTrue="1">
      <formula>$F$42="超过30%"</formula>
    </cfRule>
  </conditionalFormatting>
  <conditionalFormatting sqref="G44">
    <cfRule type="expression" dxfId="105" priority="8" stopIfTrue="1">
      <formula>$H$54+$H$44="超过30%"</formula>
    </cfRule>
  </conditionalFormatting>
  <conditionalFormatting sqref="E43">
    <cfRule type="expression" dxfId="104" priority="7" stopIfTrue="1">
      <formula>$F$43="超过20%"</formula>
    </cfRule>
  </conditionalFormatting>
  <conditionalFormatting sqref="E44">
    <cfRule type="expression" dxfId="103" priority="6" stopIfTrue="1">
      <formula>$F$44="超过30%"</formula>
    </cfRule>
  </conditionalFormatting>
  <conditionalFormatting sqref="G42">
    <cfRule type="expression" dxfId="102" priority="5" stopIfTrue="1">
      <formula>$H$52+$H$42="超过30%"</formula>
    </cfRule>
  </conditionalFormatting>
  <conditionalFormatting sqref="G43">
    <cfRule type="expression" dxfId="101" priority="4" stopIfTrue="1">
      <formula>$H$43="超过20%"</formula>
    </cfRule>
  </conditionalFormatting>
  <conditionalFormatting sqref="I42">
    <cfRule type="expression" dxfId="100" priority="3" stopIfTrue="1">
      <formula>$J$52+$J$42="超过30%"</formula>
    </cfRule>
  </conditionalFormatting>
  <conditionalFormatting sqref="I43">
    <cfRule type="expression" dxfId="99" priority="2" stopIfTrue="1">
      <formula>$J$53+$J$43="超过20%"</formula>
    </cfRule>
  </conditionalFormatting>
  <conditionalFormatting sqref="I44">
    <cfRule type="expression" dxfId="9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0" sqref="I4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48</v>
      </c>
      <c r="D1" s="1820" t="s">
        <v>70</v>
      </c>
      <c r="E1" s="1821" t="s">
        <v>1387</v>
      </c>
      <c r="F1" s="1284">
        <f ca="1">J53</f>
        <v>33.74</v>
      </c>
      <c r="G1" s="1836">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f ca="1">ROUND(D2/10000,0)</f>
        <v>372</v>
      </c>
      <c r="C2" s="1845" t="s">
        <v>1591</v>
      </c>
      <c r="D2" s="1938">
        <f ca="1">C40+J29+L46</f>
        <v>3721839</v>
      </c>
      <c r="E2" s="1846" t="s">
        <v>1592</v>
      </c>
      <c r="F2" s="1847"/>
      <c r="G2" s="1848"/>
      <c r="H2" s="1840"/>
      <c r="I2" s="1840"/>
      <c r="J2" s="1840"/>
      <c r="K2" s="1841"/>
      <c r="L2" s="1840"/>
      <c r="M2" s="1840"/>
    </row>
    <row r="3" spans="1:37" ht="18" customHeight="1" thickBot="1">
      <c r="A3" s="1849" t="s">
        <v>1593</v>
      </c>
      <c r="B3" s="1850">
        <f ca="1">IF(ISERROR(D2/F43),0,ROUND(D2/F43,0))</f>
        <v>1145</v>
      </c>
      <c r="C3" s="1845" t="s">
        <v>1594</v>
      </c>
      <c r="D3" s="1845"/>
      <c r="E3" s="1846"/>
      <c r="F3" s="1847"/>
      <c r="G3" s="1848"/>
      <c r="H3" s="742"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3">
        <f ca="1">C6+C10+C12</f>
        <v>210599</v>
      </c>
      <c r="D5" s="1822" t="s">
        <v>1601</v>
      </c>
      <c r="E5" s="1294"/>
      <c r="F5" s="1295"/>
      <c r="G5" s="1851"/>
      <c r="H5" s="343">
        <v>1</v>
      </c>
      <c r="I5" s="344" t="s">
        <v>1600</v>
      </c>
      <c r="J5" s="1293">
        <f ca="1">J6+J10+J12</f>
        <v>446432</v>
      </c>
      <c r="K5" s="1822" t="s">
        <v>1601</v>
      </c>
      <c r="L5" s="1294"/>
      <c r="M5" s="1295"/>
    </row>
    <row r="6" spans="1:37" ht="18" customHeight="1">
      <c r="A6" s="1292" t="s">
        <v>1035</v>
      </c>
      <c r="B6" s="3261" t="s">
        <v>1403</v>
      </c>
      <c r="C6" s="1297">
        <f ca="1">ROUND(F6*F8*F7*(1-F9),0)</f>
        <v>210599</v>
      </c>
      <c r="D6" s="163" t="s">
        <v>3016</v>
      </c>
      <c r="E6" s="346" t="s">
        <v>1405</v>
      </c>
      <c r="F6" s="347">
        <f ca="1">INDIRECT("'数据-取费表'!u"&amp;$G$1)</f>
        <v>190.76</v>
      </c>
      <c r="G6" s="1851"/>
      <c r="H6" s="1292" t="s">
        <v>1035</v>
      </c>
      <c r="I6" s="3261" t="s">
        <v>1403</v>
      </c>
      <c r="J6" s="345">
        <f ca="1">ROUND(M6*M8*M7*(1-M9),0)</f>
        <v>446432</v>
      </c>
      <c r="K6" s="1834" t="s">
        <v>3017</v>
      </c>
      <c r="L6" s="346" t="s">
        <v>1405</v>
      </c>
      <c r="M6" s="347">
        <f ca="1">INDIRECT("'数据-取费表'!z"&amp;$G$1)</f>
        <v>425.66</v>
      </c>
    </row>
    <row r="7" spans="1:37" ht="18" customHeight="1">
      <c r="A7" s="1296"/>
      <c r="B7" s="3262"/>
      <c r="C7" s="1298"/>
      <c r="D7" s="351"/>
      <c r="E7" s="1299" t="s">
        <v>1406</v>
      </c>
      <c r="F7" s="347">
        <f ca="1">IF(INDIRECT("'数据-取费表'!ah"&amp;$G$1)="",INDIRECT("'数据-取费表'!k"&amp;$G$1),INDIRECT("'数据-取费表'!ah"&amp;$G$1))</f>
        <v>92</v>
      </c>
      <c r="G7" s="1851"/>
      <c r="H7" s="348"/>
      <c r="I7" s="3262"/>
      <c r="J7" s="350"/>
      <c r="K7" s="351"/>
      <c r="L7" s="346" t="s">
        <v>1406</v>
      </c>
      <c r="M7" s="347">
        <f ca="1">F7</f>
        <v>92</v>
      </c>
    </row>
    <row r="8" spans="1:37" ht="18" customHeight="1">
      <c r="A8" s="348"/>
      <c r="B8" s="3262"/>
      <c r="C8" s="350"/>
      <c r="D8" s="351"/>
      <c r="E8" s="346" t="s">
        <v>1407</v>
      </c>
      <c r="F8" s="347">
        <f ca="1">INDIRECT("'数据-取费表'!ai"&amp;$G$1)</f>
        <v>12</v>
      </c>
      <c r="G8" s="1851"/>
      <c r="H8" s="348"/>
      <c r="I8" s="3262"/>
      <c r="J8" s="350"/>
      <c r="K8" s="351"/>
      <c r="L8" s="346" t="s">
        <v>1407</v>
      </c>
      <c r="M8" s="347">
        <f ca="1">INDIRECT("'数据-取费表'!ai"&amp;$G$1)</f>
        <v>12</v>
      </c>
    </row>
    <row r="9" spans="1:37" ht="18" customHeight="1">
      <c r="A9" s="348"/>
      <c r="B9" s="3263"/>
      <c r="C9" s="350"/>
      <c r="D9" s="351"/>
      <c r="E9" s="346" t="s">
        <v>1408</v>
      </c>
      <c r="F9" s="356">
        <f ca="1">INDIRECT("'数据-取费表'!w"&amp;$G$1)</f>
        <v>0</v>
      </c>
      <c r="G9" s="1851"/>
      <c r="H9" s="348"/>
      <c r="I9" s="3263"/>
      <c r="J9" s="350"/>
      <c r="K9" s="351"/>
      <c r="L9" s="357" t="s">
        <v>1408</v>
      </c>
      <c r="M9" s="358">
        <f ca="1">INDIRECT("'数据-取费表'!ab"&amp;$G$1)</f>
        <v>0.05</v>
      </c>
    </row>
    <row r="10" spans="1:37" ht="18" customHeight="1">
      <c r="A10" s="1292" t="s">
        <v>1039</v>
      </c>
      <c r="B10" s="1823" t="s">
        <v>1409</v>
      </c>
      <c r="C10" s="360">
        <f ca="1">ROUND(IF(F10="押一",C6/12*F11,IF(F10="押二",C6/12*2*F11,IF(F10="押三",C6/12*3*F11,C11*F11))),0)</f>
        <v>0</v>
      </c>
      <c r="D10" s="1824" t="s">
        <v>3027</v>
      </c>
      <c r="E10" s="357" t="s">
        <v>1410</v>
      </c>
      <c r="F10" s="1367" t="s">
        <v>3140</v>
      </c>
      <c r="G10" s="1851"/>
      <c r="H10" s="1292" t="s">
        <v>1039</v>
      </c>
      <c r="I10" s="1823" t="s">
        <v>1409</v>
      </c>
      <c r="J10" s="345">
        <f ca="1">ROUND(IF(M10="押一",J6/12*M11,IF(M10="押二",J6/12*2*M11,IF(M10="押三",J6/12*3*M11,J11*M11))),0)</f>
        <v>0</v>
      </c>
      <c r="K10" s="1835" t="s">
        <v>3029</v>
      </c>
      <c r="L10" s="357" t="s">
        <v>1410</v>
      </c>
      <c r="M10" s="1367" t="s">
        <v>3140</v>
      </c>
    </row>
    <row r="11" spans="1:37" ht="18" customHeight="1">
      <c r="A11" s="352"/>
      <c r="B11" s="1825" t="s">
        <v>1602</v>
      </c>
      <c r="C11" s="1179"/>
      <c r="D11" s="351"/>
      <c r="E11" s="357" t="s">
        <v>1412</v>
      </c>
      <c r="F11" s="358">
        <f ca="1">'数据-取费表'!B39</f>
        <v>1.4999999999999999E-2</v>
      </c>
      <c r="G11" s="1851"/>
      <c r="H11" s="1300"/>
      <c r="I11" s="1825" t="s">
        <v>1603</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5775338</v>
      </c>
      <c r="D13" s="1332" t="s">
        <v>1415</v>
      </c>
      <c r="E13" s="1332" t="s">
        <v>1416</v>
      </c>
      <c r="F13" s="1333">
        <f ca="1">INDIRECT("'数据-取费表'!y"&amp;$G$1)</f>
        <v>0.84</v>
      </c>
      <c r="G13" s="1851"/>
      <c r="H13" s="1330">
        <v>2</v>
      </c>
      <c r="I13" s="1331" t="s">
        <v>1414</v>
      </c>
      <c r="J13" s="1291">
        <f ca="1">ROUND(J14*J15,0)</f>
        <v>4331503</v>
      </c>
      <c r="K13" s="1338" t="s">
        <v>1415</v>
      </c>
      <c r="L13" s="1852"/>
      <c r="M13" s="1853"/>
    </row>
    <row r="14" spans="1:37" ht="18" customHeight="1">
      <c r="A14" s="1202" t="s">
        <v>1034</v>
      </c>
      <c r="B14" s="346" t="s">
        <v>1417</v>
      </c>
      <c r="C14" s="362">
        <f ca="1">ROUND(INDIRECT("'数据-取费表'!l"&amp;$G$1)*F43+'数据-取费表'!L14*INDIRECT("'数据-取费表'!S"&amp;$G$1),0)</f>
        <v>4875000</v>
      </c>
      <c r="D14" s="1800" t="s">
        <v>1418</v>
      </c>
      <c r="E14" s="1794"/>
      <c r="F14" s="363"/>
      <c r="G14" s="1851"/>
      <c r="H14" s="1202" t="s">
        <v>1035</v>
      </c>
      <c r="I14" s="346" t="s">
        <v>1419</v>
      </c>
      <c r="J14" s="23">
        <f ca="1">C29</f>
        <v>6875402</v>
      </c>
      <c r="K14" s="14"/>
      <c r="L14" s="980"/>
      <c r="M14" s="981"/>
    </row>
    <row r="15" spans="1:37" s="1858" customFormat="1" ht="18" customHeight="1" thickBot="1">
      <c r="A15" s="1202" t="s">
        <v>1036</v>
      </c>
      <c r="B15" s="346" t="s">
        <v>1420</v>
      </c>
      <c r="C15" s="23">
        <f ca="1">ROUND(C14*F15,0)</f>
        <v>146250</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1"/>
      <c r="H16" s="1330" t="s">
        <v>1030</v>
      </c>
      <c r="I16" s="1331" t="s">
        <v>1424</v>
      </c>
      <c r="J16" s="354">
        <f ca="1">ROUND(J17+J22+J23+J24,0)</f>
        <v>223974</v>
      </c>
      <c r="K16" s="1338" t="s">
        <v>1425</v>
      </c>
      <c r="L16" s="1339"/>
      <c r="M16" s="1295"/>
    </row>
    <row r="17" spans="1:37" s="1858" customFormat="1" ht="18" customHeight="1">
      <c r="A17" s="1202" t="s">
        <v>1390</v>
      </c>
      <c r="B17" s="346" t="s">
        <v>1426</v>
      </c>
      <c r="C17" s="23">
        <f ca="1">ROUND(F17*(F43+INDIRECT("'数据-取费表'!S"&amp;$G$1)),0)</f>
        <v>650000</v>
      </c>
      <c r="D17" s="346" t="s">
        <v>1427</v>
      </c>
      <c r="E17" s="346" t="s">
        <v>1428</v>
      </c>
      <c r="F17" s="25">
        <f>'数据-取费表'!B35</f>
        <v>200</v>
      </c>
      <c r="G17" s="1854"/>
      <c r="H17" s="1202" t="s">
        <v>1035</v>
      </c>
      <c r="I17" s="346" t="s">
        <v>1429</v>
      </c>
      <c r="J17" s="23">
        <f ca="1">ROUND(IF(项目基本情况!B11="自然人",J5*M17,J18+J19+J20),0)</f>
        <v>109882</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73125</v>
      </c>
      <c r="D18" s="346" t="s">
        <v>1421</v>
      </c>
      <c r="E18" s="346" t="s">
        <v>1422</v>
      </c>
      <c r="F18" s="366">
        <f>'数据-取费表'!B36</f>
        <v>1.4999999999999999E-2</v>
      </c>
      <c r="G18" s="1854"/>
      <c r="H18" s="1202" t="s">
        <v>1034</v>
      </c>
      <c r="I18" s="346" t="s">
        <v>1433</v>
      </c>
      <c r="J18" s="23">
        <f ca="1">ROUND(J5*M18/(1+'数据-取费表'!C42),0)</f>
        <v>23810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5744375</v>
      </c>
      <c r="D19" s="139" t="s">
        <v>1436</v>
      </c>
      <c r="E19" s="1818"/>
      <c r="F19" s="25"/>
      <c r="G19" s="1851"/>
      <c r="H19" s="1202" t="s">
        <v>1036</v>
      </c>
      <c r="I19" s="346" t="s">
        <v>1437</v>
      </c>
      <c r="J19" s="23">
        <f ca="1">IF(K19="按租金收入计税",ROUND(J5*M19,0),ROUND(C29*M19*0.7,0))</f>
        <v>53572</v>
      </c>
      <c r="K19" s="3012" t="s">
        <v>3135</v>
      </c>
      <c r="L19" s="346" t="s">
        <v>1422</v>
      </c>
      <c r="M19" s="366">
        <f>IF(K19="按租金收入计税",'数据-取费表'!B51,'数据-取费表'!B50)</f>
        <v>0.12</v>
      </c>
    </row>
    <row r="20" spans="1:37" s="1858" customFormat="1" ht="18" customHeight="1">
      <c r="A20" s="1202" t="s">
        <v>1039</v>
      </c>
      <c r="B20" s="346" t="s">
        <v>1439</v>
      </c>
      <c r="C20" s="23">
        <f ca="1">ROUND(C19*F20,0)</f>
        <v>114888</v>
      </c>
      <c r="D20" s="368" t="s">
        <v>1440</v>
      </c>
      <c r="E20" s="346" t="s">
        <v>1422</v>
      </c>
      <c r="F20" s="366">
        <f>'数据-取费表'!B37</f>
        <v>0.02</v>
      </c>
      <c r="G20" s="1854"/>
      <c r="H20" s="1202" t="s">
        <v>1389</v>
      </c>
      <c r="I20" s="163" t="s">
        <v>1441</v>
      </c>
      <c r="J20" s="24">
        <f ca="1">ROUND(M20*M21,0)</f>
        <v>32500</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v>
      </c>
      <c r="D21" s="368" t="s">
        <v>1445</v>
      </c>
      <c r="E21" s="346" t="s">
        <v>1446</v>
      </c>
      <c r="F21" s="366">
        <f>'数据-取费表'!B38</f>
        <v>0.02</v>
      </c>
      <c r="G21" s="1854"/>
      <c r="H21" s="371"/>
      <c r="I21" s="355"/>
      <c r="J21" s="28"/>
      <c r="K21" s="372"/>
      <c r="L21" s="346" t="s">
        <v>1447</v>
      </c>
      <c r="M21" s="347">
        <f ca="1">INDIRECT("'数据-取费表'!r"&amp;$G$1)</f>
        <v>2708.33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ROUND(J14*M22,0)</f>
        <v>103131</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207521</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ROUND(J13*M23,0)</f>
        <v>6497</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ROUND(J5*M24,0)</f>
        <v>4464</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3"/>
      <c r="D25" s="139" t="s">
        <v>1462</v>
      </c>
      <c r="E25" s="1818"/>
      <c r="F25" s="25"/>
      <c r="G25" s="1851"/>
      <c r="H25" s="1330" t="s">
        <v>1031</v>
      </c>
      <c r="I25" s="1345" t="s">
        <v>1463</v>
      </c>
      <c r="J25" s="354">
        <f ca="1">J5-J16</f>
        <v>222458</v>
      </c>
      <c r="K25" s="1346" t="s">
        <v>1464</v>
      </c>
      <c r="L25" s="1347"/>
      <c r="M25" s="1348"/>
    </row>
    <row r="26" spans="1:37" ht="18" customHeight="1">
      <c r="A26" s="1202" t="s">
        <v>1034</v>
      </c>
      <c r="B26" s="346" t="s">
        <v>1465</v>
      </c>
      <c r="C26" s="23">
        <f ca="1">ROUND((C19+C20)*F26,0)</f>
        <v>292963</v>
      </c>
      <c r="D26" s="368" t="s">
        <v>1466</v>
      </c>
      <c r="E26" s="357" t="s">
        <v>1467</v>
      </c>
      <c r="F26" s="356">
        <f ca="1">INDIRECT("'数据-取费表'!q"&amp;$G$1)</f>
        <v>0.05</v>
      </c>
      <c r="G26" s="1851"/>
      <c r="H26" s="343" t="s">
        <v>1032</v>
      </c>
      <c r="I26" s="344" t="s">
        <v>1468</v>
      </c>
      <c r="J26" s="345">
        <f ca="1">IF(J5&lt;&gt;0,ROUND(J25*(1-((1+M28)/(1+M26))^M27)/(M26-M28),0),0)</f>
        <v>4993230</v>
      </c>
      <c r="K26" s="369" t="s">
        <v>1469</v>
      </c>
      <c r="L26" s="346" t="s">
        <v>1470</v>
      </c>
      <c r="M26" s="356">
        <f ca="1">INDIRECT("'数据-取费表'!I"&amp;$G$1)</f>
        <v>4.4999999999999998E-2</v>
      </c>
    </row>
    <row r="27" spans="1:37" ht="18" customHeight="1">
      <c r="A27" s="1202" t="s">
        <v>1036</v>
      </c>
      <c r="B27" s="346" t="s">
        <v>1471</v>
      </c>
      <c r="C27" s="3350">
        <f ca="1">ROUND(F21*F26,4)</f>
        <v>1E-3</v>
      </c>
      <c r="D27" s="368" t="s">
        <v>1472</v>
      </c>
      <c r="E27" s="364"/>
      <c r="F27" s="365"/>
      <c r="G27" s="1851"/>
      <c r="H27" s="348"/>
      <c r="I27" s="349"/>
      <c r="J27" s="350"/>
      <c r="K27" s="377" t="s">
        <v>1473</v>
      </c>
      <c r="L27" s="346" t="s">
        <v>1474</v>
      </c>
      <c r="M27" s="378">
        <f ca="1">INDIRECT("'数据-取费表'!ag"&amp;$G$1)</f>
        <v>24.82</v>
      </c>
    </row>
    <row r="28" spans="1:37" s="1858" customFormat="1" ht="18" customHeight="1">
      <c r="A28" s="1202" t="s">
        <v>1037</v>
      </c>
      <c r="B28" s="346" t="s">
        <v>1475</v>
      </c>
      <c r="C28" s="23">
        <f>ROUND(F28/(1+'数据-取费表'!C42),4)</f>
        <v>5.33E-2</v>
      </c>
      <c r="D28" s="368" t="s">
        <v>1476</v>
      </c>
      <c r="E28" s="346" t="s">
        <v>1422</v>
      </c>
      <c r="F28" s="37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6875402</v>
      </c>
      <c r="D29" s="1343"/>
      <c r="E29" s="1341"/>
      <c r="F29" s="1344"/>
      <c r="G29" s="1854"/>
      <c r="H29" s="379" t="s">
        <v>1033</v>
      </c>
      <c r="I29" s="380" t="s">
        <v>1479</v>
      </c>
      <c r="J29" s="381">
        <f ca="1">ROUND(J26/(1+F40)^F41,0)</f>
        <v>3371819</v>
      </c>
      <c r="K29" s="382" t="s">
        <v>1480</v>
      </c>
      <c r="L29" s="383"/>
      <c r="M29" s="384">
        <f ca="1">INDIRECT("'数据-取费表'!k"&amp;$G$1)</f>
        <v>3250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182904</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ROUND(IF(项目基本情况!B11="自然人",C5*F31,C32+C33+C34),0)</f>
        <v>69004</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IF(项目基本情况!B11="自然人","——",ROUND(C5*F32/(1+'数据-取费表'!C42),0))</f>
        <v>11232</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25272</v>
      </c>
      <c r="D33" s="1828" t="s">
        <v>3135</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f>
        <v>32500</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2708.33</v>
      </c>
      <c r="G35" s="1851"/>
      <c r="H35" s="743"/>
      <c r="I35" s="1860"/>
      <c r="J35" s="1861"/>
      <c r="K35" s="1862"/>
      <c r="L35" s="1859"/>
      <c r="M35" s="1859"/>
    </row>
    <row r="36" spans="1:18" ht="18" customHeight="1">
      <c r="A36" s="1353" t="s">
        <v>1039</v>
      </c>
      <c r="B36" s="346" t="s">
        <v>1449</v>
      </c>
      <c r="C36" s="23">
        <f ca="1">ROUND(C29*F36,0)</f>
        <v>103131</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ROUND(C13*F37,0)</f>
        <v>8663</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2106</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27695</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199848</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ROUND(C40/F43,0)</f>
        <v>61</v>
      </c>
      <c r="D43" s="382" t="s">
        <v>1488</v>
      </c>
      <c r="E43" s="383" t="s">
        <v>1489</v>
      </c>
      <c r="F43" s="384">
        <f ca="1">INDIRECT("'数据-取费表'!k"&amp;$G$1)</f>
        <v>3250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f ca="1">C68-C40</f>
        <v>-5408589</v>
      </c>
      <c r="D45" s="1940" t="s">
        <v>1604</v>
      </c>
      <c r="E45" s="1866"/>
      <c r="F45" s="1866"/>
      <c r="O45" s="1869" t="s">
        <v>1519</v>
      </c>
      <c r="P45" s="1839"/>
      <c r="Q45" s="1839"/>
      <c r="R45" s="1839"/>
    </row>
    <row r="46" spans="1:18" s="1842" customFormat="1" ht="13.5" thickBot="1">
      <c r="A46" s="1870" t="s">
        <v>1520</v>
      </c>
      <c r="C46" s="1871">
        <f ca="1">ROUND(C45/10000,0)</f>
        <v>-541</v>
      </c>
      <c r="D46" s="1872" t="str">
        <f>C2</f>
        <v>万元</v>
      </c>
      <c r="I46" s="1873" t="s">
        <v>1521</v>
      </c>
      <c r="J46" s="1874"/>
      <c r="K46" s="1875"/>
      <c r="L46" s="1876">
        <f ca="1">IF(M47="住宅",0,IF(L48&gt;J51,L60,J60))</f>
        <v>150172</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t="s">
        <v>3136</v>
      </c>
      <c r="K47" s="1882" t="s">
        <v>1527</v>
      </c>
      <c r="L47" s="1883">
        <f ca="1">INDIRECT("'数据-取费表'!d"&amp;$G$1)</f>
        <v>50</v>
      </c>
      <c r="M47" s="1838" t="str">
        <f>IF(ISNUMBER(FIND("住宅",C1)),"住宅","非住宅")</f>
        <v>非住宅</v>
      </c>
      <c r="O47" s="1884" t="s">
        <v>1040</v>
      </c>
      <c r="P47" s="1885" t="s">
        <v>1528</v>
      </c>
      <c r="Q47" s="1886">
        <f ca="1">C40+J29</f>
        <v>3571667</v>
      </c>
      <c r="R47" s="1886" t="s">
        <v>1529</v>
      </c>
    </row>
    <row r="48" spans="1:18" s="1842" customFormat="1" ht="28.5" thickBot="1">
      <c r="A48" s="1361" t="s">
        <v>1135</v>
      </c>
      <c r="B48" s="344" t="s">
        <v>1401</v>
      </c>
      <c r="C48" s="1817">
        <f ca="1">C49+C53+C55</f>
        <v>0</v>
      </c>
      <c r="D48" s="1363"/>
      <c r="E48" s="1364"/>
      <c r="F48" s="1182"/>
      <c r="G48" s="790"/>
      <c r="H48" s="791"/>
      <c r="I48" s="1887" t="s">
        <v>1530</v>
      </c>
      <c r="J48" s="1888" t="s">
        <v>3137</v>
      </c>
      <c r="K48" s="1889" t="s">
        <v>1531</v>
      </c>
      <c r="L48" s="1890">
        <f ca="1">INDIRECT("'数据-取费表'!f"&amp;$G$1)</f>
        <v>33.74</v>
      </c>
      <c r="O48" s="1884" t="s">
        <v>1041</v>
      </c>
      <c r="P48" s="1885" t="s">
        <v>1532</v>
      </c>
      <c r="Q48" s="1886">
        <f ca="1">J60</f>
        <v>150172</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v>2005</v>
      </c>
      <c r="K49" s="1889" t="s">
        <v>1535</v>
      </c>
      <c r="L49" s="1893"/>
      <c r="O49" s="1894" t="s">
        <v>1042</v>
      </c>
      <c r="P49" s="1885" t="s">
        <v>1536</v>
      </c>
      <c r="Q49" s="1886">
        <f ca="1">C29</f>
        <v>6875402</v>
      </c>
      <c r="R49" s="1886" t="s">
        <v>1529</v>
      </c>
    </row>
    <row r="50" spans="1:18" s="1842" customFormat="1" ht="13.5" thickBot="1">
      <c r="A50" s="1196"/>
      <c r="B50" s="1199"/>
      <c r="C50" s="1200"/>
      <c r="D50" s="1173"/>
      <c r="E50" s="1278" t="s">
        <v>1406</v>
      </c>
      <c r="F50" s="1279">
        <f ca="1">F7</f>
        <v>92</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12</v>
      </c>
      <c r="I51" s="1898" t="s">
        <v>1540</v>
      </c>
      <c r="J51" s="1899">
        <f>IF(J49="",J50,J49+J50-YEAR('数据-取费表'!B2))</f>
        <v>47</v>
      </c>
      <c r="K51" s="1900" t="s">
        <v>1541</v>
      </c>
      <c r="L51" s="1901">
        <f ca="1">ROUND(-PV(INDIRECT("'数据-取费表'!h"&amp;$G$1),L48,(C39-C13*C76),0),0)</f>
        <v>-7962322</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33.74</v>
      </c>
      <c r="R52" s="1886" t="s">
        <v>1546</v>
      </c>
    </row>
    <row r="53" spans="1:18" s="1842" customFormat="1" ht="30.75" customHeight="1" thickBot="1">
      <c r="A53" s="1362" t="s">
        <v>1137</v>
      </c>
      <c r="B53" s="368" t="s">
        <v>1409</v>
      </c>
      <c r="C53" s="360">
        <f ca="1">ROUND(IF(F53="押一",C49/12*F11,IF(F53="押二",C49/12*2*F11,IF(F53="押三",C49/12*3*F11,C54*F11))),0)</f>
        <v>0</v>
      </c>
      <c r="D53" s="1824" t="s">
        <v>3030</v>
      </c>
      <c r="E53" s="357" t="s">
        <v>1410</v>
      </c>
      <c r="F53" s="1367" t="s">
        <v>3134</v>
      </c>
      <c r="I53" s="1905" t="s">
        <v>1547</v>
      </c>
      <c r="J53" s="1906">
        <f ca="1">IF(M47="住宅",IF(D1="——",MAX(J51,L48),IF(D1="在建（套用方法）",MAX(J51,L48-'数据-取费表'!B24),MAX(J51,L48-'数据-取费表'!B20))),IF(D1="——",MIN(J51,L48),IF(D1="在建（套用方法）",MIN(J51,L48-'数据-取费表'!B24),IF(D1="土地（套用方法）",MIN(J51,L48-'数据-取费表'!B20)))))</f>
        <v>33.74</v>
      </c>
      <c r="K53" s="3259" t="s">
        <v>1548</v>
      </c>
      <c r="L53" s="3260"/>
      <c r="O53" s="1884" t="s">
        <v>1046</v>
      </c>
      <c r="P53" s="1885" t="s">
        <v>1549</v>
      </c>
      <c r="Q53" s="1886">
        <f ca="1">Q47+Q48</f>
        <v>3721839</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0.221</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5775338</v>
      </c>
      <c r="D56" s="1914"/>
      <c r="E56" s="1915"/>
      <c r="F56" s="1907"/>
      <c r="I56" s="1916" t="s">
        <v>1554</v>
      </c>
      <c r="J56" s="1917" t="s">
        <v>3046</v>
      </c>
      <c r="K56" s="1887" t="s">
        <v>1555</v>
      </c>
      <c r="L56" s="1890" t="str">
        <f ca="1">IF(L48&lt;J51,"——",L48-J51)</f>
        <v>——</v>
      </c>
      <c r="O56" s="1884" t="s">
        <v>1040</v>
      </c>
      <c r="P56" s="1885" t="s">
        <v>1528</v>
      </c>
      <c r="Q56" s="1886">
        <f ca="1">C40+J29</f>
        <v>3571667</v>
      </c>
      <c r="R56" s="1886" t="s">
        <v>1529</v>
      </c>
    </row>
    <row r="57" spans="1:18" s="1842" customFormat="1" ht="24.75" thickBot="1">
      <c r="A57" s="1918"/>
      <c r="B57" s="1170" t="s">
        <v>1478</v>
      </c>
      <c r="C57" s="281">
        <f ca="1">C29</f>
        <v>6875402</v>
      </c>
      <c r="D57" s="1919"/>
      <c r="E57" s="1920"/>
      <c r="F57" s="1921"/>
      <c r="I57" s="1922" t="s">
        <v>1556</v>
      </c>
      <c r="J57" s="1923">
        <f ca="1">IF(OR(M47="住宅",J51&lt;L48,J56="是"),"——",J51-L48)</f>
        <v>13.259999999999998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59" t="s">
        <v>1030</v>
      </c>
      <c r="B58" s="1178" t="s">
        <v>1424</v>
      </c>
      <c r="C58" s="360">
        <f ca="1">ROUND(C59+C64+C65+C66,0)</f>
        <v>721828</v>
      </c>
      <c r="D58" s="1180" t="s">
        <v>1425</v>
      </c>
      <c r="E58" s="1181"/>
      <c r="F58" s="1182"/>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ROUND(IF(项目基本情况!B11="自然人",C48*F59,C60+C61+C62),0)</f>
        <v>610034</v>
      </c>
      <c r="D59" s="1183" t="s">
        <v>1430</v>
      </c>
      <c r="E59" s="1184" t="s">
        <v>1431</v>
      </c>
      <c r="F59" s="367" t="str">
        <f ca="1">IF(项目基本情况!B11="企业","",IF(INDIRECT("'数据-取费表'!c"&amp;$G$1)="住宅",5%,IF(F49*F50*F51/12/(1+'数据-取费表'!C42)&gt;20000,12%,7%)))</f>
        <v/>
      </c>
      <c r="I59" s="1922" t="s">
        <v>1563</v>
      </c>
      <c r="J59" s="1923">
        <f ca="1">IF(OR(M47="住宅",J51&lt;L48,J56="是"),"——",ROUND(C29*J58,0))</f>
        <v>2750161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5" t="s">
        <v>1565</v>
      </c>
      <c r="J60" s="1926">
        <f ca="1">IF(OR(M47="住宅",J51&lt;L48,J56="是"),"0",ROUND(J59/(1+J52)^J53,0))</f>
        <v>150172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IF(项目基本情况!B11="自然人","——",IF(D61="按租金收入计税",ROUND(C48*F61,0),IF(D61="按房产原值计税",ROUND(C57*F61*0.7,0),INDIRECT("'数据-取费表'!Aj"&amp;$G$1))))</f>
        <v>577534</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IF(项目基本情况!B11="自然人","——",ROUND(F62*F63,0))</f>
        <v>32500</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3571667</v>
      </c>
      <c r="R62" s="1886" t="s">
        <v>1047</v>
      </c>
    </row>
    <row r="63" spans="1:18" s="1842" customFormat="1" ht="13.5" thickBot="1">
      <c r="A63" s="371"/>
      <c r="B63" s="1176"/>
      <c r="C63" s="28"/>
      <c r="D63" s="1186"/>
      <c r="E63" s="1170" t="s">
        <v>1499</v>
      </c>
      <c r="F63" s="347">
        <f t="shared" ca="1" si="0"/>
        <v>2708.33</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ROUND(C57*F64,0)</f>
        <v>103131</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ROUND(C56*F65,0)</f>
        <v>8663</v>
      </c>
      <c r="D65" s="1184" t="s">
        <v>1454</v>
      </c>
      <c r="E65" s="1170" t="s">
        <v>1455</v>
      </c>
      <c r="F65" s="375">
        <f t="shared" ca="1" si="0"/>
        <v>1.5E-3</v>
      </c>
      <c r="I65" s="1929" t="s">
        <v>1579</v>
      </c>
      <c r="J65" s="1930">
        <v>40</v>
      </c>
      <c r="K65" s="1930">
        <v>30</v>
      </c>
      <c r="L65" s="1930">
        <v>50</v>
      </c>
      <c r="M65" s="1932">
        <v>0.02</v>
      </c>
      <c r="O65" s="1884" t="s">
        <v>1040</v>
      </c>
      <c r="P65" s="1885" t="s">
        <v>1580</v>
      </c>
      <c r="Q65" s="1886">
        <f ca="1">C40+J29</f>
        <v>3571667</v>
      </c>
      <c r="R65" s="1886" t="s">
        <v>1529</v>
      </c>
    </row>
    <row r="66" spans="1:18" s="1842" customFormat="1" ht="16.5" thickBot="1">
      <c r="A66" s="1202" t="s">
        <v>1504</v>
      </c>
      <c r="B66" s="1170" t="s">
        <v>1439</v>
      </c>
      <c r="C66" s="23">
        <f ca="1">ROUND(C48*F66,0)</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-721828</v>
      </c>
      <c r="D67" s="1183" t="s">
        <v>1464</v>
      </c>
      <c r="E67" s="1188"/>
      <c r="F67" s="1189"/>
      <c r="O67" s="1894" t="s">
        <v>1042</v>
      </c>
      <c r="P67" s="1885" t="s">
        <v>1562</v>
      </c>
      <c r="Q67" s="1933">
        <f ca="1">L51</f>
        <v>-7962322</v>
      </c>
      <c r="R67" s="1886" t="s">
        <v>1582</v>
      </c>
    </row>
    <row r="68" spans="1:18" s="1842" customFormat="1" ht="16.5" thickBot="1">
      <c r="A68" s="1167" t="s">
        <v>1032</v>
      </c>
      <c r="B68" s="1168" t="s">
        <v>1485</v>
      </c>
      <c r="C68" s="345">
        <f ca="1">ROUND(C67*(1-((1+F70)/(1+F68))^F69)/(F68-F70),0)</f>
        <v>-5208741</v>
      </c>
      <c r="D68" s="1185" t="s">
        <v>1469</v>
      </c>
      <c r="E68" s="1170" t="s">
        <v>1470</v>
      </c>
      <c r="F68" s="356">
        <f ca="1">F40</f>
        <v>4.4999999999999998E-2</v>
      </c>
      <c r="O68" s="1894" t="s">
        <v>1043</v>
      </c>
      <c r="P68" s="1934" t="s">
        <v>1583</v>
      </c>
      <c r="Q68" s="1886">
        <f ca="1">ROUND(Q69-Q70*Q71,0)</f>
        <v>-463209</v>
      </c>
      <c r="R68" s="1886" t="s">
        <v>1051</v>
      </c>
    </row>
    <row r="69" spans="1:18" s="1842" customFormat="1" ht="13.5" thickBot="1">
      <c r="A69" s="1171"/>
      <c r="B69" s="1172"/>
      <c r="C69" s="350"/>
      <c r="D69" s="1190" t="s">
        <v>1473</v>
      </c>
      <c r="E69" s="1170" t="s">
        <v>1474</v>
      </c>
      <c r="F69" s="378">
        <f ca="1">F41</f>
        <v>8.92</v>
      </c>
      <c r="O69" s="1894" t="s">
        <v>1048</v>
      </c>
      <c r="P69" s="1934" t="s">
        <v>1584</v>
      </c>
      <c r="Q69" s="1886">
        <f ca="1">C39</f>
        <v>27695</v>
      </c>
      <c r="R69" s="1886" t="s">
        <v>1529</v>
      </c>
    </row>
    <row r="70" spans="1:18" s="1842" customFormat="1" ht="13.5" thickBot="1">
      <c r="A70" s="1174"/>
      <c r="B70" s="1175"/>
      <c r="C70" s="354"/>
      <c r="D70" s="1186"/>
      <c r="E70" s="1170" t="s">
        <v>1477</v>
      </c>
      <c r="F70" s="1276">
        <f ca="1">F42</f>
        <v>0</v>
      </c>
      <c r="O70" s="1894" t="s">
        <v>1049</v>
      </c>
      <c r="P70" s="1934" t="s">
        <v>1585</v>
      </c>
      <c r="Q70" s="1886">
        <f ca="1">C13</f>
        <v>5775338</v>
      </c>
      <c r="R70" s="1886" t="s">
        <v>1529</v>
      </c>
    </row>
    <row r="71" spans="1:18" s="1842" customFormat="1" ht="13.5" thickBot="1">
      <c r="A71" s="1191" t="s">
        <v>1033</v>
      </c>
      <c r="B71" s="1192" t="s">
        <v>1487</v>
      </c>
      <c r="C71" s="381">
        <f ca="1">ROUND(C68/F71,0)</f>
        <v>-1603</v>
      </c>
      <c r="D71" s="1193" t="s">
        <v>1488</v>
      </c>
      <c r="E71" s="1194" t="s">
        <v>1489</v>
      </c>
      <c r="F71" s="384">
        <f ca="1">F43</f>
        <v>3250</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490904</v>
      </c>
      <c r="D75" s="1842"/>
      <c r="E75" s="1842"/>
      <c r="F75" s="1842"/>
      <c r="K75" s="1868"/>
      <c r="L75" s="1842"/>
      <c r="O75" s="1884" t="s">
        <v>1046</v>
      </c>
      <c r="P75" s="1885" t="s">
        <v>1549</v>
      </c>
      <c r="Q75" s="1886">
        <f ca="1">Q65+Q66</f>
        <v>3571667</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-16.725000000000001</v>
      </c>
    </row>
    <row r="80" spans="1:18">
      <c r="B80" s="385" t="s">
        <v>1511</v>
      </c>
      <c r="C80" s="317">
        <f ca="1">ROUND(C75/C39,3)</f>
        <v>17.725000000000001</v>
      </c>
    </row>
    <row r="81" spans="2:3">
      <c r="B81" s="313" t="s">
        <v>1512</v>
      </c>
      <c r="C81" s="281"/>
    </row>
    <row r="82" spans="2:3">
      <c r="B82" s="316" t="s">
        <v>1513</v>
      </c>
      <c r="C82" s="318">
        <f ca="1">1-C83</f>
        <v>-27.899000000000001</v>
      </c>
    </row>
    <row r="83" spans="2:3">
      <c r="B83" s="316" t="s">
        <v>1514</v>
      </c>
      <c r="C83" s="317">
        <f ca="1">ROUND(C13/C40,3)</f>
        <v>28.899000000000001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2513</v>
      </c>
      <c r="B1" s="2562"/>
      <c r="C1" s="2562"/>
      <c r="D1" s="2562"/>
      <c r="E1" s="2563"/>
    </row>
    <row r="2" spans="1:6" ht="15.75">
      <c r="A2" s="2564" t="s">
        <v>2314</v>
      </c>
      <c r="B2" s="2565">
        <f ca="1">SUMIF(B6:B13,"&lt;&gt;#ref!",B6:B13)</f>
        <v>25883</v>
      </c>
      <c r="C2" s="2566" t="s">
        <v>2506</v>
      </c>
      <c r="D2" s="2567" t="s">
        <v>2507</v>
      </c>
      <c r="E2" s="2568">
        <f>SUM(E6:E13)</f>
        <v>16365.18</v>
      </c>
    </row>
    <row r="3" spans="1:6" ht="15.75">
      <c r="A3" s="2564" t="s">
        <v>1395</v>
      </c>
      <c r="B3" s="2565">
        <f ca="1">ROUND(B2*10000/E2,0)</f>
        <v>15816</v>
      </c>
      <c r="C3" s="2566" t="s">
        <v>2514</v>
      </c>
      <c r="D3" s="2569"/>
      <c r="E3" s="2570"/>
    </row>
    <row r="4" spans="1:6" ht="15.75">
      <c r="A4" s="2571"/>
      <c r="B4" s="2569"/>
      <c r="C4" s="2569"/>
      <c r="D4" s="2569"/>
      <c r="E4" s="2570"/>
    </row>
    <row r="5" spans="1:6" ht="15">
      <c r="A5" s="2572" t="s">
        <v>2508</v>
      </c>
      <c r="B5" s="3266" t="s">
        <v>2509</v>
      </c>
      <c r="C5" s="3266"/>
      <c r="D5" s="2573"/>
      <c r="E5" s="2574" t="s">
        <v>2510</v>
      </c>
      <c r="F5" s="2575" t="s">
        <v>2511</v>
      </c>
    </row>
    <row r="6" spans="1:6">
      <c r="A6" s="2576" t="str">
        <f>'数据-取费表'!AN6</f>
        <v>收益法</v>
      </c>
      <c r="B6" s="2575">
        <f ca="1">IF(F6="是",'数据-取费表'!AO6,0)</f>
        <v>25511</v>
      </c>
      <c r="C6" s="2566" t="s">
        <v>2506</v>
      </c>
      <c r="D6" s="2569"/>
      <c r="E6" s="2577">
        <f>IF(OR(A6=0,F6="否"),0,'数据-取费表'!K6+'数据-取费表'!S6)</f>
        <v>13115.18</v>
      </c>
      <c r="F6" s="2578" t="s">
        <v>2512</v>
      </c>
    </row>
    <row r="7" spans="1:6">
      <c r="A7" s="2576" t="str">
        <f>'数据-取费表'!AN7</f>
        <v>收益法 (元)</v>
      </c>
      <c r="B7" s="2575">
        <f ca="1">IF(F7="是",'数据-取费表'!AO7,0)</f>
        <v>372</v>
      </c>
      <c r="C7" s="2566" t="s">
        <v>2506</v>
      </c>
      <c r="D7" s="2569"/>
      <c r="E7" s="2577">
        <f>IF(OR(A7=0,F7="否"),0,'数据-取费表'!K7+'数据-取费表'!S7)</f>
        <v>3250</v>
      </c>
      <c r="F7" s="2578" t="s">
        <v>2512</v>
      </c>
    </row>
    <row r="8" spans="1:6">
      <c r="A8" s="2576">
        <f>'数据-取费表'!AN8</f>
        <v>0</v>
      </c>
      <c r="B8" s="2575" t="e">
        <f ca="1">IF(F8="是",'数据-取费表'!AO8,0)</f>
        <v>#REF!</v>
      </c>
      <c r="C8" s="2566" t="s">
        <v>2506</v>
      </c>
      <c r="D8" s="2569"/>
      <c r="E8" s="2577">
        <f>IF(OR(A8=0,F8="否"),0,'数据-取费表'!K8+'数据-取费表'!S8)</f>
        <v>0</v>
      </c>
      <c r="F8" s="2578" t="s">
        <v>2512</v>
      </c>
    </row>
    <row r="9" spans="1:6">
      <c r="A9" s="2576">
        <f>'数据-取费表'!AN9</f>
        <v>0</v>
      </c>
      <c r="B9" s="2575" t="e">
        <f ca="1">IF(F9="是",'数据-取费表'!AO9,0)</f>
        <v>#REF!</v>
      </c>
      <c r="C9" s="2566" t="s">
        <v>2506</v>
      </c>
      <c r="D9" s="2569"/>
      <c r="E9" s="2577">
        <f>IF(OR(A9=0,F9="否"),0,'数据-取费表'!K9+'数据-取费表'!S9)</f>
        <v>0</v>
      </c>
      <c r="F9" s="2578" t="s">
        <v>2512</v>
      </c>
    </row>
    <row r="10" spans="1:6">
      <c r="A10" s="2576">
        <f>'数据-取费表'!AN10</f>
        <v>0</v>
      </c>
      <c r="B10" s="2575" t="e">
        <f ca="1">IF(F10="是",'数据-取费表'!AO10,0)</f>
        <v>#REF!</v>
      </c>
      <c r="C10" s="2566" t="s">
        <v>2506</v>
      </c>
      <c r="D10" s="2569"/>
      <c r="E10" s="2577">
        <f>IF(OR(A10=0,F10="否"),0,'数据-取费表'!K10+'数据-取费表'!S10)</f>
        <v>0</v>
      </c>
      <c r="F10" s="2578" t="s">
        <v>2512</v>
      </c>
    </row>
    <row r="11" spans="1:6">
      <c r="A11" s="2576">
        <f>'数据-取费表'!AN11</f>
        <v>0</v>
      </c>
      <c r="B11" s="2575" t="e">
        <f ca="1">IF(F11="是",'数据-取费表'!AO11,0)</f>
        <v>#REF!</v>
      </c>
      <c r="C11" s="2566" t="s">
        <v>2506</v>
      </c>
      <c r="D11" s="2569"/>
      <c r="E11" s="2577">
        <f>IF(OR(A11=0,F11="否"),0,'数据-取费表'!K11+'数据-取费表'!S11)</f>
        <v>0</v>
      </c>
      <c r="F11" s="2578" t="s">
        <v>2512</v>
      </c>
    </row>
    <row r="12" spans="1:6">
      <c r="A12" s="2576">
        <f>'数据-取费表'!AN12</f>
        <v>0</v>
      </c>
      <c r="B12" s="2575" t="e">
        <f ca="1">IF(F12="是",'数据-取费表'!AO12,0)</f>
        <v>#REF!</v>
      </c>
      <c r="C12" s="2566" t="s">
        <v>2506</v>
      </c>
      <c r="D12" s="2569"/>
      <c r="E12" s="2577">
        <f>IF(OR(A12=0,F12="否"),0,'数据-取费表'!K12+'数据-取费表'!S12)</f>
        <v>0</v>
      </c>
      <c r="F12" s="2578" t="s">
        <v>2512</v>
      </c>
    </row>
    <row r="13" spans="1:6" ht="15" thickBot="1">
      <c r="A13" s="2579">
        <f>'数据-取费表'!AN13</f>
        <v>0</v>
      </c>
      <c r="B13" s="2575" t="e">
        <f ca="1">IF(F13="是",'数据-取费表'!AO13,0)</f>
        <v>#REF!</v>
      </c>
      <c r="C13" s="2580" t="s">
        <v>2506</v>
      </c>
      <c r="D13" s="2581"/>
      <c r="E13" s="2577">
        <f>IF(OR(A13=0,F13="否"),0,'数据-取费表'!K13+'数据-取费表'!S13)</f>
        <v>0</v>
      </c>
      <c r="F13" s="257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1076</v>
      </c>
      <c r="B1" s="3284"/>
      <c r="C1" s="3285"/>
      <c r="D1" s="3286">
        <f>SUM(I10,I15,I20,I21,I23)</f>
        <v>0</v>
      </c>
      <c r="E1" s="3286"/>
      <c r="F1" s="3286"/>
      <c r="G1" s="3286"/>
      <c r="H1" s="3286"/>
      <c r="I1" s="3287"/>
    </row>
    <row r="2" spans="1:9">
      <c r="A2" s="3273" t="s">
        <v>1077</v>
      </c>
      <c r="B2" s="3274" t="s">
        <v>1078</v>
      </c>
      <c r="C2" s="3274"/>
      <c r="D2" s="1302" t="s">
        <v>1079</v>
      </c>
      <c r="E2" s="1302" t="s">
        <v>1080</v>
      </c>
      <c r="F2" s="1302" t="s">
        <v>1081</v>
      </c>
      <c r="G2" s="1302" t="s">
        <v>1082</v>
      </c>
      <c r="H2" s="1302" t="s">
        <v>1083</v>
      </c>
      <c r="I2" s="1303" t="s">
        <v>1084</v>
      </c>
    </row>
    <row r="3" spans="1:9">
      <c r="A3" s="3273"/>
      <c r="B3" s="3274" t="s">
        <v>1085</v>
      </c>
      <c r="C3" s="3274"/>
      <c r="D3" s="1304"/>
      <c r="E3" s="1302"/>
      <c r="F3" s="1305"/>
      <c r="G3" s="1305"/>
      <c r="H3" s="1306"/>
      <c r="I3" s="1307">
        <f>ROUND(D3*E3*F3*G3*H3/10000,0)</f>
        <v>0</v>
      </c>
    </row>
    <row r="4" spans="1:9">
      <c r="A4" s="3273"/>
      <c r="B4" s="3274" t="s">
        <v>1086</v>
      </c>
      <c r="C4" s="3274"/>
      <c r="D4" s="1304"/>
      <c r="E4" s="1302"/>
      <c r="F4" s="1305"/>
      <c r="G4" s="1305"/>
      <c r="H4" s="1306"/>
      <c r="I4" s="1307">
        <f t="shared" ref="I4:I9" si="0">ROUND(D4*E4*F4*G4*H4/10000,0)</f>
        <v>0</v>
      </c>
    </row>
    <row r="5" spans="1:9">
      <c r="A5" s="3273"/>
      <c r="B5" s="3274" t="s">
        <v>1087</v>
      </c>
      <c r="C5" s="3274"/>
      <c r="D5" s="1304"/>
      <c r="E5" s="1302"/>
      <c r="F5" s="1305"/>
      <c r="G5" s="1305"/>
      <c r="H5" s="1306"/>
      <c r="I5" s="1307">
        <f t="shared" si="0"/>
        <v>0</v>
      </c>
    </row>
    <row r="6" spans="1:9">
      <c r="A6" s="3273"/>
      <c r="B6" s="3274" t="s">
        <v>1088</v>
      </c>
      <c r="C6" s="3274"/>
      <c r="D6" s="1304"/>
      <c r="E6" s="1302"/>
      <c r="F6" s="1305"/>
      <c r="G6" s="1305"/>
      <c r="H6" s="1306"/>
      <c r="I6" s="1307">
        <f t="shared" si="0"/>
        <v>0</v>
      </c>
    </row>
    <row r="7" spans="1:9">
      <c r="A7" s="3273"/>
      <c r="B7" s="3274" t="s">
        <v>1089</v>
      </c>
      <c r="C7" s="3274"/>
      <c r="D7" s="1304"/>
      <c r="E7" s="1302"/>
      <c r="F7" s="1305"/>
      <c r="G7" s="1305"/>
      <c r="H7" s="1306"/>
      <c r="I7" s="1307">
        <f t="shared" si="0"/>
        <v>0</v>
      </c>
    </row>
    <row r="8" spans="1:9">
      <c r="A8" s="3273"/>
      <c r="B8" s="3274" t="s">
        <v>1090</v>
      </c>
      <c r="C8" s="3274"/>
      <c r="D8" s="1304"/>
      <c r="E8" s="1302"/>
      <c r="F8" s="1305"/>
      <c r="G8" s="1305"/>
      <c r="H8" s="1306"/>
      <c r="I8" s="1307">
        <f t="shared" si="0"/>
        <v>0</v>
      </c>
    </row>
    <row r="9" spans="1:9">
      <c r="A9" s="3273"/>
      <c r="B9" s="3274" t="s">
        <v>1091</v>
      </c>
      <c r="C9" s="3274"/>
      <c r="D9" s="1304"/>
      <c r="E9" s="1302"/>
      <c r="F9" s="1305"/>
      <c r="G9" s="1305"/>
      <c r="H9" s="1306"/>
      <c r="I9" s="1307">
        <f t="shared" si="0"/>
        <v>0</v>
      </c>
    </row>
    <row r="10" spans="1:9">
      <c r="A10" s="3273"/>
      <c r="B10" s="3275" t="s">
        <v>1092</v>
      </c>
      <c r="C10" s="3275"/>
      <c r="D10" s="1308"/>
      <c r="E10" s="1308" t="e">
        <f>ROUND(D1*10000/D10/H9,0)</f>
        <v>#DIV/0!</v>
      </c>
      <c r="F10" s="1309"/>
      <c r="G10" s="1309"/>
      <c r="H10" s="1310"/>
      <c r="I10" s="1311">
        <f>SUM(I3:I9)</f>
        <v>0</v>
      </c>
    </row>
    <row r="11" spans="1:9" ht="14.25">
      <c r="A11" s="3273" t="s">
        <v>1093</v>
      </c>
      <c r="B11" s="3274" t="s">
        <v>1094</v>
      </c>
      <c r="C11" s="3274"/>
      <c r="D11" s="1304" t="s">
        <v>1095</v>
      </c>
      <c r="E11" s="1304" t="s">
        <v>1096</v>
      </c>
      <c r="F11" s="1305" t="s">
        <v>1097</v>
      </c>
      <c r="G11" s="1305" t="s">
        <v>1083</v>
      </c>
      <c r="H11" s="1312" t="s">
        <v>1098</v>
      </c>
      <c r="I11" s="1303" t="s">
        <v>1084</v>
      </c>
    </row>
    <row r="12" spans="1:9">
      <c r="A12" s="3273"/>
      <c r="B12" s="3274" t="s">
        <v>1099</v>
      </c>
      <c r="C12" s="3274"/>
      <c r="D12" s="1304"/>
      <c r="E12" s="1304"/>
      <c r="F12" s="1305"/>
      <c r="G12" s="1306"/>
      <c r="H12" s="1313"/>
      <c r="I12" s="1303">
        <f>ROUND(D12*E12*F12*G12/10000,0)</f>
        <v>0</v>
      </c>
    </row>
    <row r="13" spans="1:9">
      <c r="A13" s="3273"/>
      <c r="B13" s="3274" t="s">
        <v>1100</v>
      </c>
      <c r="C13" s="3274"/>
      <c r="D13" s="1304"/>
      <c r="E13" s="1304"/>
      <c r="F13" s="1305"/>
      <c r="G13" s="1306"/>
      <c r="H13" s="1313"/>
      <c r="I13" s="1303">
        <f>ROUND(D13*E13*F13*G13/10000,0)</f>
        <v>0</v>
      </c>
    </row>
    <row r="14" spans="1:9">
      <c r="A14" s="3273"/>
      <c r="B14" s="3274" t="s">
        <v>1101</v>
      </c>
      <c r="C14" s="3274"/>
      <c r="D14" s="1304"/>
      <c r="E14" s="1304"/>
      <c r="F14" s="1305"/>
      <c r="G14" s="1306"/>
      <c r="H14" s="1313"/>
      <c r="I14" s="1303">
        <f>ROUND(D14*E14*F14*G14/10000,0)</f>
        <v>0</v>
      </c>
    </row>
    <row r="15" spans="1:9">
      <c r="A15" s="3273"/>
      <c r="B15" s="3275" t="s">
        <v>1092</v>
      </c>
      <c r="C15" s="3275"/>
      <c r="D15" s="1308"/>
      <c r="E15" s="1308">
        <f>SUM(E12:E14)</f>
        <v>0</v>
      </c>
      <c r="F15" s="1309"/>
      <c r="G15" s="1306"/>
      <c r="H15" s="1313"/>
      <c r="I15" s="1314">
        <f>SUM(I12:I14)</f>
        <v>0</v>
      </c>
    </row>
    <row r="16" spans="1:9" ht="24">
      <c r="A16" s="3273" t="s">
        <v>1102</v>
      </c>
      <c r="B16" s="3274" t="s">
        <v>1103</v>
      </c>
      <c r="C16" s="3274"/>
      <c r="D16" s="1304" t="s">
        <v>1079</v>
      </c>
      <c r="E16" s="1315" t="s">
        <v>1104</v>
      </c>
      <c r="F16" s="1305" t="s">
        <v>1105</v>
      </c>
      <c r="G16" s="1306" t="s">
        <v>1083</v>
      </c>
      <c r="H16" s="1312" t="s">
        <v>1098</v>
      </c>
      <c r="I16" s="1303" t="s">
        <v>1084</v>
      </c>
    </row>
    <row r="17" spans="1:9" ht="14.25">
      <c r="A17" s="3273"/>
      <c r="B17" s="3274" t="s">
        <v>1106</v>
      </c>
      <c r="C17" s="3274"/>
      <c r="D17" s="1304"/>
      <c r="E17" s="1304"/>
      <c r="F17" s="1305"/>
      <c r="G17" s="1306"/>
      <c r="H17" s="1316"/>
      <c r="I17" s="1317">
        <f>ROUND(D17*E17*F17*G17/10000,0)</f>
        <v>0</v>
      </c>
    </row>
    <row r="18" spans="1:9" ht="14.25">
      <c r="A18" s="3273"/>
      <c r="B18" s="3274" t="s">
        <v>1107</v>
      </c>
      <c r="C18" s="3274"/>
      <c r="D18" s="1304"/>
      <c r="E18" s="1304"/>
      <c r="F18" s="1305"/>
      <c r="G18" s="1306"/>
      <c r="H18" s="1316"/>
      <c r="I18" s="1317">
        <f>ROUND(D18*E18*F18*G18/10000,0)</f>
        <v>0</v>
      </c>
    </row>
    <row r="19" spans="1:9" ht="14.25">
      <c r="A19" s="3273"/>
      <c r="B19" s="3274" t="s">
        <v>1108</v>
      </c>
      <c r="C19" s="3274"/>
      <c r="D19" s="1304"/>
      <c r="E19" s="1304"/>
      <c r="F19" s="1305"/>
      <c r="G19" s="1306"/>
      <c r="H19" s="1316"/>
      <c r="I19" s="1317">
        <f>ROUND(D19*E19*F19*G19/10000,0)</f>
        <v>0</v>
      </c>
    </row>
    <row r="20" spans="1:9">
      <c r="A20" s="3273"/>
      <c r="B20" s="3275" t="s">
        <v>1092</v>
      </c>
      <c r="C20" s="3275"/>
      <c r="D20" s="1308">
        <f>SUM(D17:D19)</f>
        <v>0</v>
      </c>
      <c r="E20" s="1308"/>
      <c r="F20" s="1309"/>
      <c r="G20" s="1306"/>
      <c r="H20" s="1313"/>
      <c r="I20" s="1314">
        <f>SUM(I17:I19)</f>
        <v>0</v>
      </c>
    </row>
    <row r="21" spans="1:9">
      <c r="A21" s="3273" t="s">
        <v>1109</v>
      </c>
      <c r="B21" s="3276"/>
      <c r="C21" s="3276"/>
      <c r="D21" s="3276"/>
      <c r="E21" s="3276"/>
      <c r="F21" s="3276"/>
      <c r="G21" s="3276"/>
      <c r="H21" s="1765">
        <v>0.1</v>
      </c>
      <c r="I21" s="1311">
        <f>ROUND(I10*H21,0)</f>
        <v>0</v>
      </c>
    </row>
    <row r="22" spans="1:9" ht="14.25">
      <c r="A22" s="3277" t="s">
        <v>1110</v>
      </c>
      <c r="B22" s="3278"/>
      <c r="C22" s="3279"/>
      <c r="D22" s="1318" t="s">
        <v>1111</v>
      </c>
      <c r="E22" s="1318" t="s">
        <v>1112</v>
      </c>
      <c r="F22" s="1319" t="s">
        <v>1113</v>
      </c>
      <c r="G22" s="1319" t="s">
        <v>1114</v>
      </c>
      <c r="H22" s="1312" t="s">
        <v>1115</v>
      </c>
      <c r="I22" s="1303" t="s">
        <v>1116</v>
      </c>
    </row>
    <row r="23" spans="1:9" ht="14.25" thickBot="1">
      <c r="A23" s="3280"/>
      <c r="B23" s="3281"/>
      <c r="C23" s="3282"/>
      <c r="D23" s="1320"/>
      <c r="E23" s="1320"/>
      <c r="F23" s="1320"/>
      <c r="G23" s="1321"/>
      <c r="H23" s="1322"/>
      <c r="I23" s="1323">
        <f>ROUND(E23*D23*F23*(1-G23)/10000,0)</f>
        <v>0</v>
      </c>
    </row>
    <row r="26" spans="1:9">
      <c r="A26" s="1324" t="s">
        <v>1117</v>
      </c>
      <c r="B26" s="1324"/>
      <c r="C26" s="1324"/>
      <c r="D26" s="1324"/>
      <c r="E26" s="3270">
        <f>C27-C30-C31-C32</f>
        <v>0</v>
      </c>
      <c r="F26" s="3270"/>
      <c r="G26" s="3270"/>
      <c r="H26" s="1737" t="s">
        <v>1340</v>
      </c>
    </row>
    <row r="27" spans="1:9">
      <c r="A27" s="1325">
        <v>1</v>
      </c>
      <c r="B27" s="1326" t="s">
        <v>1118</v>
      </c>
      <c r="C27" s="1326">
        <f>C28+C29</f>
        <v>0</v>
      </c>
      <c r="D27" s="1326"/>
      <c r="E27" s="3271"/>
      <c r="F27" s="3271"/>
      <c r="G27" s="3271"/>
    </row>
    <row r="28" spans="1:9">
      <c r="A28" s="1327" t="s">
        <v>1119</v>
      </c>
      <c r="B28" s="1326" t="s">
        <v>1120</v>
      </c>
      <c r="C28" s="1326"/>
      <c r="D28" s="1326"/>
      <c r="E28" s="3271"/>
      <c r="F28" s="3271"/>
      <c r="G28" s="327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2"/>
      <c r="F32" s="3272"/>
      <c r="G32" s="3272"/>
    </row>
    <row r="33" spans="1:7" hidden="1">
      <c r="A33" s="3267" t="s">
        <v>1129</v>
      </c>
      <c r="B33" s="3268"/>
      <c r="C33" s="3268"/>
      <c r="D33" s="3269"/>
      <c r="E33" s="3270"/>
      <c r="F33" s="3270"/>
      <c r="G33" s="3270"/>
    </row>
    <row r="34" spans="1:7" hidden="1">
      <c r="A34" s="1329">
        <v>1</v>
      </c>
      <c r="B34" s="1326" t="s">
        <v>1130</v>
      </c>
      <c r="C34" s="1326"/>
      <c r="D34" s="1326"/>
      <c r="E34" s="3271"/>
      <c r="F34" s="3271"/>
      <c r="G34" s="3271"/>
    </row>
    <row r="35" spans="1:7" hidden="1">
      <c r="A35" s="1329">
        <v>2</v>
      </c>
      <c r="B35" s="1326" t="s">
        <v>1131</v>
      </c>
      <c r="C35" s="1326"/>
      <c r="D35" s="1326"/>
      <c r="E35" s="3271"/>
      <c r="F35" s="3271"/>
      <c r="G35" s="3271"/>
    </row>
    <row r="36" spans="1:7" hidden="1">
      <c r="A36" s="1329">
        <v>3</v>
      </c>
      <c r="B36" s="1326" t="s">
        <v>1132</v>
      </c>
      <c r="C36" s="1326"/>
      <c r="D36" s="1326"/>
      <c r="E36" s="3271"/>
      <c r="F36" s="3271"/>
      <c r="G36" s="3271"/>
    </row>
    <row r="37" spans="1:7" hidden="1">
      <c r="A37" s="1329">
        <v>4</v>
      </c>
      <c r="B37" s="1326" t="s">
        <v>1133</v>
      </c>
      <c r="C37" s="1326"/>
      <c r="D37" s="1326"/>
      <c r="E37" s="3271"/>
      <c r="F37" s="3271"/>
      <c r="G37" s="3271"/>
    </row>
    <row r="38" spans="1:7" hidden="1">
      <c r="A38" s="3267" t="s">
        <v>1134</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上海三盛宏业投资(集团)有限责任公司：</v>
      </c>
    </row>
    <row r="4" spans="1:1" ht="36">
      <c r="A4" s="1948" t="str">
        <f>"受贵公司委托，我公司对"&amp;项目基本情况!S1&amp;"进行了预评估。"</f>
        <v>受贵公司委托，我公司对上海市松江区九亭镇虬泾路116号等18套商业、地下车库用房房地产抵押价值进行了预评估。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2018年9月1日（评估专业人员实地查勘之日）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2516</v>
      </c>
      <c r="C1" s="1635" t="s">
        <v>2517</v>
      </c>
      <c r="D1" s="1622"/>
      <c r="E1" s="2583"/>
      <c r="F1" s="2584" t="s">
        <v>2518</v>
      </c>
      <c r="G1" s="1632" t="s">
        <v>2519</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6"/>
      <c r="D2" s="1366" t="e">
        <f ca="1">SUMIF(INDIRECT("'"&amp;F2&amp;"'"&amp;"!A:A"),"承租人权益价值",INDIRECT("'"&amp;F2&amp;"'"&amp;"!c:c"))</f>
        <v>#REF!</v>
      </c>
      <c r="E2" s="2587" t="s">
        <v>2520</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2521</v>
      </c>
      <c r="D3" s="398">
        <f>IF(D1="",'数据-汇总表'!E3,SUMIF('数据-汇总表'!$C19:$C33,D1,'数据-汇总表'!$E19:$E33))</f>
        <v>16365.18</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400" t="s">
        <v>2522</v>
      </c>
      <c r="B4" s="401"/>
      <c r="C4" s="3229" t="s">
        <v>2523</v>
      </c>
      <c r="D4" s="3230"/>
      <c r="E4" s="3231" t="s">
        <v>2524</v>
      </c>
      <c r="F4" s="3232"/>
      <c r="G4" s="3229" t="s">
        <v>2525</v>
      </c>
      <c r="H4" s="3230"/>
      <c r="I4" s="3229" t="s">
        <v>2526</v>
      </c>
      <c r="J4" s="3230"/>
      <c r="K4" s="2596" t="s">
        <v>2527</v>
      </c>
      <c r="L4" s="1131"/>
      <c r="M4" s="1132"/>
      <c r="N4" s="1132"/>
      <c r="O4" s="1132"/>
      <c r="P4" s="3233" t="s">
        <v>2528</v>
      </c>
      <c r="Q4" s="3234"/>
      <c r="R4" s="3239" t="s">
        <v>2524</v>
      </c>
      <c r="S4" s="3240"/>
      <c r="T4" s="3239" t="s">
        <v>2525</v>
      </c>
      <c r="U4" s="3240"/>
      <c r="V4" s="3224" t="s">
        <v>2526</v>
      </c>
      <c r="W4" s="3224"/>
      <c r="X4" s="1813"/>
      <c r="Y4" s="3239" t="s">
        <v>2528</v>
      </c>
      <c r="Z4" s="3240"/>
      <c r="AA4" s="3226" t="s">
        <v>2524</v>
      </c>
      <c r="AB4" s="3226" t="s">
        <v>2525</v>
      </c>
      <c r="AC4" s="3226" t="s">
        <v>2526</v>
      </c>
    </row>
    <row r="5" spans="1:29" ht="15">
      <c r="A5" s="403"/>
      <c r="B5" s="404"/>
      <c r="C5" s="3265" t="s">
        <v>2529</v>
      </c>
      <c r="D5" s="3248"/>
      <c r="E5" s="3291" t="s">
        <v>2530</v>
      </c>
      <c r="F5" s="3254"/>
      <c r="G5" s="3265" t="s">
        <v>2531</v>
      </c>
      <c r="H5" s="3248"/>
      <c r="I5" s="3265" t="s">
        <v>2532</v>
      </c>
      <c r="J5" s="3248"/>
      <c r="K5" s="2597"/>
      <c r="L5" s="1131"/>
      <c r="M5" s="1132"/>
      <c r="N5" s="1132"/>
      <c r="O5" s="1132"/>
      <c r="P5" s="3235"/>
      <c r="Q5" s="3236"/>
      <c r="R5" s="3241"/>
      <c r="S5" s="3242"/>
      <c r="T5" s="3241"/>
      <c r="U5" s="3242"/>
      <c r="V5" s="3224"/>
      <c r="W5" s="3224"/>
      <c r="X5" s="1813"/>
      <c r="Y5" s="3241"/>
      <c r="Z5" s="3242"/>
      <c r="AA5" s="3227"/>
      <c r="AB5" s="3227"/>
      <c r="AC5" s="3227"/>
    </row>
    <row r="6" spans="1:29" ht="15.75" thickBot="1">
      <c r="A6" s="405"/>
      <c r="B6" s="406"/>
      <c r="C6" s="3288" t="s">
        <v>2533</v>
      </c>
      <c r="D6" s="3246"/>
      <c r="E6" s="3289" t="s">
        <v>2533</v>
      </c>
      <c r="F6" s="3290"/>
      <c r="G6" s="3288" t="s">
        <v>2533</v>
      </c>
      <c r="H6" s="3246"/>
      <c r="I6" s="3288" t="s">
        <v>2533</v>
      </c>
      <c r="J6" s="3246"/>
      <c r="K6" s="2597" t="s">
        <v>2534</v>
      </c>
      <c r="L6" s="1131"/>
      <c r="M6" s="1132"/>
      <c r="N6" s="1132"/>
      <c r="O6" s="1132"/>
      <c r="P6" s="3237"/>
      <c r="Q6" s="3238"/>
      <c r="R6" s="3241"/>
      <c r="S6" s="3242"/>
      <c r="T6" s="3243"/>
      <c r="U6" s="3244"/>
      <c r="V6" s="3224"/>
      <c r="W6" s="3224"/>
      <c r="X6" s="1813"/>
      <c r="Y6" s="3243"/>
      <c r="Z6" s="3244"/>
      <c r="AA6" s="3228"/>
      <c r="AB6" s="3228"/>
      <c r="AC6" s="3228"/>
    </row>
    <row r="7" spans="1:29" s="116" customFormat="1" ht="15.75" thickBot="1">
      <c r="A7" s="407" t="s">
        <v>2535</v>
      </c>
      <c r="B7" s="408"/>
      <c r="C7" s="409">
        <f>'数据-取费表'!B2</f>
        <v>43344</v>
      </c>
      <c r="D7" s="410">
        <v>100</v>
      </c>
      <c r="E7" s="411"/>
      <c r="F7" s="412">
        <f>SUMIF(58:58,YEAR(E7)&amp;"-"&amp;MONTH(E7),59:59)</f>
        <v>0</v>
      </c>
      <c r="G7" s="411"/>
      <c r="H7" s="410">
        <f>SUMIF(58:58,YEAR(G7)&amp;"-"&amp;MONTH(G7),59:59)</f>
        <v>0</v>
      </c>
      <c r="I7" s="411"/>
      <c r="J7" s="410">
        <f>SUMIF(58:58,YEAR(I7)&amp;"-"&amp;MONTH(I7),59:59)</f>
        <v>0</v>
      </c>
      <c r="K7" s="2598"/>
      <c r="L7" s="1133"/>
      <c r="M7" s="1134"/>
      <c r="N7" s="1134"/>
      <c r="O7" s="1134"/>
      <c r="P7" s="3249" t="s">
        <v>2536</v>
      </c>
      <c r="Q7" s="3251"/>
      <c r="R7" s="768" t="s">
        <v>23</v>
      </c>
      <c r="S7" s="769">
        <f t="shared" ref="S7:S15" si="0">F7</f>
        <v>0</v>
      </c>
      <c r="T7" s="768" t="s">
        <v>23</v>
      </c>
      <c r="U7" s="769">
        <f t="shared" ref="U7:U15" si="1">H7</f>
        <v>0</v>
      </c>
      <c r="V7" s="768" t="s">
        <v>23</v>
      </c>
      <c r="W7" s="769">
        <f t="shared" ref="W7:W15" si="2">J7</f>
        <v>0</v>
      </c>
      <c r="X7" s="770"/>
      <c r="Y7" s="3249" t="s">
        <v>2536</v>
      </c>
      <c r="Z7" s="3250"/>
      <c r="AA7" s="771" t="e">
        <f>D7/F7</f>
        <v>#DIV/0!</v>
      </c>
      <c r="AB7" s="771" t="e">
        <f>D7/H7</f>
        <v>#DIV/0!</v>
      </c>
      <c r="AC7" s="771" t="e">
        <f>D7/J7</f>
        <v>#DIV/0!</v>
      </c>
    </row>
    <row r="8" spans="1:29" s="116" customFormat="1" ht="15.75" thickBot="1">
      <c r="A8" s="407" t="s">
        <v>2537</v>
      </c>
      <c r="B8" s="408"/>
      <c r="C8" s="413" t="s">
        <v>2538</v>
      </c>
      <c r="D8" s="410">
        <v>100</v>
      </c>
      <c r="E8" s="2599"/>
      <c r="F8" s="412">
        <f>SUMIF(61:61,E8,62:62)-SUMIF(61:61,C8,62:62)+100</f>
        <v>0</v>
      </c>
      <c r="G8" s="413"/>
      <c r="H8" s="410">
        <f>SUMIF(61:61,G8,62:62)-SUMIF(61:61,C8,62:62)+100</f>
        <v>0</v>
      </c>
      <c r="I8" s="2599"/>
      <c r="J8" s="410">
        <f>SUMIF(61:61,I8,62:62)-SUMIF(61:61,C8,62:62)+100</f>
        <v>0</v>
      </c>
      <c r="K8" s="2598"/>
      <c r="L8" s="1133"/>
      <c r="M8" s="1134"/>
      <c r="N8" s="1134"/>
      <c r="O8" s="1134"/>
      <c r="P8" s="3249" t="s">
        <v>2539</v>
      </c>
      <c r="Q8" s="3250"/>
      <c r="R8" s="768" t="s">
        <v>23</v>
      </c>
      <c r="S8" s="769">
        <f t="shared" si="0"/>
        <v>0</v>
      </c>
      <c r="T8" s="768" t="s">
        <v>23</v>
      </c>
      <c r="U8" s="769">
        <f t="shared" si="1"/>
        <v>0</v>
      </c>
      <c r="V8" s="768" t="s">
        <v>23</v>
      </c>
      <c r="W8" s="769">
        <f t="shared" si="2"/>
        <v>0</v>
      </c>
      <c r="X8" s="770"/>
      <c r="Y8" s="3249" t="s">
        <v>2539</v>
      </c>
      <c r="Z8" s="3250"/>
      <c r="AA8" s="771" t="e">
        <f t="shared" ref="AA8:AA19" si="3">D8/F8</f>
        <v>#DIV/0!</v>
      </c>
      <c r="AB8" s="771" t="e">
        <f t="shared" ref="AB8:AB19" si="4">D8/H8</f>
        <v>#DIV/0!</v>
      </c>
      <c r="AC8" s="771" t="e">
        <f t="shared" ref="AC8:AC19" si="5">D8/J8</f>
        <v>#DIV/0!</v>
      </c>
    </row>
    <row r="9" spans="1:29" s="116" customFormat="1">
      <c r="A9" s="414" t="s">
        <v>2540</v>
      </c>
      <c r="B9" s="70" t="s">
        <v>2541</v>
      </c>
      <c r="C9" s="415"/>
      <c r="D9" s="134">
        <v>100</v>
      </c>
      <c r="E9" s="416"/>
      <c r="F9" s="417">
        <f>SUMIF(63:63,E9,64:64)-SUMIF(63:63,C9,64:64)+100</f>
        <v>100</v>
      </c>
      <c r="G9" s="418"/>
      <c r="H9" s="134">
        <f>SUMIF(63:63,G9,64:64)-SUMIF(63:63,C9,64:64)+100</f>
        <v>100</v>
      </c>
      <c r="I9" s="418"/>
      <c r="J9" s="134">
        <f>SUMIF(63:63,I9,64:64)-SUMIF(63:63,C9,64:64)+100</f>
        <v>100</v>
      </c>
      <c r="K9" s="2598"/>
      <c r="L9" s="1133"/>
      <c r="M9" s="1134"/>
      <c r="N9" s="1134"/>
      <c r="O9" s="1134"/>
      <c r="P9" s="3225"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5"/>
      <c r="Q10" s="1795" t="str">
        <f t="shared" si="6"/>
        <v>土地使用年限（年）</v>
      </c>
      <c r="R10" s="768" t="s">
        <v>17</v>
      </c>
      <c r="S10" s="769">
        <f t="shared" si="0"/>
        <v>100</v>
      </c>
      <c r="T10" s="768" t="s">
        <v>17</v>
      </c>
      <c r="U10" s="769">
        <f t="shared" si="1"/>
        <v>100</v>
      </c>
      <c r="V10" s="768" t="s">
        <v>17</v>
      </c>
      <c r="W10" s="769">
        <f t="shared" si="2"/>
        <v>100</v>
      </c>
      <c r="X10" s="770"/>
      <c r="Y10" s="3065"/>
      <c r="Z10" s="54" t="str">
        <f t="shared" si="7"/>
        <v>土地使用年限（年）</v>
      </c>
      <c r="AA10" s="771">
        <f t="shared" si="3"/>
        <v>1</v>
      </c>
      <c r="AB10" s="771">
        <f t="shared" si="4"/>
        <v>1</v>
      </c>
      <c r="AC10" s="771">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5"/>
      <c r="Q11" s="1795" t="str">
        <f t="shared" si="6"/>
        <v>容积率</v>
      </c>
      <c r="R11" s="768" t="s">
        <v>21</v>
      </c>
      <c r="S11" s="769" t="e">
        <f t="shared" si="0"/>
        <v>#N/A</v>
      </c>
      <c r="T11" s="768" t="s">
        <v>21</v>
      </c>
      <c r="U11" s="769" t="e">
        <f t="shared" si="1"/>
        <v>#N/A</v>
      </c>
      <c r="V11" s="768" t="s">
        <v>21</v>
      </c>
      <c r="W11" s="769" t="e">
        <f t="shared" si="2"/>
        <v>#N/A</v>
      </c>
      <c r="X11" s="770"/>
      <c r="Y11" s="3065"/>
      <c r="Z11" s="54" t="str">
        <f t="shared" si="7"/>
        <v>容积率</v>
      </c>
      <c r="AA11" s="771" t="e">
        <f t="shared" si="3"/>
        <v>#N/A</v>
      </c>
      <c r="AB11" s="771" t="e">
        <f t="shared" si="4"/>
        <v>#N/A</v>
      </c>
      <c r="AC11" s="771"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225"/>
      <c r="Q12" s="1795">
        <f t="shared" si="6"/>
        <v>111</v>
      </c>
      <c r="R12" s="768" t="s">
        <v>21</v>
      </c>
      <c r="S12" s="769">
        <f t="shared" si="0"/>
        <v>100</v>
      </c>
      <c r="T12" s="768" t="s">
        <v>21</v>
      </c>
      <c r="U12" s="769">
        <f t="shared" si="1"/>
        <v>100</v>
      </c>
      <c r="V12" s="768" t="s">
        <v>21</v>
      </c>
      <c r="W12" s="769">
        <f t="shared" si="2"/>
        <v>100</v>
      </c>
      <c r="X12" s="770"/>
      <c r="Y12" s="3065"/>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225"/>
      <c r="Q13" s="1795">
        <f t="shared" si="6"/>
        <v>111</v>
      </c>
      <c r="R13" s="768" t="s">
        <v>21</v>
      </c>
      <c r="S13" s="769">
        <f t="shared" si="0"/>
        <v>100</v>
      </c>
      <c r="T13" s="768" t="s">
        <v>21</v>
      </c>
      <c r="U13" s="769">
        <f t="shared" si="1"/>
        <v>100</v>
      </c>
      <c r="V13" s="768" t="s">
        <v>21</v>
      </c>
      <c r="W13" s="769">
        <f t="shared" si="2"/>
        <v>100</v>
      </c>
      <c r="X13" s="770"/>
      <c r="Y13" s="3065"/>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225"/>
      <c r="Q14" s="1795">
        <f t="shared" si="6"/>
        <v>111</v>
      </c>
      <c r="R14" s="768" t="s">
        <v>21</v>
      </c>
      <c r="S14" s="769">
        <f t="shared" si="0"/>
        <v>100</v>
      </c>
      <c r="T14" s="768" t="s">
        <v>21</v>
      </c>
      <c r="U14" s="769">
        <f t="shared" si="1"/>
        <v>100</v>
      </c>
      <c r="V14" s="768" t="s">
        <v>21</v>
      </c>
      <c r="W14" s="769">
        <f t="shared" si="2"/>
        <v>100</v>
      </c>
      <c r="X14" s="770"/>
      <c r="Y14" s="3065"/>
      <c r="Z14" s="54">
        <f t="shared" si="7"/>
        <v>111</v>
      </c>
      <c r="AA14" s="771">
        <f t="shared" si="3"/>
        <v>1</v>
      </c>
      <c r="AB14" s="771">
        <f t="shared" si="4"/>
        <v>1</v>
      </c>
      <c r="AC14" s="771">
        <f t="shared" si="5"/>
        <v>1</v>
      </c>
    </row>
    <row r="15" spans="1:29" ht="15">
      <c r="A15" s="439" t="s">
        <v>2546</v>
      </c>
      <c r="B15" s="68" t="s">
        <v>2083</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5" t="s">
        <v>2547</v>
      </c>
      <c r="Q15" s="1810" t="str">
        <f t="shared" si="6"/>
        <v>居住社区成熟度</v>
      </c>
      <c r="R15" s="772" t="s">
        <v>21</v>
      </c>
      <c r="S15" s="773">
        <f t="shared" si="0"/>
        <v>100</v>
      </c>
      <c r="T15" s="772" t="s">
        <v>21</v>
      </c>
      <c r="U15" s="773">
        <f t="shared" si="1"/>
        <v>100</v>
      </c>
      <c r="V15" s="772" t="s">
        <v>21</v>
      </c>
      <c r="W15" s="773">
        <f t="shared" si="2"/>
        <v>100</v>
      </c>
      <c r="X15" s="1813"/>
      <c r="Y15" s="3217" t="s">
        <v>2547</v>
      </c>
      <c r="Z15" s="1814" t="str">
        <f t="shared" si="7"/>
        <v>居住社区成熟度</v>
      </c>
      <c r="AA15" s="1811">
        <f t="shared" si="3"/>
        <v>1</v>
      </c>
      <c r="AB15" s="1811">
        <f t="shared" si="4"/>
        <v>1</v>
      </c>
      <c r="AC15" s="1811">
        <f t="shared" si="5"/>
        <v>1</v>
      </c>
    </row>
    <row r="16" spans="1:29" ht="15">
      <c r="A16" s="427"/>
      <c r="B16" s="445"/>
      <c r="C16" s="446"/>
      <c r="D16" s="447"/>
      <c r="E16" s="2604"/>
      <c r="F16" s="447"/>
      <c r="G16" s="2605"/>
      <c r="H16" s="449"/>
      <c r="I16" s="2605"/>
      <c r="J16" s="447"/>
      <c r="K16" s="2606"/>
      <c r="L16" s="1141"/>
      <c r="M16" s="1132"/>
      <c r="N16" s="1132"/>
      <c r="O16" s="1132"/>
      <c r="P16" s="3216"/>
      <c r="Q16" s="1810"/>
      <c r="R16" s="772"/>
      <c r="S16" s="773"/>
      <c r="T16" s="772"/>
      <c r="U16" s="773"/>
      <c r="V16" s="772"/>
      <c r="W16" s="773"/>
      <c r="X16" s="1813"/>
      <c r="Y16" s="3218"/>
      <c r="Z16" s="1814"/>
      <c r="AA16" s="1811">
        <v>1</v>
      </c>
      <c r="AB16" s="1811">
        <v>1</v>
      </c>
      <c r="AC16" s="1811">
        <v>1</v>
      </c>
    </row>
    <row r="17" spans="1:29" ht="15">
      <c r="A17" s="427"/>
      <c r="B17" s="450" t="s">
        <v>2089</v>
      </c>
      <c r="C17" s="2607">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16"/>
      <c r="Q17" s="1810" t="str">
        <f>B17</f>
        <v>交通便捷度</v>
      </c>
      <c r="R17" s="772" t="s">
        <v>21</v>
      </c>
      <c r="S17" s="773">
        <f>F17</f>
        <v>100</v>
      </c>
      <c r="T17" s="772" t="s">
        <v>21</v>
      </c>
      <c r="U17" s="773">
        <f>H17</f>
        <v>100</v>
      </c>
      <c r="V17" s="772" t="s">
        <v>21</v>
      </c>
      <c r="W17" s="773">
        <f>J17</f>
        <v>100</v>
      </c>
      <c r="X17" s="1813"/>
      <c r="Y17" s="3218"/>
      <c r="Z17" s="1814" t="str">
        <f>Q17</f>
        <v>交通便捷度</v>
      </c>
      <c r="AA17" s="1811">
        <f t="shared" si="3"/>
        <v>1</v>
      </c>
      <c r="AB17" s="1811">
        <f t="shared" si="4"/>
        <v>1</v>
      </c>
      <c r="AC17" s="1811">
        <f t="shared" si="5"/>
        <v>1</v>
      </c>
    </row>
    <row r="18" spans="1:29" ht="15">
      <c r="A18" s="427"/>
      <c r="B18" s="455"/>
      <c r="C18" s="2608"/>
      <c r="D18" s="449"/>
      <c r="E18" s="2609"/>
      <c r="F18" s="449"/>
      <c r="G18" s="2610"/>
      <c r="H18" s="447"/>
      <c r="I18" s="2610"/>
      <c r="J18" s="447"/>
      <c r="K18" s="2606"/>
      <c r="L18" s="1141"/>
      <c r="M18" s="1132"/>
      <c r="N18" s="1132"/>
      <c r="O18" s="1132"/>
      <c r="P18" s="3216"/>
      <c r="Q18" s="1810"/>
      <c r="R18" s="772"/>
      <c r="S18" s="773"/>
      <c r="T18" s="772"/>
      <c r="U18" s="773"/>
      <c r="V18" s="772"/>
      <c r="W18" s="773"/>
      <c r="X18" s="1813"/>
      <c r="Y18" s="3218"/>
      <c r="Z18" s="1814"/>
      <c r="AA18" s="1811">
        <v>1</v>
      </c>
      <c r="AB18" s="1811">
        <v>1</v>
      </c>
      <c r="AC18" s="1811">
        <v>1</v>
      </c>
    </row>
    <row r="19" spans="1:29" ht="15">
      <c r="A19" s="427"/>
      <c r="B19" s="450" t="s">
        <v>2088</v>
      </c>
      <c r="C19" s="2607">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16"/>
      <c r="Q19" s="1810" t="str">
        <f>B19</f>
        <v>公共配套设施</v>
      </c>
      <c r="R19" s="772" t="s">
        <v>21</v>
      </c>
      <c r="S19" s="773">
        <f>F19</f>
        <v>100</v>
      </c>
      <c r="T19" s="772" t="s">
        <v>21</v>
      </c>
      <c r="U19" s="773">
        <f>H19</f>
        <v>100</v>
      </c>
      <c r="V19" s="772" t="s">
        <v>21</v>
      </c>
      <c r="W19" s="773">
        <f>J19</f>
        <v>100</v>
      </c>
      <c r="X19" s="1813"/>
      <c r="Y19" s="3218"/>
      <c r="Z19" s="1814" t="str">
        <f>Q19</f>
        <v>公共配套设施</v>
      </c>
      <c r="AA19" s="1811">
        <f t="shared" si="3"/>
        <v>1</v>
      </c>
      <c r="AB19" s="1811">
        <f t="shared" si="4"/>
        <v>1</v>
      </c>
      <c r="AC19" s="1811">
        <f t="shared" si="5"/>
        <v>1</v>
      </c>
    </row>
    <row r="20" spans="1:29" ht="15">
      <c r="A20" s="427"/>
      <c r="B20" s="455"/>
      <c r="C20" s="446"/>
      <c r="D20" s="447"/>
      <c r="E20" s="2604"/>
      <c r="F20" s="447"/>
      <c r="G20" s="2605"/>
      <c r="H20" s="447"/>
      <c r="I20" s="2605"/>
      <c r="J20" s="447"/>
      <c r="K20" s="2606"/>
      <c r="L20" s="1141"/>
      <c r="M20" s="1132"/>
      <c r="N20" s="1132"/>
      <c r="O20" s="1132"/>
      <c r="P20" s="3216"/>
      <c r="Q20" s="1810"/>
      <c r="R20" s="772"/>
      <c r="S20" s="773"/>
      <c r="T20" s="772"/>
      <c r="U20" s="773"/>
      <c r="V20" s="772"/>
      <c r="W20" s="773"/>
      <c r="X20" s="1813"/>
      <c r="Y20" s="3218"/>
      <c r="Z20" s="1814"/>
      <c r="AA20" s="1811">
        <v>1</v>
      </c>
      <c r="AB20" s="1811">
        <v>1</v>
      </c>
      <c r="AC20" s="1811">
        <v>1</v>
      </c>
    </row>
    <row r="21" spans="1:29" ht="15">
      <c r="A21" s="427"/>
      <c r="B21" s="1385" t="s">
        <v>2090</v>
      </c>
      <c r="C21" s="2607">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16"/>
      <c r="Q21" s="1810" t="str">
        <f>B21</f>
        <v>基础设施水平</v>
      </c>
      <c r="R21" s="772" t="s">
        <v>17</v>
      </c>
      <c r="S21" s="773">
        <f>F21</f>
        <v>100</v>
      </c>
      <c r="T21" s="772" t="s">
        <v>17</v>
      </c>
      <c r="U21" s="773">
        <f>H21</f>
        <v>100</v>
      </c>
      <c r="V21" s="772" t="s">
        <v>17</v>
      </c>
      <c r="W21" s="773">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7"/>
      <c r="G22" s="2611"/>
      <c r="H22" s="447"/>
      <c r="I22" s="446"/>
      <c r="J22" s="447"/>
      <c r="K22" s="2612"/>
      <c r="L22" s="1141"/>
      <c r="M22" s="1132"/>
      <c r="N22" s="1132"/>
      <c r="O22" s="1132"/>
      <c r="P22" s="3216"/>
      <c r="Q22" s="1810"/>
      <c r="R22" s="772"/>
      <c r="S22" s="773"/>
      <c r="T22" s="772"/>
      <c r="U22" s="773"/>
      <c r="V22" s="772"/>
      <c r="W22" s="773"/>
      <c r="X22" s="1813"/>
      <c r="Y22" s="3218"/>
      <c r="Z22" s="1814"/>
      <c r="AA22" s="1811">
        <v>1</v>
      </c>
      <c r="AB22" s="1811">
        <v>1</v>
      </c>
      <c r="AC22" s="1811">
        <v>1</v>
      </c>
    </row>
    <row r="23" spans="1:29" ht="15">
      <c r="A23" s="427"/>
      <c r="B23" s="450" t="s">
        <v>2092</v>
      </c>
      <c r="C23" s="2607">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16"/>
      <c r="Q23" s="1810" t="str">
        <f>B23</f>
        <v>自然及人文环境</v>
      </c>
      <c r="R23" s="772" t="s">
        <v>21</v>
      </c>
      <c r="S23" s="773">
        <f>F23</f>
        <v>100</v>
      </c>
      <c r="T23" s="772" t="s">
        <v>21</v>
      </c>
      <c r="U23" s="773">
        <f>H23</f>
        <v>100</v>
      </c>
      <c r="V23" s="772" t="s">
        <v>21</v>
      </c>
      <c r="W23" s="773">
        <f>J23</f>
        <v>100</v>
      </c>
      <c r="X23" s="1813"/>
      <c r="Y23" s="3218"/>
      <c r="Z23" s="1814" t="str">
        <f>Q23</f>
        <v>自然及人文环境</v>
      </c>
      <c r="AA23" s="1811">
        <f>D23/F23</f>
        <v>1</v>
      </c>
      <c r="AB23" s="1811">
        <f>D23/H23</f>
        <v>1</v>
      </c>
      <c r="AC23" s="1811">
        <f>D23/J23</f>
        <v>1</v>
      </c>
    </row>
    <row r="24" spans="1:29" ht="15">
      <c r="A24" s="427"/>
      <c r="B24" s="455"/>
      <c r="C24" s="446"/>
      <c r="D24" s="447"/>
      <c r="E24" s="2604"/>
      <c r="F24" s="447"/>
      <c r="G24" s="2605"/>
      <c r="H24" s="447"/>
      <c r="I24" s="2605"/>
      <c r="J24" s="447"/>
      <c r="K24" s="2606"/>
      <c r="L24" s="1141"/>
      <c r="M24" s="1132"/>
      <c r="N24" s="1132"/>
      <c r="O24" s="1132"/>
      <c r="P24" s="3216"/>
      <c r="Q24" s="1810"/>
      <c r="R24" s="772"/>
      <c r="S24" s="773"/>
      <c r="T24" s="772"/>
      <c r="U24" s="773"/>
      <c r="V24" s="772"/>
      <c r="W24" s="773"/>
      <c r="X24" s="1813"/>
      <c r="Y24" s="3218"/>
      <c r="Z24" s="1814"/>
      <c r="AA24" s="1811">
        <v>1</v>
      </c>
      <c r="AB24" s="1811">
        <v>1</v>
      </c>
      <c r="AC24" s="1811">
        <v>1</v>
      </c>
    </row>
    <row r="25" spans="1:29" ht="15">
      <c r="A25" s="427"/>
      <c r="B25" s="421" t="s">
        <v>2548</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16"/>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18"/>
      <c r="Z25" s="1814" t="str">
        <f>Q25</f>
        <v>楼层-1</v>
      </c>
      <c r="AA25" s="1811">
        <f t="shared" ref="AA25:AA46" si="15">D25/F25</f>
        <v>1</v>
      </c>
      <c r="AB25" s="1811">
        <f t="shared" ref="AB25:AB46" si="16">D25/H25</f>
        <v>1</v>
      </c>
      <c r="AC25" s="1811">
        <f t="shared" ref="AC25:AC46" si="17">D25/J25</f>
        <v>1</v>
      </c>
    </row>
    <row r="26" spans="1:29" ht="15">
      <c r="A26" s="427"/>
      <c r="B26" s="421" t="s">
        <v>2549</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16"/>
      <c r="Q26" s="1810" t="str">
        <f t="shared" si="11"/>
        <v>朝向</v>
      </c>
      <c r="R26" s="772" t="s">
        <v>21</v>
      </c>
      <c r="S26" s="773">
        <f t="shared" si="12"/>
        <v>100</v>
      </c>
      <c r="T26" s="772" t="s">
        <v>21</v>
      </c>
      <c r="U26" s="773">
        <f t="shared" si="13"/>
        <v>100</v>
      </c>
      <c r="V26" s="772" t="s">
        <v>21</v>
      </c>
      <c r="W26" s="773">
        <f t="shared" si="14"/>
        <v>100</v>
      </c>
      <c r="X26" s="1813"/>
      <c r="Y26" s="3218"/>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16"/>
      <c r="Q27" s="1795">
        <f t="shared" si="11"/>
        <v>111</v>
      </c>
      <c r="R27" s="768" t="s">
        <v>21</v>
      </c>
      <c r="S27" s="769">
        <f t="shared" si="12"/>
        <v>100</v>
      </c>
      <c r="T27" s="768" t="s">
        <v>21</v>
      </c>
      <c r="U27" s="769">
        <f t="shared" si="13"/>
        <v>100</v>
      </c>
      <c r="V27" s="768" t="s">
        <v>21</v>
      </c>
      <c r="W27" s="769">
        <f t="shared" si="14"/>
        <v>100</v>
      </c>
      <c r="X27" s="770"/>
      <c r="Y27" s="3218"/>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16"/>
      <c r="Q28" s="1810">
        <f t="shared" si="11"/>
        <v>111</v>
      </c>
      <c r="R28" s="772" t="s">
        <v>21</v>
      </c>
      <c r="S28" s="773">
        <f t="shared" si="12"/>
        <v>100</v>
      </c>
      <c r="T28" s="772" t="s">
        <v>21</v>
      </c>
      <c r="U28" s="773">
        <f t="shared" si="13"/>
        <v>100</v>
      </c>
      <c r="V28" s="772" t="s">
        <v>21</v>
      </c>
      <c r="W28" s="773">
        <f t="shared" si="14"/>
        <v>100</v>
      </c>
      <c r="X28" s="1813"/>
      <c r="Y28" s="3218"/>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16"/>
      <c r="Q29" s="1810">
        <f t="shared" si="11"/>
        <v>111</v>
      </c>
      <c r="R29" s="772" t="s">
        <v>21</v>
      </c>
      <c r="S29" s="773">
        <f t="shared" si="12"/>
        <v>100</v>
      </c>
      <c r="T29" s="772" t="s">
        <v>21</v>
      </c>
      <c r="U29" s="773">
        <f t="shared" si="13"/>
        <v>100</v>
      </c>
      <c r="V29" s="772" t="s">
        <v>21</v>
      </c>
      <c r="W29" s="773">
        <f t="shared" si="14"/>
        <v>100</v>
      </c>
      <c r="X29" s="1813"/>
      <c r="Y29" s="3218"/>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16"/>
      <c r="Q30" s="1810">
        <f t="shared" si="11"/>
        <v>111</v>
      </c>
      <c r="R30" s="772" t="s">
        <v>21</v>
      </c>
      <c r="S30" s="773">
        <f t="shared" si="12"/>
        <v>100</v>
      </c>
      <c r="T30" s="772" t="s">
        <v>21</v>
      </c>
      <c r="U30" s="773">
        <f t="shared" si="13"/>
        <v>100</v>
      </c>
      <c r="V30" s="772" t="s">
        <v>21</v>
      </c>
      <c r="W30" s="773">
        <f t="shared" si="14"/>
        <v>100</v>
      </c>
      <c r="X30" s="1813"/>
      <c r="Y30" s="3218"/>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16"/>
      <c r="Q31" s="1810">
        <f t="shared" si="11"/>
        <v>111</v>
      </c>
      <c r="R31" s="772" t="s">
        <v>21</v>
      </c>
      <c r="S31" s="773">
        <f t="shared" si="12"/>
        <v>100</v>
      </c>
      <c r="T31" s="772" t="s">
        <v>21</v>
      </c>
      <c r="U31" s="773">
        <f t="shared" si="13"/>
        <v>100</v>
      </c>
      <c r="V31" s="772" t="s">
        <v>21</v>
      </c>
      <c r="W31" s="773">
        <f t="shared" si="14"/>
        <v>100</v>
      </c>
      <c r="X31" s="1813"/>
      <c r="Y31" s="3218"/>
      <c r="Z31" s="1814">
        <f t="shared" si="18"/>
        <v>111</v>
      </c>
      <c r="AA31" s="1811">
        <f t="shared" si="15"/>
        <v>1</v>
      </c>
      <c r="AB31" s="1811">
        <f t="shared" si="16"/>
        <v>1</v>
      </c>
      <c r="AC31" s="1811">
        <f t="shared" si="17"/>
        <v>1</v>
      </c>
    </row>
    <row r="32" spans="1:29" ht="15">
      <c r="A32" s="439" t="s">
        <v>2550</v>
      </c>
      <c r="B32" s="70" t="s">
        <v>2551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1"/>
      <c r="M32" s="1132"/>
      <c r="N32" s="1132"/>
      <c r="O32" s="1132"/>
      <c r="P32" s="3219" t="s">
        <v>2552</v>
      </c>
      <c r="Q32" s="1810" t="str">
        <f t="shared" si="11"/>
        <v>建筑类型</v>
      </c>
      <c r="R32" s="772" t="s">
        <v>21</v>
      </c>
      <c r="S32" s="773">
        <f t="shared" si="12"/>
        <v>100</v>
      </c>
      <c r="T32" s="772" t="s">
        <v>21</v>
      </c>
      <c r="U32" s="773">
        <f t="shared" si="13"/>
        <v>100</v>
      </c>
      <c r="V32" s="772" t="s">
        <v>21</v>
      </c>
      <c r="W32" s="773">
        <f t="shared" si="14"/>
        <v>100</v>
      </c>
      <c r="X32" s="1813"/>
      <c r="Y32" s="3222" t="s">
        <v>2552</v>
      </c>
      <c r="Z32" s="1814" t="str">
        <f t="shared" si="18"/>
        <v>建筑类型</v>
      </c>
      <c r="AA32" s="1811">
        <f t="shared" si="15"/>
        <v>1</v>
      </c>
      <c r="AB32" s="1811">
        <f t="shared" si="16"/>
        <v>1</v>
      </c>
      <c r="AC32" s="1811">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9"/>
      <c r="M33" s="1142"/>
      <c r="N33" s="1142"/>
      <c r="O33" s="1142"/>
      <c r="P33" s="3220"/>
      <c r="Q33" s="774" t="str">
        <f t="shared" si="11"/>
        <v>项目建筑规模</v>
      </c>
      <c r="R33" s="775" t="s">
        <v>21</v>
      </c>
      <c r="S33" s="776" t="e">
        <f t="shared" si="12"/>
        <v>#N/A</v>
      </c>
      <c r="T33" s="775" t="s">
        <v>21</v>
      </c>
      <c r="U33" s="776" t="e">
        <f t="shared" si="13"/>
        <v>#N/A</v>
      </c>
      <c r="V33" s="775" t="s">
        <v>21</v>
      </c>
      <c r="W33" s="776" t="e">
        <f t="shared" si="14"/>
        <v>#N/A</v>
      </c>
      <c r="X33" s="777"/>
      <c r="Y33" s="3222"/>
      <c r="Z33" s="778" t="str">
        <f t="shared" si="18"/>
        <v>项目建筑规模</v>
      </c>
      <c r="AA33" s="1811" t="e">
        <f t="shared" si="15"/>
        <v>#N/A</v>
      </c>
      <c r="AB33" s="1811" t="e">
        <f t="shared" si="16"/>
        <v>#N/A</v>
      </c>
      <c r="AC33" s="1811" t="e">
        <f t="shared" si="17"/>
        <v>#N/A</v>
      </c>
    </row>
    <row r="34" spans="1:29" ht="15">
      <c r="A34" s="471"/>
      <c r="B34" s="421" t="s">
        <v>2554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1"/>
      <c r="M34" s="1132"/>
      <c r="N34" s="1132"/>
      <c r="O34" s="1132"/>
      <c r="P34" s="3220"/>
      <c r="Q34" s="1810" t="str">
        <f t="shared" si="11"/>
        <v>建筑结构</v>
      </c>
      <c r="R34" s="772" t="s">
        <v>21</v>
      </c>
      <c r="S34" s="773">
        <f t="shared" si="12"/>
        <v>100</v>
      </c>
      <c r="T34" s="772" t="s">
        <v>21</v>
      </c>
      <c r="U34" s="773">
        <f t="shared" si="13"/>
        <v>100</v>
      </c>
      <c r="V34" s="772" t="s">
        <v>21</v>
      </c>
      <c r="W34" s="773">
        <f t="shared" si="14"/>
        <v>100</v>
      </c>
      <c r="X34" s="1813"/>
      <c r="Y34" s="3222"/>
      <c r="Z34" s="1814" t="str">
        <f t="shared" si="18"/>
        <v>建筑结构</v>
      </c>
      <c r="AA34" s="1811">
        <f t="shared" si="15"/>
        <v>1</v>
      </c>
      <c r="AB34" s="1811">
        <f t="shared" si="16"/>
        <v>1</v>
      </c>
      <c r="AC34" s="1811">
        <f t="shared" si="17"/>
        <v>1</v>
      </c>
    </row>
    <row r="35" spans="1:29" ht="15">
      <c r="A35" s="471"/>
      <c r="B35" s="421" t="s">
        <v>2555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1"/>
      <c r="M35" s="1132"/>
      <c r="N35" s="1132"/>
      <c r="O35" s="1132"/>
      <c r="P35" s="3220"/>
      <c r="Q35" s="1810" t="str">
        <f t="shared" si="11"/>
        <v>建筑品质</v>
      </c>
      <c r="R35" s="772" t="s">
        <v>21</v>
      </c>
      <c r="S35" s="773">
        <f t="shared" si="12"/>
        <v>100</v>
      </c>
      <c r="T35" s="772" t="s">
        <v>21</v>
      </c>
      <c r="U35" s="773">
        <f t="shared" si="13"/>
        <v>100</v>
      </c>
      <c r="V35" s="772" t="s">
        <v>21</v>
      </c>
      <c r="W35" s="773">
        <f t="shared" si="14"/>
        <v>100</v>
      </c>
      <c r="X35" s="1813"/>
      <c r="Y35" s="3222"/>
      <c r="Z35" s="1814" t="str">
        <f t="shared" si="18"/>
        <v>建筑品质</v>
      </c>
      <c r="AA35" s="1811">
        <f t="shared" si="15"/>
        <v>1</v>
      </c>
      <c r="AB35" s="1811">
        <f t="shared" si="16"/>
        <v>1</v>
      </c>
      <c r="AC35" s="1811">
        <f t="shared" si="17"/>
        <v>1</v>
      </c>
    </row>
    <row r="36" spans="1:29" ht="15">
      <c r="A36" s="471"/>
      <c r="B36" s="421" t="s">
        <v>2556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1"/>
      <c r="M36" s="1132"/>
      <c r="N36" s="1132"/>
      <c r="O36" s="1132"/>
      <c r="P36" s="3220"/>
      <c r="Q36" s="1810" t="str">
        <f t="shared" si="11"/>
        <v>公共部分装修</v>
      </c>
      <c r="R36" s="772" t="s">
        <v>21</v>
      </c>
      <c r="S36" s="773">
        <f t="shared" si="12"/>
        <v>100</v>
      </c>
      <c r="T36" s="772" t="s">
        <v>21</v>
      </c>
      <c r="U36" s="773">
        <f t="shared" si="13"/>
        <v>100</v>
      </c>
      <c r="V36" s="772" t="s">
        <v>21</v>
      </c>
      <c r="W36" s="773">
        <f t="shared" si="14"/>
        <v>100</v>
      </c>
      <c r="X36" s="1813"/>
      <c r="Y36" s="3222"/>
      <c r="Z36" s="1814" t="str">
        <f t="shared" si="18"/>
        <v>公共部分装修</v>
      </c>
      <c r="AA36" s="1811">
        <f t="shared" si="15"/>
        <v>1</v>
      </c>
      <c r="AB36" s="1811">
        <f t="shared" si="16"/>
        <v>1</v>
      </c>
      <c r="AC36" s="1811">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20"/>
      <c r="Q37" s="1795" t="str">
        <f t="shared" si="11"/>
        <v>成新度</v>
      </c>
      <c r="R37" s="768" t="s">
        <v>21</v>
      </c>
      <c r="S37" s="769" t="e">
        <f t="shared" si="12"/>
        <v>#N/A</v>
      </c>
      <c r="T37" s="768" t="s">
        <v>21</v>
      </c>
      <c r="U37" s="769" t="e">
        <f t="shared" si="13"/>
        <v>#N/A</v>
      </c>
      <c r="V37" s="768" t="s">
        <v>21</v>
      </c>
      <c r="W37" s="769" t="e">
        <f t="shared" si="14"/>
        <v>#N/A</v>
      </c>
      <c r="X37" s="770"/>
      <c r="Y37" s="3222"/>
      <c r="Z37" s="54" t="str">
        <f t="shared" si="18"/>
        <v>成新度</v>
      </c>
      <c r="AA37" s="771" t="e">
        <f t="shared" si="15"/>
        <v>#N/A</v>
      </c>
      <c r="AB37" s="771" t="e">
        <f t="shared" si="16"/>
        <v>#N/A</v>
      </c>
      <c r="AC37" s="771" t="e">
        <f t="shared" si="17"/>
        <v>#N/A</v>
      </c>
    </row>
    <row r="38" spans="1:29" ht="15">
      <c r="A38" s="471"/>
      <c r="B38" s="421" t="s">
        <v>2558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1"/>
      <c r="M38" s="1132"/>
      <c r="N38" s="1132"/>
      <c r="O38" s="1132"/>
      <c r="P38" s="3220" t="s">
        <v>2552</v>
      </c>
      <c r="Q38" s="1810" t="str">
        <f t="shared" si="11"/>
        <v>物业管理</v>
      </c>
      <c r="R38" s="772" t="s">
        <v>21</v>
      </c>
      <c r="S38" s="773">
        <f t="shared" si="12"/>
        <v>100</v>
      </c>
      <c r="T38" s="772" t="s">
        <v>21</v>
      </c>
      <c r="U38" s="773">
        <f t="shared" si="13"/>
        <v>100</v>
      </c>
      <c r="V38" s="772" t="s">
        <v>21</v>
      </c>
      <c r="W38" s="773">
        <f t="shared" si="14"/>
        <v>100</v>
      </c>
      <c r="X38" s="1813"/>
      <c r="Y38" s="3222" t="s">
        <v>2552</v>
      </c>
      <c r="Z38" s="1814" t="str">
        <f t="shared" si="18"/>
        <v>物业管理</v>
      </c>
      <c r="AA38" s="1811">
        <f t="shared" si="15"/>
        <v>1</v>
      </c>
      <c r="AB38" s="1811">
        <f t="shared" si="16"/>
        <v>1</v>
      </c>
      <c r="AC38" s="1811">
        <f t="shared" si="17"/>
        <v>1</v>
      </c>
    </row>
    <row r="39" spans="1:29" ht="15">
      <c r="A39" s="471"/>
      <c r="B39" s="421" t="s">
        <v>2559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1"/>
      <c r="M39" s="1132"/>
      <c r="N39" s="1132"/>
      <c r="O39" s="1132"/>
      <c r="P39" s="3220"/>
      <c r="Q39" s="1810" t="str">
        <f t="shared" si="11"/>
        <v>市政基础设施</v>
      </c>
      <c r="R39" s="772" t="s">
        <v>21</v>
      </c>
      <c r="S39" s="773">
        <f t="shared" si="12"/>
        <v>100</v>
      </c>
      <c r="T39" s="772" t="s">
        <v>21</v>
      </c>
      <c r="U39" s="773">
        <f t="shared" si="13"/>
        <v>100</v>
      </c>
      <c r="V39" s="772" t="s">
        <v>21</v>
      </c>
      <c r="W39" s="773">
        <f t="shared" si="14"/>
        <v>100</v>
      </c>
      <c r="X39" s="1813"/>
      <c r="Y39" s="3222"/>
      <c r="Z39" s="1814" t="str">
        <f t="shared" si="18"/>
        <v>市政基础设施</v>
      </c>
      <c r="AA39" s="1811">
        <f t="shared" si="15"/>
        <v>1</v>
      </c>
      <c r="AB39" s="1811">
        <f t="shared" si="16"/>
        <v>1</v>
      </c>
      <c r="AC39" s="1811">
        <f t="shared" si="17"/>
        <v>1</v>
      </c>
    </row>
    <row r="40" spans="1:29" ht="15">
      <c r="A40" s="471"/>
      <c r="B40" s="421" t="s">
        <v>2560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1"/>
      <c r="M40" s="1132"/>
      <c r="N40" s="1132"/>
      <c r="O40" s="1132"/>
      <c r="P40" s="3220"/>
      <c r="Q40" s="1810" t="str">
        <f t="shared" si="11"/>
        <v>房型</v>
      </c>
      <c r="R40" s="772" t="s">
        <v>21</v>
      </c>
      <c r="S40" s="773">
        <f t="shared" si="12"/>
        <v>100</v>
      </c>
      <c r="T40" s="772" t="s">
        <v>21</v>
      </c>
      <c r="U40" s="773">
        <f t="shared" si="13"/>
        <v>100</v>
      </c>
      <c r="V40" s="772" t="s">
        <v>21</v>
      </c>
      <c r="W40" s="773">
        <f t="shared" si="14"/>
        <v>100</v>
      </c>
      <c r="X40" s="1813"/>
      <c r="Y40" s="3222"/>
      <c r="Z40" s="1814" t="str">
        <f t="shared" si="18"/>
        <v>房型</v>
      </c>
      <c r="AA40" s="1811">
        <f t="shared" si="15"/>
        <v>1</v>
      </c>
      <c r="AB40" s="1811">
        <f t="shared" si="16"/>
        <v>1</v>
      </c>
      <c r="AC40" s="1811">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20"/>
      <c r="Q41" s="774" t="str">
        <f t="shared" si="11"/>
        <v>单套/主力户型建筑面积</v>
      </c>
      <c r="R41" s="775" t="s">
        <v>21</v>
      </c>
      <c r="S41" s="776">
        <f t="shared" si="12"/>
        <v>100</v>
      </c>
      <c r="T41" s="775" t="s">
        <v>21</v>
      </c>
      <c r="U41" s="776">
        <f t="shared" si="13"/>
        <v>100</v>
      </c>
      <c r="V41" s="775" t="s">
        <v>21</v>
      </c>
      <c r="W41" s="776">
        <f t="shared" si="14"/>
        <v>100</v>
      </c>
      <c r="X41" s="777"/>
      <c r="Y41" s="3222"/>
      <c r="Z41" s="778" t="str">
        <f t="shared" si="18"/>
        <v>单套/主力户型建筑面积</v>
      </c>
      <c r="AA41" s="1811">
        <f t="shared" si="15"/>
        <v>1</v>
      </c>
      <c r="AB41" s="1811">
        <f t="shared" si="16"/>
        <v>1</v>
      </c>
      <c r="AC41" s="1811">
        <f t="shared" si="17"/>
        <v>1</v>
      </c>
    </row>
    <row r="42" spans="1:29" ht="15">
      <c r="A42" s="471"/>
      <c r="B42" s="421" t="s">
        <v>2562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1"/>
      <c r="M42" s="1132"/>
      <c r="N42" s="1132"/>
      <c r="O42" s="1132"/>
      <c r="P42" s="3220"/>
      <c r="Q42" s="1810" t="str">
        <f t="shared" si="11"/>
        <v>内部装修</v>
      </c>
      <c r="R42" s="772" t="s">
        <v>21</v>
      </c>
      <c r="S42" s="773">
        <f t="shared" si="12"/>
        <v>100</v>
      </c>
      <c r="T42" s="772" t="s">
        <v>21</v>
      </c>
      <c r="U42" s="773">
        <f t="shared" si="13"/>
        <v>100</v>
      </c>
      <c r="V42" s="772" t="s">
        <v>21</v>
      </c>
      <c r="W42" s="773">
        <f t="shared" si="14"/>
        <v>100</v>
      </c>
      <c r="X42" s="1813"/>
      <c r="Y42" s="3222"/>
      <c r="Z42" s="1814" t="str">
        <f t="shared" si="18"/>
        <v>内部装修</v>
      </c>
      <c r="AA42" s="1811">
        <f t="shared" si="15"/>
        <v>1</v>
      </c>
      <c r="AB42" s="1811">
        <f t="shared" si="16"/>
        <v>1</v>
      </c>
      <c r="AC42" s="1811">
        <f t="shared" si="17"/>
        <v>1</v>
      </c>
    </row>
    <row r="43" spans="1:29" ht="15">
      <c r="A43" s="471"/>
      <c r="B43" s="421" t="s">
        <v>2563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1"/>
      <c r="M43" s="1132"/>
      <c r="N43" s="1132"/>
      <c r="O43" s="1132"/>
      <c r="P43" s="3220"/>
      <c r="Q43" s="1810" t="str">
        <f t="shared" si="11"/>
        <v>内部装修维护情况</v>
      </c>
      <c r="R43" s="772" t="s">
        <v>21</v>
      </c>
      <c r="S43" s="773">
        <f t="shared" si="12"/>
        <v>100</v>
      </c>
      <c r="T43" s="772" t="s">
        <v>21</v>
      </c>
      <c r="U43" s="773">
        <f t="shared" si="13"/>
        <v>100</v>
      </c>
      <c r="V43" s="772" t="s">
        <v>21</v>
      </c>
      <c r="W43" s="773">
        <f t="shared" si="14"/>
        <v>100</v>
      </c>
      <c r="X43" s="1813"/>
      <c r="Y43" s="3222"/>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20"/>
      <c r="Q44" s="1795">
        <f t="shared" si="11"/>
        <v>111</v>
      </c>
      <c r="R44" s="768" t="s">
        <v>21</v>
      </c>
      <c r="S44" s="769">
        <f t="shared" si="12"/>
        <v>100</v>
      </c>
      <c r="T44" s="768" t="s">
        <v>21</v>
      </c>
      <c r="U44" s="769">
        <f t="shared" si="13"/>
        <v>100</v>
      </c>
      <c r="V44" s="768" t="s">
        <v>21</v>
      </c>
      <c r="W44" s="769">
        <f t="shared" si="14"/>
        <v>100</v>
      </c>
      <c r="X44" s="770"/>
      <c r="Y44" s="3222"/>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20"/>
      <c r="Q45" s="1810">
        <f t="shared" si="11"/>
        <v>111</v>
      </c>
      <c r="R45" s="772" t="s">
        <v>21</v>
      </c>
      <c r="S45" s="773">
        <f t="shared" si="12"/>
        <v>100</v>
      </c>
      <c r="T45" s="772" t="s">
        <v>21</v>
      </c>
      <c r="U45" s="773">
        <f t="shared" si="13"/>
        <v>100</v>
      </c>
      <c r="V45" s="772" t="s">
        <v>21</v>
      </c>
      <c r="W45" s="773">
        <f t="shared" si="14"/>
        <v>100</v>
      </c>
      <c r="X45" s="1813"/>
      <c r="Y45" s="3222"/>
      <c r="Z45" s="1814">
        <f t="shared" si="18"/>
        <v>111</v>
      </c>
      <c r="AA45" s="1811">
        <f t="shared" si="15"/>
        <v>1</v>
      </c>
      <c r="AB45" s="1811">
        <f t="shared" si="16"/>
        <v>1</v>
      </c>
      <c r="AC45" s="1811">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21"/>
      <c r="Q46" s="1810">
        <f t="shared" si="11"/>
        <v>111</v>
      </c>
      <c r="R46" s="772" t="s">
        <v>20</v>
      </c>
      <c r="S46" s="773">
        <f t="shared" si="12"/>
        <v>100</v>
      </c>
      <c r="T46" s="772" t="s">
        <v>20</v>
      </c>
      <c r="U46" s="773">
        <f t="shared" si="13"/>
        <v>100</v>
      </c>
      <c r="V46" s="772" t="s">
        <v>20</v>
      </c>
      <c r="W46" s="773">
        <f t="shared" si="14"/>
        <v>100</v>
      </c>
      <c r="X46" s="1813"/>
      <c r="Y46" s="3223"/>
      <c r="Z46" s="1814">
        <f t="shared" si="18"/>
        <v>111</v>
      </c>
      <c r="AA46" s="1811">
        <f t="shared" si="15"/>
        <v>1</v>
      </c>
      <c r="AB46" s="1811">
        <f t="shared" si="16"/>
        <v>1</v>
      </c>
      <c r="AC46" s="1811">
        <f t="shared" si="17"/>
        <v>1</v>
      </c>
    </row>
    <row r="47" spans="1:29" ht="15">
      <c r="A47" s="478" t="s">
        <v>2564</v>
      </c>
      <c r="B47" s="479"/>
      <c r="C47" s="1408" t="s">
        <v>19</v>
      </c>
      <c r="D47" s="1409"/>
      <c r="E47" s="1410"/>
      <c r="F47" s="1411"/>
      <c r="G47" s="1412"/>
      <c r="H47" s="1413"/>
      <c r="I47" s="1410"/>
      <c r="J47" s="1413"/>
      <c r="K47" s="2621"/>
      <c r="L47" s="1144"/>
      <c r="M47" s="1145"/>
      <c r="N47" s="1132"/>
      <c r="O47" s="1145"/>
      <c r="P47" s="3210" t="str">
        <f>A47</f>
        <v>成交单价（元/平方米）</v>
      </c>
      <c r="Q47" s="3210"/>
      <c r="R47" s="3211">
        <f>E47</f>
        <v>0</v>
      </c>
      <c r="S47" s="3211"/>
      <c r="T47" s="3211">
        <f>G47</f>
        <v>0</v>
      </c>
      <c r="U47" s="3211"/>
      <c r="V47" s="3211">
        <f>I47</f>
        <v>0</v>
      </c>
      <c r="W47" s="3211"/>
      <c r="X47" s="757"/>
      <c r="Y47" s="779"/>
      <c r="Z47" s="757"/>
      <c r="AA47" s="757"/>
      <c r="AB47" s="757"/>
      <c r="AC47" s="757"/>
    </row>
    <row r="48" spans="1:29" ht="15.75" thickBot="1">
      <c r="A48" s="485" t="s">
        <v>2565</v>
      </c>
      <c r="B48" s="486"/>
      <c r="C48" s="1414" t="e">
        <f>R49</f>
        <v>#DIV/0!</v>
      </c>
      <c r="D48" s="1415"/>
      <c r="E48" s="1416" t="e">
        <f>R48</f>
        <v>#DIV/0!</v>
      </c>
      <c r="F48" s="1416"/>
      <c r="G48" s="1414" t="e">
        <f>T48</f>
        <v>#DIV/0!</v>
      </c>
      <c r="H48" s="1415"/>
      <c r="I48" s="1416" t="e">
        <f>V48</f>
        <v>#DIV/0!</v>
      </c>
      <c r="J48" s="1415"/>
      <c r="K48" s="2622"/>
      <c r="L48" s="1144"/>
      <c r="M48" s="1145"/>
      <c r="N48" s="1145"/>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75" thickBot="1">
      <c r="A49" s="491" t="s">
        <v>2566</v>
      </c>
      <c r="B49" s="492"/>
      <c r="C49" s="1417" t="e">
        <f>R49</f>
        <v>#DIV/0!</v>
      </c>
      <c r="D49" s="1418"/>
      <c r="E49" s="1418"/>
      <c r="F49" s="1418"/>
      <c r="G49" s="1418"/>
      <c r="H49" s="1418"/>
      <c r="I49" s="1418"/>
      <c r="J49" s="1418"/>
      <c r="K49" s="2623"/>
      <c r="L49" s="1144"/>
      <c r="M49" s="1145"/>
      <c r="N49" s="1145"/>
      <c r="O49" s="1145"/>
      <c r="P49" s="3212" t="str">
        <f>A49</f>
        <v>估价对象XX用房的比较价值（楼面单价，元/平方米）</v>
      </c>
      <c r="Q49" s="3213"/>
      <c r="R49" s="3214" t="e">
        <f>IF(F1="售价",ROUND(AVERAGE(R48:V48),0),ROUND(AVERAGE(R48:V48),1))</f>
        <v>#DIV/0!</v>
      </c>
      <c r="S49" s="3214"/>
      <c r="T49" s="3214"/>
      <c r="U49" s="3214"/>
      <c r="V49" s="3214"/>
      <c r="W49" s="321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5"/>
    </row>
    <row r="55" spans="1:29" s="501"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1" t="s">
        <v>2570</v>
      </c>
      <c r="B57" s="757"/>
      <c r="C57" s="762"/>
      <c r="D57" s="762"/>
      <c r="E57" s="762"/>
      <c r="F57" s="763"/>
      <c r="G57" s="763"/>
      <c r="H57" s="762"/>
      <c r="I57" s="762"/>
      <c r="J57" s="762"/>
      <c r="K57" s="1161"/>
      <c r="L57" s="1162"/>
      <c r="M57" s="1160"/>
      <c r="N57" s="1160"/>
      <c r="O57" s="1160"/>
      <c r="P57" s="2626"/>
      <c r="Q57" s="503"/>
    </row>
    <row r="58" spans="1:29" s="507" customFormat="1" ht="15">
      <c r="A58" s="504" t="s">
        <v>2571</v>
      </c>
      <c r="B58" s="505"/>
      <c r="C58" s="1577" t="str">
        <f>YEAR(C7)&amp;"-"&amp;MONTH(C7)</f>
        <v>2018-9</v>
      </c>
      <c r="D58" s="1576">
        <f>EDATE(C58,-1)</f>
        <v>43313</v>
      </c>
      <c r="E58" s="1576">
        <f>EDATE(D58,-1)</f>
        <v>43282</v>
      </c>
      <c r="F58" s="1576">
        <f t="shared" ref="F58:O58" si="19">EDATE(E58,-1)</f>
        <v>43252</v>
      </c>
      <c r="G58" s="1576">
        <f t="shared" si="19"/>
        <v>43221</v>
      </c>
      <c r="H58" s="1576">
        <f t="shared" si="19"/>
        <v>43191</v>
      </c>
      <c r="I58" s="1576">
        <f t="shared" si="19"/>
        <v>43160</v>
      </c>
      <c r="J58" s="1576">
        <f t="shared" si="19"/>
        <v>43132</v>
      </c>
      <c r="K58" s="1576">
        <f t="shared" si="19"/>
        <v>43101</v>
      </c>
      <c r="L58" s="1576">
        <f t="shared" si="19"/>
        <v>43070</v>
      </c>
      <c r="M58" s="1576">
        <f t="shared" si="19"/>
        <v>43040</v>
      </c>
      <c r="N58" s="1576">
        <f t="shared" si="19"/>
        <v>43009</v>
      </c>
      <c r="O58" s="1576">
        <f t="shared" si="19"/>
        <v>42979</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2573</v>
      </c>
      <c r="B61" s="509"/>
      <c r="C61" s="521" t="s">
        <v>2574</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f>C9</f>
        <v>0</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0"/>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0"/>
      <c r="Q67" s="503"/>
    </row>
    <row r="68" spans="1:17" ht="15">
      <c r="A68" s="533"/>
      <c r="B68" s="547"/>
      <c r="C68" s="548"/>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0"/>
      <c r="Q69" s="503"/>
    </row>
    <row r="70" spans="1:17" s="470" customFormat="1" ht="15.75" thickTop="1">
      <c r="A70" s="552"/>
      <c r="B70" s="537">
        <f>B12</f>
        <v>111</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111</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59"/>
      <c r="E73" s="559"/>
      <c r="F73" s="559"/>
      <c r="G73" s="559"/>
      <c r="H73" s="561"/>
      <c r="I73" s="561"/>
      <c r="J73" s="561"/>
      <c r="K73" s="561"/>
      <c r="L73" s="561"/>
      <c r="M73" s="562"/>
      <c r="N73" s="1155"/>
      <c r="O73" s="1155"/>
      <c r="P73" s="2631"/>
      <c r="Q73" s="558"/>
    </row>
    <row r="74" spans="1:17" s="470" customFormat="1" ht="15.75" thickTop="1">
      <c r="A74" s="552"/>
      <c r="B74" s="545">
        <f>B14</f>
        <v>111</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0"/>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0"/>
      <c r="Q85" s="503"/>
    </row>
    <row r="86" spans="1:17" s="116" customFormat="1" ht="15.75" thickTop="1">
      <c r="A86" s="578"/>
      <c r="B86" s="537" t="s">
        <v>2597</v>
      </c>
      <c r="C86" s="553"/>
      <c r="D86" s="553"/>
      <c r="E86" s="553"/>
      <c r="F86" s="553"/>
      <c r="G86" s="553"/>
      <c r="H86" s="553"/>
      <c r="I86" s="553"/>
      <c r="J86" s="553"/>
      <c r="K86" s="553"/>
      <c r="L86" s="579"/>
      <c r="M86" s="580"/>
      <c r="N86" s="1152"/>
      <c r="O86" s="1152"/>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0"/>
      <c r="Q87" s="503"/>
    </row>
    <row r="88" spans="1:17" s="116" customFormat="1" ht="15.75" thickTop="1">
      <c r="A88" s="578"/>
      <c r="B88" s="537" t="s">
        <v>2598</v>
      </c>
      <c r="C88" s="553"/>
      <c r="D88" s="553"/>
      <c r="E88" s="553"/>
      <c r="F88" s="2635"/>
      <c r="G88" s="553"/>
      <c r="H88" s="553"/>
      <c r="I88" s="553"/>
      <c r="J88" s="553"/>
      <c r="K88" s="553"/>
      <c r="L88" s="553"/>
      <c r="M88" s="580"/>
      <c r="N88" s="1152"/>
      <c r="O88" s="1152"/>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0"/>
      <c r="Q89" s="503"/>
    </row>
    <row r="90" spans="1:17" s="470" customFormat="1" ht="15.75" thickTop="1">
      <c r="A90" s="552"/>
      <c r="B90" s="537">
        <f>B27</f>
        <v>111</v>
      </c>
      <c r="C90" s="553"/>
      <c r="D90" s="553"/>
      <c r="E90" s="553"/>
      <c r="F90" s="553"/>
      <c r="G90" s="553"/>
      <c r="H90" s="554"/>
      <c r="I90" s="554"/>
      <c r="J90" s="554"/>
      <c r="K90" s="554"/>
      <c r="L90" s="555"/>
      <c r="M90" s="556"/>
      <c r="N90" s="1155"/>
      <c r="O90" s="1155"/>
      <c r="P90" s="2631"/>
      <c r="Q90" s="558"/>
    </row>
    <row r="91" spans="1:17" s="470" customFormat="1" ht="15.75" thickBot="1">
      <c r="A91" s="552"/>
      <c r="B91" s="542"/>
      <c r="C91" s="559"/>
      <c r="D91" s="559"/>
      <c r="E91" s="559"/>
      <c r="F91" s="559"/>
      <c r="G91" s="559"/>
      <c r="H91" s="561"/>
      <c r="I91" s="561"/>
      <c r="J91" s="561"/>
      <c r="K91" s="561"/>
      <c r="L91" s="561"/>
      <c r="M91" s="562"/>
      <c r="N91" s="1155"/>
      <c r="O91" s="1155"/>
      <c r="P91" s="2631"/>
      <c r="Q91" s="558"/>
    </row>
    <row r="92" spans="1:17" ht="15.75" thickTop="1">
      <c r="A92" s="533"/>
      <c r="B92" s="537">
        <f>B28</f>
        <v>111</v>
      </c>
      <c r="C92" s="553"/>
      <c r="D92" s="553"/>
      <c r="E92" s="553"/>
      <c r="F92" s="553"/>
      <c r="G92" s="582"/>
      <c r="H92" s="582"/>
      <c r="I92" s="582"/>
      <c r="J92" s="582"/>
      <c r="K92" s="583"/>
      <c r="L92" s="584"/>
      <c r="M92" s="585"/>
      <c r="N92" s="1153"/>
      <c r="O92" s="1153"/>
      <c r="P92" s="2630"/>
      <c r="Q92" s="503"/>
    </row>
    <row r="93" spans="1:17" ht="15.75" thickBot="1">
      <c r="A93" s="533"/>
      <c r="B93" s="542"/>
      <c r="C93" s="559"/>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59"/>
      <c r="E95" s="559"/>
      <c r="F95" s="559"/>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69"/>
      <c r="D97" s="569"/>
      <c r="E97" s="569"/>
      <c r="F97" s="569"/>
      <c r="G97" s="535"/>
      <c r="H97" s="535"/>
      <c r="I97" s="535"/>
      <c r="J97" s="535"/>
      <c r="K97" s="535"/>
      <c r="L97" s="535"/>
      <c r="M97" s="536"/>
      <c r="N97" s="1154"/>
      <c r="O97" s="1154"/>
      <c r="P97" s="2630"/>
      <c r="Q97" s="503"/>
    </row>
    <row r="98" spans="1:17" ht="15.75" thickTop="1">
      <c r="A98" s="533"/>
      <c r="B98" s="545">
        <f>B31</f>
        <v>111</v>
      </c>
      <c r="C98" s="586"/>
      <c r="D98" s="586"/>
      <c r="E98" s="586"/>
      <c r="F98" s="586"/>
      <c r="G98" s="586"/>
      <c r="H98" s="586"/>
      <c r="I98" s="586"/>
      <c r="J98" s="586"/>
      <c r="K98" s="587"/>
      <c r="L98" s="588"/>
      <c r="M98" s="589"/>
      <c r="N98" s="1153"/>
      <c r="O98" s="1153"/>
      <c r="P98" s="2630"/>
      <c r="Q98" s="503"/>
    </row>
    <row r="99" spans="1:17" ht="15.75" thickBot="1">
      <c r="A99" s="2636"/>
      <c r="B99" s="568"/>
      <c r="C99" s="590"/>
      <c r="D99" s="590"/>
      <c r="E99" s="590"/>
      <c r="F99" s="590"/>
      <c r="G99" s="590"/>
      <c r="H99" s="590"/>
      <c r="I99" s="590"/>
      <c r="J99" s="590"/>
      <c r="K99" s="590"/>
      <c r="L99" s="590"/>
      <c r="M99" s="591"/>
      <c r="N99" s="1154"/>
      <c r="O99" s="1154"/>
      <c r="P99" s="2630"/>
      <c r="Q99" s="503"/>
    </row>
    <row r="100" spans="1:17">
      <c r="A100" s="526" t="s">
        <v>2550</v>
      </c>
      <c r="B100" s="527" t="s">
        <v>2599</v>
      </c>
      <c r="C100" s="529"/>
      <c r="D100" s="529"/>
      <c r="E100" s="529"/>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0"/>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0"/>
      <c r="Q102" s="503"/>
    </row>
    <row r="103" spans="1:17" s="470" customFormat="1">
      <c r="A103" s="592"/>
      <c r="B103" s="593"/>
      <c r="C103" s="594"/>
      <c r="D103" s="594"/>
      <c r="E103" s="594"/>
      <c r="F103" s="594"/>
      <c r="G103" s="594"/>
      <c r="H103" s="594"/>
      <c r="I103" s="594"/>
      <c r="J103" s="595"/>
      <c r="K103" s="595"/>
      <c r="L103" s="596"/>
      <c r="M103" s="597"/>
      <c r="N103" s="1155"/>
      <c r="O103" s="1155"/>
      <c r="P103" s="2631"/>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1"/>
      <c r="Q104" s="558"/>
    </row>
    <row r="105" spans="1:17" ht="15" thickTop="1">
      <c r="A105" s="598"/>
      <c r="B105" s="537" t="s">
        <v>2601</v>
      </c>
      <c r="C105" s="553"/>
      <c r="D105" s="553"/>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0"/>
      <c r="Q106" s="503"/>
    </row>
    <row r="107" spans="1:17" ht="15" thickTop="1">
      <c r="A107" s="598"/>
      <c r="B107" s="537" t="s">
        <v>2602</v>
      </c>
      <c r="C107" s="582"/>
      <c r="D107" s="582"/>
      <c r="E107" s="582"/>
      <c r="F107" s="582"/>
      <c r="G107" s="582"/>
      <c r="H107" s="582"/>
      <c r="I107" s="582"/>
      <c r="J107" s="582"/>
      <c r="K107" s="583"/>
      <c r="L107" s="584"/>
      <c r="M107" s="585"/>
      <c r="N107" s="1153"/>
      <c r="O107" s="1153"/>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0"/>
      <c r="Q108" s="503"/>
    </row>
    <row r="109" spans="1:17" ht="15" thickTop="1">
      <c r="A109" s="598"/>
      <c r="B109" s="537" t="s">
        <v>2603</v>
      </c>
      <c r="C109" s="553"/>
      <c r="D109" s="553"/>
      <c r="E109" s="553"/>
      <c r="F109" s="582"/>
      <c r="G109" s="582"/>
      <c r="H109" s="582"/>
      <c r="I109" s="582"/>
      <c r="J109" s="582"/>
      <c r="K109" s="583"/>
      <c r="L109" s="584"/>
      <c r="M109" s="585"/>
      <c r="N109" s="1153"/>
      <c r="O109" s="1153"/>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1"/>
      <c r="Q113" s="558"/>
    </row>
    <row r="114" spans="1:17" ht="15" thickTop="1">
      <c r="A114" s="598"/>
      <c r="B114" s="537" t="s">
        <v>2604</v>
      </c>
      <c r="C114" s="553"/>
      <c r="D114" s="553"/>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0"/>
      <c r="Q115" s="503"/>
    </row>
    <row r="116" spans="1:17" ht="15" thickTop="1">
      <c r="A116" s="598"/>
      <c r="B116" s="537" t="s">
        <v>2605</v>
      </c>
      <c r="C116" s="553"/>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0"/>
      <c r="Q117" s="503"/>
    </row>
    <row r="118" spans="1:17" ht="15" thickTop="1">
      <c r="A118" s="598"/>
      <c r="B118" s="537" t="s">
        <v>2606</v>
      </c>
      <c r="C118" s="582"/>
      <c r="D118" s="582"/>
      <c r="E118" s="582"/>
      <c r="F118" s="582"/>
      <c r="G118" s="582"/>
      <c r="H118" s="582"/>
      <c r="I118" s="582"/>
      <c r="J118" s="582"/>
      <c r="K118" s="583"/>
      <c r="L118" s="584"/>
      <c r="M118" s="585"/>
      <c r="N118" s="1153"/>
      <c r="O118" s="1153"/>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0"/>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3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1"/>
      <c r="Q121" s="558"/>
    </row>
    <row r="122" spans="1:17" ht="15" thickTop="1">
      <c r="A122" s="598"/>
      <c r="B122" s="537" t="s">
        <v>2607</v>
      </c>
      <c r="C122" s="553"/>
      <c r="D122" s="553"/>
      <c r="E122" s="553"/>
      <c r="F122" s="582"/>
      <c r="G122" s="582"/>
      <c r="H122" s="582"/>
      <c r="I122" s="582"/>
      <c r="J122" s="582"/>
      <c r="K122" s="583"/>
      <c r="L122" s="584"/>
      <c r="M122" s="585"/>
      <c r="N122" s="1153"/>
      <c r="O122" s="1153"/>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59"/>
      <c r="E129" s="559"/>
      <c r="F129" s="559"/>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5" t="s">
        <v>2612</v>
      </c>
      <c r="D138" s="145" t="s">
        <v>2613</v>
      </c>
      <c r="E138" s="2645" t="s">
        <v>2614</v>
      </c>
      <c r="F138" s="2646" t="s">
        <v>2615</v>
      </c>
      <c r="G138" s="145" t="s">
        <v>2613</v>
      </c>
      <c r="H138" s="146" t="s">
        <v>2614</v>
      </c>
      <c r="I138" s="2647"/>
      <c r="J138" s="145" t="s">
        <v>2616</v>
      </c>
      <c r="K138" s="146" t="s">
        <v>2617</v>
      </c>
    </row>
    <row r="139" spans="1:17" ht="15">
      <c r="B139" s="1085">
        <v>6</v>
      </c>
      <c r="C139" s="1086">
        <v>96</v>
      </c>
      <c r="D139" s="2648" t="s">
        <v>2618</v>
      </c>
      <c r="E139" s="1087">
        <v>100</v>
      </c>
      <c r="F139" s="1088">
        <v>102.5</v>
      </c>
      <c r="G139" s="2648" t="s">
        <v>2618</v>
      </c>
      <c r="H139" s="1089">
        <v>105</v>
      </c>
      <c r="I139" s="2649" t="s">
        <v>2619</v>
      </c>
      <c r="J139" s="1086">
        <v>20</v>
      </c>
      <c r="K139" s="1090">
        <f>C145/(J139-2)</f>
        <v>4.0555555555555553E-3</v>
      </c>
    </row>
    <row r="140" spans="1:17" ht="15">
      <c r="B140" s="1091">
        <v>5</v>
      </c>
      <c r="C140" s="1092">
        <v>100</v>
      </c>
      <c r="D140" s="1092"/>
      <c r="E140" s="1093"/>
      <c r="F140" s="1094">
        <v>102</v>
      </c>
      <c r="G140" s="1092"/>
      <c r="H140" s="1095"/>
      <c r="I140" s="2650" t="s">
        <v>2620</v>
      </c>
      <c r="J140" s="314">
        <f>ROUNDUP((J139-1)/2,0)</f>
        <v>10</v>
      </c>
      <c r="K140" s="1096">
        <v>100</v>
      </c>
    </row>
    <row r="141" spans="1:17" ht="15">
      <c r="B141" s="1091">
        <v>4</v>
      </c>
      <c r="C141" s="1092">
        <v>102</v>
      </c>
      <c r="D141" s="1092"/>
      <c r="E141" s="1093"/>
      <c r="F141" s="1094">
        <v>101.5</v>
      </c>
      <c r="G141" s="1092"/>
      <c r="H141" s="1095"/>
      <c r="I141" s="2650" t="s">
        <v>2621</v>
      </c>
      <c r="J141" s="314">
        <v>1</v>
      </c>
      <c r="K141" s="1097">
        <f>ROUND(100+(J141-J140)*K139*100,1)</f>
        <v>96.4</v>
      </c>
    </row>
    <row r="142" spans="1:17" ht="15">
      <c r="B142" s="1091">
        <v>3</v>
      </c>
      <c r="C142" s="1092">
        <v>103</v>
      </c>
      <c r="D142" s="1092"/>
      <c r="E142" s="1093"/>
      <c r="F142" s="1094">
        <v>101</v>
      </c>
      <c r="G142" s="1092"/>
      <c r="H142" s="1095"/>
      <c r="I142" s="2650" t="s">
        <v>2622</v>
      </c>
      <c r="J142" s="314">
        <f>J139</f>
        <v>20</v>
      </c>
      <c r="K142" s="1098">
        <v>95</v>
      </c>
    </row>
    <row r="143" spans="1:17" ht="15">
      <c r="B143" s="1091">
        <v>2</v>
      </c>
      <c r="C143" s="1092">
        <v>100</v>
      </c>
      <c r="D143" s="1092"/>
      <c r="E143" s="1093"/>
      <c r="F143" s="1094">
        <v>100.5</v>
      </c>
      <c r="G143" s="1092"/>
      <c r="H143" s="1095"/>
      <c r="I143" s="2650" t="s">
        <v>2623</v>
      </c>
      <c r="J143" s="1092">
        <v>15</v>
      </c>
      <c r="K143" s="1097">
        <f>ROUND(100+(J143-J140)*K139*100,1)</f>
        <v>102</v>
      </c>
    </row>
    <row r="144" spans="1:17" ht="15">
      <c r="B144" s="1091">
        <v>1</v>
      </c>
      <c r="C144" s="1092">
        <v>98</v>
      </c>
      <c r="D144" s="2651" t="s">
        <v>2624</v>
      </c>
      <c r="E144" s="1093">
        <v>102</v>
      </c>
      <c r="F144" s="1099">
        <v>100</v>
      </c>
      <c r="G144" s="2651" t="s">
        <v>2624</v>
      </c>
      <c r="H144" s="1095">
        <v>105</v>
      </c>
      <c r="I144" s="2650" t="s">
        <v>2623</v>
      </c>
      <c r="J144" s="1092">
        <v>18</v>
      </c>
      <c r="K144" s="1097">
        <f>ROUND(100+(J144-J140)*K139*100,1)</f>
        <v>103.2</v>
      </c>
    </row>
    <row r="145" spans="2:11" ht="15.75" thickBot="1">
      <c r="B145" s="2652" t="s">
        <v>2625</v>
      </c>
      <c r="C145" s="1100">
        <f>ROUND(MAX(C139:C144)/MIN(C139:C144)-1,3)</f>
        <v>7.2999999999999995E-2</v>
      </c>
      <c r="D145" s="1101"/>
      <c r="E145" s="1101"/>
      <c r="F145" s="2653" t="s">
        <v>2626</v>
      </c>
      <c r="G145" s="2654"/>
      <c r="H145" s="2655"/>
      <c r="I145" s="2656" t="s">
        <v>2623</v>
      </c>
      <c r="J145" s="1102">
        <v>8</v>
      </c>
      <c r="K145" s="1103">
        <f>ROUND(100+(J145-J140)*K139*100,1)</f>
        <v>99.2</v>
      </c>
    </row>
    <row r="147" spans="2:11">
      <c r="B147" s="2637" t="s">
        <v>2627</v>
      </c>
    </row>
    <row r="148" spans="2:11">
      <c r="B148" s="263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2673</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86"/>
      <c r="D2" s="1366"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IF(C2="——",C50,ROUND(B2*10000/D3,0))</f>
        <v>#DIV/0!</v>
      </c>
      <c r="C3" s="399" t="s">
        <v>2631</v>
      </c>
      <c r="D3" s="398">
        <f>IF(D1="",'数据-汇总表'!E3,SUMIF('数据-汇总表'!$C19:$C33,D1,'数据-汇总表'!$E19:$E33))</f>
        <v>16365.18</v>
      </c>
      <c r="E3" s="2663"/>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98" t="s">
        <v>2638</v>
      </c>
      <c r="Q4" s="3299"/>
      <c r="R4" s="3302" t="s">
        <v>2634</v>
      </c>
      <c r="S4" s="3303"/>
      <c r="T4" s="3302" t="s">
        <v>2635</v>
      </c>
      <c r="U4" s="3303"/>
      <c r="V4" s="3304" t="s">
        <v>2636</v>
      </c>
      <c r="W4" s="3304"/>
      <c r="X4" s="2670"/>
      <c r="Y4" s="3302" t="s">
        <v>2638</v>
      </c>
      <c r="Z4" s="3303"/>
      <c r="AA4" s="3306" t="s">
        <v>2634</v>
      </c>
      <c r="AB4" s="3306" t="s">
        <v>2635</v>
      </c>
      <c r="AC4" s="3295" t="s">
        <v>2636</v>
      </c>
    </row>
    <row r="5" spans="1:29" ht="15">
      <c r="A5" s="403"/>
      <c r="B5" s="404"/>
      <c r="C5" s="3265" t="s">
        <v>2529</v>
      </c>
      <c r="D5" s="3248"/>
      <c r="E5" s="3291" t="s">
        <v>2530</v>
      </c>
      <c r="F5" s="3254"/>
      <c r="G5" s="3265" t="s">
        <v>2531</v>
      </c>
      <c r="H5" s="3248"/>
      <c r="I5" s="3265" t="s">
        <v>2532</v>
      </c>
      <c r="J5" s="3248"/>
      <c r="K5" s="609"/>
      <c r="L5" s="1131"/>
      <c r="M5" s="1132"/>
      <c r="N5" s="1132"/>
      <c r="O5" s="1132"/>
      <c r="P5" s="3300"/>
      <c r="Q5" s="3236"/>
      <c r="R5" s="3241"/>
      <c r="S5" s="3242"/>
      <c r="T5" s="3241"/>
      <c r="U5" s="3242"/>
      <c r="V5" s="3224"/>
      <c r="W5" s="3224"/>
      <c r="X5" s="1813"/>
      <c r="Y5" s="3241"/>
      <c r="Z5" s="3242"/>
      <c r="AA5" s="3227"/>
      <c r="AB5" s="3227"/>
      <c r="AC5" s="3296"/>
    </row>
    <row r="6" spans="1:29" ht="15.75" thickBot="1">
      <c r="A6" s="405"/>
      <c r="B6" s="406"/>
      <c r="C6" s="3288" t="s">
        <v>2533</v>
      </c>
      <c r="D6" s="3246"/>
      <c r="E6" s="3289" t="s">
        <v>2533</v>
      </c>
      <c r="F6" s="3290"/>
      <c r="G6" s="3288" t="s">
        <v>2533</v>
      </c>
      <c r="H6" s="3246"/>
      <c r="I6" s="3288" t="s">
        <v>2533</v>
      </c>
      <c r="J6" s="3246"/>
      <c r="K6" s="609" t="s">
        <v>2534</v>
      </c>
      <c r="L6" s="1131"/>
      <c r="M6" s="1132"/>
      <c r="N6" s="1132"/>
      <c r="O6" s="1132"/>
      <c r="P6" s="3301"/>
      <c r="Q6" s="3238"/>
      <c r="R6" s="3241"/>
      <c r="S6" s="3242"/>
      <c r="T6" s="3243"/>
      <c r="U6" s="3244"/>
      <c r="V6" s="3224"/>
      <c r="W6" s="3224"/>
      <c r="X6" s="1813"/>
      <c r="Y6" s="3243"/>
      <c r="Z6" s="3244"/>
      <c r="AA6" s="3228"/>
      <c r="AB6" s="3228"/>
      <c r="AC6" s="3297"/>
    </row>
    <row r="7" spans="1:29" s="116" customFormat="1" ht="15.75" thickBot="1">
      <c r="A7" s="407" t="s">
        <v>2535</v>
      </c>
      <c r="B7" s="408"/>
      <c r="C7" s="409">
        <f>'数据-取费表'!B2</f>
        <v>43344</v>
      </c>
      <c r="D7" s="410">
        <v>100</v>
      </c>
      <c r="E7" s="411"/>
      <c r="F7" s="412">
        <f>SUMIF(59:59,YEAR(E7)&amp;"-"&amp;MONTH(E7),60:60)</f>
        <v>0</v>
      </c>
      <c r="G7" s="411"/>
      <c r="H7" s="410">
        <f>SUMIF(59:59,YEAR(G7)&amp;"-"&amp;MONTH(G7),60:60)</f>
        <v>0</v>
      </c>
      <c r="I7" s="411"/>
      <c r="J7" s="410">
        <f>SUMIF(59:59,YEAR(I7)&amp;"-"&amp;MONTH(I7),60:60)</f>
        <v>0</v>
      </c>
      <c r="K7" s="610"/>
      <c r="L7" s="1133"/>
      <c r="M7" s="1134"/>
      <c r="N7" s="1134"/>
      <c r="O7" s="1134"/>
      <c r="P7" s="3305" t="s">
        <v>2536</v>
      </c>
      <c r="Q7" s="3251"/>
      <c r="R7" s="768" t="s">
        <v>17</v>
      </c>
      <c r="S7" s="769">
        <f t="shared" ref="S7:S15" si="0">F7</f>
        <v>0</v>
      </c>
      <c r="T7" s="768" t="s">
        <v>17</v>
      </c>
      <c r="U7" s="769">
        <f t="shared" ref="U7:U15" si="1">H7</f>
        <v>0</v>
      </c>
      <c r="V7" s="768" t="s">
        <v>17</v>
      </c>
      <c r="W7" s="769">
        <f t="shared" ref="W7:W15" si="2">J7</f>
        <v>0</v>
      </c>
      <c r="X7" s="770"/>
      <c r="Y7" s="3249" t="s">
        <v>2536</v>
      </c>
      <c r="Z7" s="3250"/>
      <c r="AA7" s="771" t="e">
        <f>D7/F7</f>
        <v>#DIV/0!</v>
      </c>
      <c r="AB7" s="771" t="e">
        <f>D7/H7</f>
        <v>#DIV/0!</v>
      </c>
      <c r="AC7" s="2671"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305" t="s">
        <v>2539</v>
      </c>
      <c r="Q8" s="3250"/>
      <c r="R8" s="768" t="s">
        <v>17</v>
      </c>
      <c r="S8" s="769">
        <f t="shared" si="0"/>
        <v>0</v>
      </c>
      <c r="T8" s="768" t="s">
        <v>17</v>
      </c>
      <c r="U8" s="769">
        <f t="shared" si="1"/>
        <v>0</v>
      </c>
      <c r="V8" s="768" t="s">
        <v>17</v>
      </c>
      <c r="W8" s="769">
        <f t="shared" si="2"/>
        <v>0</v>
      </c>
      <c r="X8" s="770"/>
      <c r="Y8" s="3249" t="s">
        <v>2539</v>
      </c>
      <c r="Z8" s="3250"/>
      <c r="AA8" s="771" t="e">
        <f t="shared" ref="AA8:AA47" si="3">D8/F8</f>
        <v>#DIV/0!</v>
      </c>
      <c r="AB8" s="771" t="e">
        <f t="shared" ref="AB8:AB47" si="4">D8/H8</f>
        <v>#DIV/0!</v>
      </c>
      <c r="AC8" s="2671" t="e">
        <f t="shared" ref="AC8:AC47" si="5">D8/J8</f>
        <v>#DIV/0!</v>
      </c>
    </row>
    <row r="9" spans="1:29" s="116" customFormat="1">
      <c r="A9" s="414" t="s">
        <v>2540</v>
      </c>
      <c r="B9" s="70" t="s">
        <v>2541</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5"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2671">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5"/>
      <c r="Q10" s="1795" t="str">
        <f t="shared" si="6"/>
        <v>土地使用年限（年）</v>
      </c>
      <c r="R10" s="768" t="s">
        <v>17</v>
      </c>
      <c r="S10" s="769">
        <f t="shared" si="0"/>
        <v>100</v>
      </c>
      <c r="T10" s="768" t="s">
        <v>17</v>
      </c>
      <c r="U10" s="769">
        <f t="shared" si="1"/>
        <v>100</v>
      </c>
      <c r="V10" s="768" t="s">
        <v>17</v>
      </c>
      <c r="W10" s="769">
        <f t="shared" si="2"/>
        <v>100</v>
      </c>
      <c r="X10" s="770"/>
      <c r="Y10" s="3065"/>
      <c r="Z10" s="54" t="str">
        <f t="shared" si="7"/>
        <v>土地使用年限（年）</v>
      </c>
      <c r="AA10" s="771">
        <f t="shared" si="3"/>
        <v>1</v>
      </c>
      <c r="AB10" s="771">
        <f t="shared" si="4"/>
        <v>1</v>
      </c>
      <c r="AC10" s="2671">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5"/>
      <c r="Q11" s="1795" t="str">
        <f t="shared" si="6"/>
        <v>容积率</v>
      </c>
      <c r="R11" s="768" t="s">
        <v>17</v>
      </c>
      <c r="S11" s="769" t="e">
        <f t="shared" si="0"/>
        <v>#N/A</v>
      </c>
      <c r="T11" s="768" t="s">
        <v>17</v>
      </c>
      <c r="U11" s="769" t="e">
        <f t="shared" si="1"/>
        <v>#N/A</v>
      </c>
      <c r="V11" s="768" t="s">
        <v>17</v>
      </c>
      <c r="W11" s="769" t="e">
        <f t="shared" si="2"/>
        <v>#N/A</v>
      </c>
      <c r="X11" s="770"/>
      <c r="Y11" s="3065"/>
      <c r="Z11" s="54" t="str">
        <f t="shared" si="7"/>
        <v>容积率</v>
      </c>
      <c r="AA11" s="771" t="e">
        <f t="shared" si="3"/>
        <v>#N/A</v>
      </c>
      <c r="AB11" s="771"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3"/>
      <c r="M12" s="1134"/>
      <c r="N12" s="1134"/>
      <c r="O12" s="1134"/>
      <c r="P12" s="3225"/>
      <c r="Q12" s="1795">
        <f t="shared" si="6"/>
        <v>111</v>
      </c>
      <c r="R12" s="768" t="s">
        <v>17</v>
      </c>
      <c r="S12" s="769">
        <f t="shared" si="0"/>
        <v>100</v>
      </c>
      <c r="T12" s="768" t="s">
        <v>17</v>
      </c>
      <c r="U12" s="769">
        <f t="shared" si="1"/>
        <v>100</v>
      </c>
      <c r="V12" s="768" t="s">
        <v>17</v>
      </c>
      <c r="W12" s="769">
        <f t="shared" si="2"/>
        <v>100</v>
      </c>
      <c r="X12" s="770"/>
      <c r="Y12" s="3065"/>
      <c r="Z12" s="54">
        <f t="shared" si="7"/>
        <v>111</v>
      </c>
      <c r="AA12" s="771">
        <f>D12/F12</f>
        <v>1</v>
      </c>
      <c r="AB12" s="771">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1"/>
      <c r="M13" s="1132"/>
      <c r="N13" s="1132"/>
      <c r="O13" s="1132"/>
      <c r="P13" s="3225"/>
      <c r="Q13" s="1795">
        <f t="shared" si="6"/>
        <v>111</v>
      </c>
      <c r="R13" s="768" t="s">
        <v>17</v>
      </c>
      <c r="S13" s="769">
        <f t="shared" si="0"/>
        <v>100</v>
      </c>
      <c r="T13" s="768" t="s">
        <v>17</v>
      </c>
      <c r="U13" s="769">
        <f t="shared" si="1"/>
        <v>100</v>
      </c>
      <c r="V13" s="768" t="s">
        <v>17</v>
      </c>
      <c r="W13" s="769">
        <f t="shared" si="2"/>
        <v>100</v>
      </c>
      <c r="X13" s="770"/>
      <c r="Y13" s="3065"/>
      <c r="Z13" s="54">
        <f t="shared" si="7"/>
        <v>111</v>
      </c>
      <c r="AA13" s="771">
        <f t="shared" si="3"/>
        <v>1</v>
      </c>
      <c r="AB13" s="771">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1"/>
      <c r="M14" s="1132"/>
      <c r="N14" s="1132"/>
      <c r="O14" s="1132"/>
      <c r="P14" s="3225"/>
      <c r="Q14" s="1795">
        <f t="shared" si="6"/>
        <v>111</v>
      </c>
      <c r="R14" s="768" t="s">
        <v>17</v>
      </c>
      <c r="S14" s="769">
        <f t="shared" si="0"/>
        <v>100</v>
      </c>
      <c r="T14" s="768" t="s">
        <v>17</v>
      </c>
      <c r="U14" s="769">
        <f t="shared" si="1"/>
        <v>100</v>
      </c>
      <c r="V14" s="768" t="s">
        <v>17</v>
      </c>
      <c r="W14" s="769">
        <f t="shared" si="2"/>
        <v>100</v>
      </c>
      <c r="X14" s="770"/>
      <c r="Y14" s="3065"/>
      <c r="Z14" s="54">
        <f t="shared" si="7"/>
        <v>111</v>
      </c>
      <c r="AA14" s="771">
        <f t="shared" si="3"/>
        <v>1</v>
      </c>
      <c r="AB14" s="771">
        <f t="shared" si="4"/>
        <v>1</v>
      </c>
      <c r="AC14" s="2671">
        <f t="shared" si="5"/>
        <v>1</v>
      </c>
    </row>
    <row r="15" spans="1:29" ht="15">
      <c r="A15" s="439" t="s">
        <v>2546</v>
      </c>
      <c r="B15" s="628" t="s">
        <v>2674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5" t="s">
        <v>2547</v>
      </c>
      <c r="Q15" s="1810" t="str">
        <f t="shared" si="6"/>
        <v>办公集聚程度</v>
      </c>
      <c r="R15" s="772" t="s">
        <v>17</v>
      </c>
      <c r="S15" s="773">
        <f t="shared" si="0"/>
        <v>100</v>
      </c>
      <c r="T15" s="772" t="s">
        <v>17</v>
      </c>
      <c r="U15" s="773">
        <f t="shared" si="1"/>
        <v>100</v>
      </c>
      <c r="V15" s="772" t="s">
        <v>17</v>
      </c>
      <c r="W15" s="773">
        <f t="shared" si="2"/>
        <v>100</v>
      </c>
      <c r="X15" s="1813"/>
      <c r="Y15" s="3217" t="s">
        <v>2547</v>
      </c>
      <c r="Z15" s="1814" t="str">
        <f t="shared" si="7"/>
        <v>办公集聚程度</v>
      </c>
      <c r="AA15" s="1811">
        <f t="shared" si="3"/>
        <v>1</v>
      </c>
      <c r="AB15" s="1811">
        <f t="shared" si="4"/>
        <v>1</v>
      </c>
      <c r="AC15" s="2674">
        <f t="shared" si="5"/>
        <v>1</v>
      </c>
    </row>
    <row r="16" spans="1:29" ht="15">
      <c r="A16" s="427"/>
      <c r="B16" s="629"/>
      <c r="C16" s="2611"/>
      <c r="D16" s="447"/>
      <c r="E16" s="446"/>
      <c r="F16" s="447"/>
      <c r="G16" s="2611"/>
      <c r="H16" s="449"/>
      <c r="I16" s="446"/>
      <c r="J16" s="447"/>
      <c r="K16" s="614"/>
      <c r="L16" s="1141"/>
      <c r="M16" s="1132"/>
      <c r="N16" s="1132"/>
      <c r="O16" s="1132"/>
      <c r="P16" s="3216"/>
      <c r="Q16" s="1810"/>
      <c r="R16" s="772"/>
      <c r="S16" s="773"/>
      <c r="T16" s="772"/>
      <c r="U16" s="773"/>
      <c r="V16" s="772"/>
      <c r="W16" s="773"/>
      <c r="X16" s="1813"/>
      <c r="Y16" s="3218"/>
      <c r="Z16" s="1814"/>
      <c r="AA16" s="1811">
        <v>1</v>
      </c>
      <c r="AB16" s="1811">
        <v>1</v>
      </c>
      <c r="AC16" s="2674">
        <v>1</v>
      </c>
    </row>
    <row r="17" spans="1:29" ht="15">
      <c r="A17" s="427"/>
      <c r="B17" s="630" t="s">
        <v>2089</v>
      </c>
      <c r="C17" s="267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16"/>
      <c r="Q17" s="1810" t="str">
        <f>B17</f>
        <v>交通便捷度</v>
      </c>
      <c r="R17" s="772" t="s">
        <v>17</v>
      </c>
      <c r="S17" s="773">
        <f>F17</f>
        <v>100</v>
      </c>
      <c r="T17" s="772" t="s">
        <v>17</v>
      </c>
      <c r="U17" s="773">
        <f>H17</f>
        <v>100</v>
      </c>
      <c r="V17" s="772" t="s">
        <v>17</v>
      </c>
      <c r="W17" s="773">
        <f>J17</f>
        <v>100</v>
      </c>
      <c r="X17" s="1813"/>
      <c r="Y17" s="3218"/>
      <c r="Z17" s="1814" t="str">
        <f>Q17</f>
        <v>交通便捷度</v>
      </c>
      <c r="AA17" s="1811">
        <f t="shared" si="3"/>
        <v>1</v>
      </c>
      <c r="AB17" s="1811">
        <f t="shared" si="4"/>
        <v>1</v>
      </c>
      <c r="AC17" s="2674">
        <f t="shared" si="5"/>
        <v>1</v>
      </c>
    </row>
    <row r="18" spans="1:29" ht="15">
      <c r="A18" s="427"/>
      <c r="B18" s="631"/>
      <c r="C18" s="2676"/>
      <c r="D18" s="449"/>
      <c r="E18" s="2609"/>
      <c r="F18" s="449"/>
      <c r="G18" s="2610"/>
      <c r="H18" s="447"/>
      <c r="I18" s="2610"/>
      <c r="J18" s="447"/>
      <c r="K18" s="614"/>
      <c r="L18" s="1141"/>
      <c r="M18" s="1132"/>
      <c r="N18" s="1132"/>
      <c r="O18" s="1132"/>
      <c r="P18" s="3216"/>
      <c r="Q18" s="1810"/>
      <c r="R18" s="772"/>
      <c r="S18" s="773"/>
      <c r="T18" s="772"/>
      <c r="U18" s="773"/>
      <c r="V18" s="772"/>
      <c r="W18" s="773"/>
      <c r="X18" s="1813"/>
      <c r="Y18" s="3218"/>
      <c r="Z18" s="1814"/>
      <c r="AA18" s="1811">
        <v>1</v>
      </c>
      <c r="AB18" s="1811">
        <v>1</v>
      </c>
      <c r="AC18" s="2674">
        <v>1</v>
      </c>
    </row>
    <row r="19" spans="1:29" ht="15">
      <c r="A19" s="427"/>
      <c r="B19" s="630" t="s">
        <v>2675</v>
      </c>
      <c r="C19" s="267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16"/>
      <c r="Q19" s="1810" t="str">
        <f>B19</f>
        <v>公共配套设施</v>
      </c>
      <c r="R19" s="772" t="s">
        <v>17</v>
      </c>
      <c r="S19" s="773">
        <f>F19</f>
        <v>100</v>
      </c>
      <c r="T19" s="772" t="s">
        <v>17</v>
      </c>
      <c r="U19" s="773">
        <f>H19</f>
        <v>100</v>
      </c>
      <c r="V19" s="772" t="s">
        <v>17</v>
      </c>
      <c r="W19" s="773">
        <f>J19</f>
        <v>100</v>
      </c>
      <c r="X19" s="1813"/>
      <c r="Y19" s="3218"/>
      <c r="Z19" s="1814" t="str">
        <f>Q19</f>
        <v>公共配套设施</v>
      </c>
      <c r="AA19" s="1811">
        <f t="shared" si="3"/>
        <v>1</v>
      </c>
      <c r="AB19" s="1811">
        <f t="shared" si="4"/>
        <v>1</v>
      </c>
      <c r="AC19" s="2674">
        <f t="shared" si="5"/>
        <v>1</v>
      </c>
    </row>
    <row r="20" spans="1:29" ht="15">
      <c r="A20" s="427"/>
      <c r="B20" s="631"/>
      <c r="C20" s="2611"/>
      <c r="D20" s="447"/>
      <c r="E20" s="2604"/>
      <c r="F20" s="447"/>
      <c r="G20" s="2605"/>
      <c r="H20" s="447"/>
      <c r="I20" s="2605"/>
      <c r="J20" s="447"/>
      <c r="K20" s="614"/>
      <c r="L20" s="1141"/>
      <c r="M20" s="1132"/>
      <c r="N20" s="1132"/>
      <c r="O20" s="1132"/>
      <c r="P20" s="3216"/>
      <c r="Q20" s="1810"/>
      <c r="R20" s="772"/>
      <c r="S20" s="773"/>
      <c r="T20" s="772"/>
      <c r="U20" s="773"/>
      <c r="V20" s="772"/>
      <c r="W20" s="773"/>
      <c r="X20" s="1813"/>
      <c r="Y20" s="3218"/>
      <c r="Z20" s="1814"/>
      <c r="AA20" s="1811">
        <v>1</v>
      </c>
      <c r="AB20" s="1811">
        <v>1</v>
      </c>
      <c r="AC20" s="2674">
        <v>1</v>
      </c>
    </row>
    <row r="21" spans="1:29" ht="15">
      <c r="A21" s="427"/>
      <c r="B21" s="632" t="s">
        <v>2676</v>
      </c>
      <c r="C21" s="267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16"/>
      <c r="Q21" s="1810" t="str">
        <f>B21</f>
        <v>基础设施水平</v>
      </c>
      <c r="R21" s="772" t="s">
        <v>17</v>
      </c>
      <c r="S21" s="773">
        <f>F21</f>
        <v>100</v>
      </c>
      <c r="T21" s="772" t="s">
        <v>17</v>
      </c>
      <c r="U21" s="773">
        <f>H21</f>
        <v>100</v>
      </c>
      <c r="V21" s="772" t="s">
        <v>17</v>
      </c>
      <c r="W21" s="773">
        <f>J21</f>
        <v>100</v>
      </c>
      <c r="X21" s="1813"/>
      <c r="Y21" s="3218"/>
      <c r="Z21" s="1814" t="str">
        <f>Q21</f>
        <v>基础设施水平</v>
      </c>
      <c r="AA21" s="1811">
        <f t="shared" ref="AA21" si="8">D21/F21</f>
        <v>1</v>
      </c>
      <c r="AB21" s="1811">
        <f t="shared" ref="AB21" si="9">D21/H21</f>
        <v>1</v>
      </c>
      <c r="AC21" s="2674">
        <f t="shared" ref="AC21" si="10">D21/J21</f>
        <v>1</v>
      </c>
    </row>
    <row r="22" spans="1:29" ht="15">
      <c r="A22" s="427"/>
      <c r="B22" s="632"/>
      <c r="C22" s="2676"/>
      <c r="D22" s="447"/>
      <c r="E22" s="446"/>
      <c r="F22" s="447"/>
      <c r="G22" s="2611"/>
      <c r="H22" s="447"/>
      <c r="I22" s="2611"/>
      <c r="J22" s="447"/>
      <c r="K22" s="1384"/>
      <c r="L22" s="1141"/>
      <c r="M22" s="1132"/>
      <c r="N22" s="1132"/>
      <c r="O22" s="1132"/>
      <c r="P22" s="3216"/>
      <c r="Q22" s="1810"/>
      <c r="R22" s="772"/>
      <c r="S22" s="773"/>
      <c r="T22" s="772"/>
      <c r="U22" s="773"/>
      <c r="V22" s="772"/>
      <c r="W22" s="773"/>
      <c r="X22" s="1813"/>
      <c r="Y22" s="3218"/>
      <c r="Z22" s="1814"/>
      <c r="AA22" s="1811">
        <v>1</v>
      </c>
      <c r="AB22" s="1811">
        <v>1</v>
      </c>
      <c r="AC22" s="2674">
        <v>1</v>
      </c>
    </row>
    <row r="23" spans="1:29" ht="15">
      <c r="A23" s="427"/>
      <c r="B23" s="630" t="s">
        <v>2677</v>
      </c>
      <c r="C23" s="267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16"/>
      <c r="Q23" s="1810" t="str">
        <f>B23</f>
        <v>环境质量</v>
      </c>
      <c r="R23" s="772" t="s">
        <v>17</v>
      </c>
      <c r="S23" s="773">
        <f>F23</f>
        <v>100</v>
      </c>
      <c r="T23" s="772" t="s">
        <v>17</v>
      </c>
      <c r="U23" s="773">
        <f>H23</f>
        <v>100</v>
      </c>
      <c r="V23" s="772" t="s">
        <v>17</v>
      </c>
      <c r="W23" s="773">
        <f>J23</f>
        <v>100</v>
      </c>
      <c r="X23" s="1813"/>
      <c r="Y23" s="3218"/>
      <c r="Z23" s="1814" t="str">
        <f>Q23</f>
        <v>环境质量</v>
      </c>
      <c r="AA23" s="1811">
        <f t="shared" si="3"/>
        <v>1</v>
      </c>
      <c r="AB23" s="1811">
        <f t="shared" si="4"/>
        <v>1</v>
      </c>
      <c r="AC23" s="2674">
        <f t="shared" si="5"/>
        <v>1</v>
      </c>
    </row>
    <row r="24" spans="1:29" ht="15">
      <c r="A24" s="427"/>
      <c r="B24" s="632"/>
      <c r="C24" s="2611"/>
      <c r="D24" s="447"/>
      <c r="E24" s="2604"/>
      <c r="F24" s="447"/>
      <c r="G24" s="2605"/>
      <c r="H24" s="447"/>
      <c r="I24" s="2605"/>
      <c r="J24" s="447"/>
      <c r="K24" s="614"/>
      <c r="L24" s="1141"/>
      <c r="M24" s="1132"/>
      <c r="N24" s="1132"/>
      <c r="O24" s="1132"/>
      <c r="P24" s="3216"/>
      <c r="Q24" s="1810"/>
      <c r="R24" s="772"/>
      <c r="S24" s="773"/>
      <c r="T24" s="772"/>
      <c r="U24" s="773"/>
      <c r="V24" s="772"/>
      <c r="W24" s="773"/>
      <c r="X24" s="1813"/>
      <c r="Y24" s="3218"/>
      <c r="Z24" s="1814"/>
      <c r="AA24" s="1811">
        <v>1</v>
      </c>
      <c r="AB24" s="1811">
        <v>1</v>
      </c>
      <c r="AC24" s="2674">
        <v>1</v>
      </c>
    </row>
    <row r="25" spans="1:29" ht="27">
      <c r="A25" s="403"/>
      <c r="B25" s="630" t="s">
        <v>2678</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16"/>
      <c r="Q25" s="1810" t="str">
        <f>B25</f>
        <v>毗邻道路的类型与等级</v>
      </c>
      <c r="R25" s="772" t="s">
        <v>17</v>
      </c>
      <c r="S25" s="773">
        <f>F25</f>
        <v>100</v>
      </c>
      <c r="T25" s="772" t="s">
        <v>17</v>
      </c>
      <c r="U25" s="773">
        <f>H25</f>
        <v>100</v>
      </c>
      <c r="V25" s="772" t="s">
        <v>17</v>
      </c>
      <c r="W25" s="773">
        <f>J25</f>
        <v>100</v>
      </c>
      <c r="X25" s="1813"/>
      <c r="Y25" s="3218"/>
      <c r="Z25" s="1814" t="str">
        <f>Q25</f>
        <v>毗邻道路的类型与等级</v>
      </c>
      <c r="AA25" s="1811">
        <f t="shared" si="3"/>
        <v>1</v>
      </c>
      <c r="AB25" s="1811">
        <f t="shared" si="4"/>
        <v>1</v>
      </c>
      <c r="AC25" s="2674">
        <f t="shared" si="5"/>
        <v>1</v>
      </c>
    </row>
    <row r="26" spans="1:29" ht="15">
      <c r="A26" s="403"/>
      <c r="B26" s="631"/>
      <c r="C26" s="633"/>
      <c r="D26" s="434"/>
      <c r="E26" s="615"/>
      <c r="F26" s="434"/>
      <c r="G26" s="633"/>
      <c r="H26" s="434"/>
      <c r="I26" s="615"/>
      <c r="J26" s="434"/>
      <c r="K26" s="614"/>
      <c r="L26" s="1141"/>
      <c r="M26" s="1132"/>
      <c r="N26" s="1132"/>
      <c r="O26" s="1132"/>
      <c r="P26" s="3216"/>
      <c r="Q26" s="1810"/>
      <c r="R26" s="772"/>
      <c r="S26" s="773"/>
      <c r="T26" s="772"/>
      <c r="U26" s="773"/>
      <c r="V26" s="772"/>
      <c r="W26" s="773"/>
      <c r="X26" s="1813"/>
      <c r="Y26" s="3218"/>
      <c r="Z26" s="1814"/>
      <c r="AA26" s="1811">
        <v>1</v>
      </c>
      <c r="AB26" s="1811">
        <v>1</v>
      </c>
      <c r="AC26" s="2674">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6"/>
      <c r="Q27" s="1810" t="str">
        <f t="shared" ref="Q27:Q47" si="11">B27</f>
        <v>楼层</v>
      </c>
      <c r="R27" s="772" t="s">
        <v>17</v>
      </c>
      <c r="S27" s="773">
        <f>F27</f>
        <v>100</v>
      </c>
      <c r="T27" s="772" t="s">
        <v>17</v>
      </c>
      <c r="U27" s="773">
        <f>H27</f>
        <v>100</v>
      </c>
      <c r="V27" s="772" t="s">
        <v>17</v>
      </c>
      <c r="W27" s="773">
        <f>J27</f>
        <v>100</v>
      </c>
      <c r="X27" s="1813"/>
      <c r="Y27" s="3218"/>
      <c r="Z27" s="1814" t="str">
        <f>Q27</f>
        <v>楼层</v>
      </c>
      <c r="AA27" s="1811">
        <f t="shared" si="3"/>
        <v>1</v>
      </c>
      <c r="AB27" s="1811">
        <f t="shared" si="4"/>
        <v>1</v>
      </c>
      <c r="AC27" s="2674">
        <f t="shared" si="5"/>
        <v>1</v>
      </c>
    </row>
    <row r="28" spans="1:29" s="116" customFormat="1" ht="15">
      <c r="A28" s="430"/>
      <c r="B28" s="630" t="s">
        <v>2679</v>
      </c>
      <c r="C28" s="2677"/>
      <c r="D28" s="461">
        <v>100</v>
      </c>
      <c r="E28" s="2665"/>
      <c r="F28" s="461">
        <f>SUMIF(91:91,E28,92:92)-SUMIF(91:91,C28,92:92)+100</f>
        <v>100</v>
      </c>
      <c r="G28" s="2677"/>
      <c r="H28" s="461">
        <f>SUMIF(91:91,G28,92:92)-SUMIF(91:91,C28,92:92)+100</f>
        <v>100</v>
      </c>
      <c r="I28" s="2665"/>
      <c r="J28" s="461">
        <f>SUMIF(91:91,I28,92:92)-SUMIF(91:91,C28,92:92)+100</f>
        <v>100</v>
      </c>
      <c r="K28" s="611"/>
      <c r="L28" s="1133"/>
      <c r="M28" s="1134"/>
      <c r="N28" s="1134"/>
      <c r="O28" s="1134"/>
      <c r="P28" s="3216"/>
      <c r="Q28" s="1795" t="str">
        <f t="shared" si="11"/>
        <v>朝向</v>
      </c>
      <c r="R28" s="768" t="s">
        <v>17</v>
      </c>
      <c r="S28" s="769">
        <f>F28</f>
        <v>100</v>
      </c>
      <c r="T28" s="768" t="s">
        <v>17</v>
      </c>
      <c r="U28" s="769">
        <f>H28</f>
        <v>100</v>
      </c>
      <c r="V28" s="768" t="s">
        <v>17</v>
      </c>
      <c r="W28" s="769">
        <f>J28</f>
        <v>100</v>
      </c>
      <c r="X28" s="770"/>
      <c r="Y28" s="3218"/>
      <c r="Z28" s="54" t="str">
        <f>Q28</f>
        <v>朝向</v>
      </c>
      <c r="AA28" s="1811">
        <f>D28/F28</f>
        <v>1</v>
      </c>
      <c r="AB28" s="1811">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1"/>
      <c r="M29" s="1132"/>
      <c r="N29" s="1132"/>
      <c r="O29" s="1132"/>
      <c r="P29" s="3216"/>
      <c r="Q29" s="1810">
        <f t="shared" si="11"/>
        <v>111</v>
      </c>
      <c r="R29" s="772" t="s">
        <v>17</v>
      </c>
      <c r="S29" s="773">
        <f t="shared" ref="S29:S47" si="12">F29</f>
        <v>100</v>
      </c>
      <c r="T29" s="772" t="s">
        <v>17</v>
      </c>
      <c r="U29" s="773">
        <f t="shared" ref="U29:U47" si="13">H29</f>
        <v>100</v>
      </c>
      <c r="V29" s="772" t="s">
        <v>17</v>
      </c>
      <c r="W29" s="773">
        <f t="shared" ref="W29:W47" si="14">J29</f>
        <v>100</v>
      </c>
      <c r="X29" s="1813"/>
      <c r="Y29" s="3218"/>
      <c r="Z29" s="1814">
        <f t="shared" ref="Z29:Z47" si="15">Q29</f>
        <v>111</v>
      </c>
      <c r="AA29" s="1811">
        <f t="shared" si="3"/>
        <v>1</v>
      </c>
      <c r="AB29" s="1811">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1"/>
      <c r="M30" s="1132"/>
      <c r="N30" s="1132"/>
      <c r="O30" s="1132"/>
      <c r="P30" s="3216"/>
      <c r="Q30" s="1810">
        <f t="shared" si="11"/>
        <v>111</v>
      </c>
      <c r="R30" s="772" t="s">
        <v>17</v>
      </c>
      <c r="S30" s="773">
        <f t="shared" si="12"/>
        <v>100</v>
      </c>
      <c r="T30" s="772" t="s">
        <v>17</v>
      </c>
      <c r="U30" s="773">
        <f t="shared" si="13"/>
        <v>100</v>
      </c>
      <c r="V30" s="772" t="s">
        <v>17</v>
      </c>
      <c r="W30" s="773">
        <f t="shared" si="14"/>
        <v>100</v>
      </c>
      <c r="X30" s="1813"/>
      <c r="Y30" s="3218"/>
      <c r="Z30" s="1814">
        <f t="shared" si="15"/>
        <v>111</v>
      </c>
      <c r="AA30" s="1811">
        <f t="shared" si="3"/>
        <v>1</v>
      </c>
      <c r="AB30" s="1811">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1"/>
      <c r="M31" s="1132"/>
      <c r="N31" s="1132"/>
      <c r="O31" s="1132"/>
      <c r="P31" s="3216"/>
      <c r="Q31" s="1810">
        <f t="shared" si="11"/>
        <v>111</v>
      </c>
      <c r="R31" s="772" t="s">
        <v>17</v>
      </c>
      <c r="S31" s="773">
        <f t="shared" si="12"/>
        <v>100</v>
      </c>
      <c r="T31" s="772" t="s">
        <v>17</v>
      </c>
      <c r="U31" s="773">
        <f t="shared" si="13"/>
        <v>100</v>
      </c>
      <c r="V31" s="772" t="s">
        <v>17</v>
      </c>
      <c r="W31" s="773">
        <f t="shared" si="14"/>
        <v>100</v>
      </c>
      <c r="X31" s="1813"/>
      <c r="Y31" s="3218"/>
      <c r="Z31" s="1814">
        <f t="shared" si="15"/>
        <v>111</v>
      </c>
      <c r="AA31" s="1811">
        <f t="shared" si="3"/>
        <v>1</v>
      </c>
      <c r="AB31" s="1811">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1"/>
      <c r="M32" s="1132"/>
      <c r="N32" s="1132"/>
      <c r="O32" s="1132"/>
      <c r="P32" s="3216"/>
      <c r="Q32" s="1810">
        <f t="shared" si="11"/>
        <v>111</v>
      </c>
      <c r="R32" s="772" t="s">
        <v>17</v>
      </c>
      <c r="S32" s="773">
        <f t="shared" si="12"/>
        <v>100</v>
      </c>
      <c r="T32" s="772" t="s">
        <v>17</v>
      </c>
      <c r="U32" s="773">
        <f t="shared" si="13"/>
        <v>100</v>
      </c>
      <c r="V32" s="772" t="s">
        <v>17</v>
      </c>
      <c r="W32" s="773">
        <f t="shared" si="14"/>
        <v>100</v>
      </c>
      <c r="X32" s="1813"/>
      <c r="Y32" s="3218"/>
      <c r="Z32" s="1814">
        <f t="shared" si="15"/>
        <v>111</v>
      </c>
      <c r="AA32" s="1811">
        <f t="shared" si="3"/>
        <v>1</v>
      </c>
      <c r="AB32" s="1811">
        <f t="shared" si="4"/>
        <v>1</v>
      </c>
      <c r="AC32" s="2674">
        <f t="shared" si="5"/>
        <v>1</v>
      </c>
    </row>
    <row r="33" spans="1:29" ht="15">
      <c r="A33" s="439" t="s">
        <v>2550</v>
      </c>
      <c r="B33" s="70" t="s">
        <v>2680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1"/>
      <c r="M33" s="1132"/>
      <c r="N33" s="1132"/>
      <c r="O33" s="1132"/>
      <c r="P33" s="3219" t="s">
        <v>2552</v>
      </c>
      <c r="Q33" s="1810" t="str">
        <f t="shared" si="11"/>
        <v>建筑类型</v>
      </c>
      <c r="R33" s="772" t="s">
        <v>17</v>
      </c>
      <c r="S33" s="773">
        <f t="shared" si="12"/>
        <v>100</v>
      </c>
      <c r="T33" s="772" t="s">
        <v>17</v>
      </c>
      <c r="U33" s="773">
        <f t="shared" si="13"/>
        <v>100</v>
      </c>
      <c r="V33" s="772" t="s">
        <v>17</v>
      </c>
      <c r="W33" s="773">
        <f t="shared" si="14"/>
        <v>100</v>
      </c>
      <c r="X33" s="1813"/>
      <c r="Y33" s="3222" t="s">
        <v>2552</v>
      </c>
      <c r="Z33" s="1814" t="str">
        <f t="shared" si="15"/>
        <v>建筑类型</v>
      </c>
      <c r="AA33" s="1811">
        <f t="shared" si="3"/>
        <v>1</v>
      </c>
      <c r="AB33" s="1811">
        <f t="shared" si="4"/>
        <v>1</v>
      </c>
      <c r="AC33" s="2674">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0"/>
      <c r="Q34" s="774" t="str">
        <f t="shared" si="11"/>
        <v>项目建筑规模</v>
      </c>
      <c r="R34" s="775" t="s">
        <v>17</v>
      </c>
      <c r="S34" s="776" t="e">
        <f t="shared" si="12"/>
        <v>#N/A</v>
      </c>
      <c r="T34" s="775" t="s">
        <v>17</v>
      </c>
      <c r="U34" s="776" t="e">
        <f t="shared" si="13"/>
        <v>#N/A</v>
      </c>
      <c r="V34" s="775" t="s">
        <v>17</v>
      </c>
      <c r="W34" s="776" t="e">
        <f t="shared" si="14"/>
        <v>#N/A</v>
      </c>
      <c r="X34" s="777"/>
      <c r="Y34" s="3222"/>
      <c r="Z34" s="778" t="str">
        <f t="shared" si="15"/>
        <v>项目建筑规模</v>
      </c>
      <c r="AA34" s="1811" t="e">
        <f t="shared" si="3"/>
        <v>#N/A</v>
      </c>
      <c r="AB34" s="1811" t="e">
        <f t="shared" si="4"/>
        <v>#N/A</v>
      </c>
      <c r="AC34" s="2674"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0"/>
      <c r="Q35" s="1810" t="str">
        <f t="shared" si="11"/>
        <v>建筑结构</v>
      </c>
      <c r="R35" s="772" t="s">
        <v>17</v>
      </c>
      <c r="S35" s="773">
        <f t="shared" si="12"/>
        <v>100</v>
      </c>
      <c r="T35" s="772" t="s">
        <v>17</v>
      </c>
      <c r="U35" s="773">
        <f t="shared" si="13"/>
        <v>100</v>
      </c>
      <c r="V35" s="772" t="s">
        <v>17</v>
      </c>
      <c r="W35" s="773">
        <f t="shared" si="14"/>
        <v>100</v>
      </c>
      <c r="X35" s="1813"/>
      <c r="Y35" s="3222"/>
      <c r="Z35" s="1814" t="str">
        <f t="shared" si="15"/>
        <v>建筑结构</v>
      </c>
      <c r="AA35" s="1811">
        <f t="shared" si="3"/>
        <v>1</v>
      </c>
      <c r="AB35" s="1811">
        <f t="shared" si="4"/>
        <v>1</v>
      </c>
      <c r="AC35" s="2674">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0"/>
      <c r="Q36" s="1810" t="str">
        <f t="shared" si="11"/>
        <v>公共部分装修</v>
      </c>
      <c r="R36" s="772" t="s">
        <v>17</v>
      </c>
      <c r="S36" s="773">
        <f t="shared" si="12"/>
        <v>100</v>
      </c>
      <c r="T36" s="772" t="s">
        <v>17</v>
      </c>
      <c r="U36" s="773">
        <f t="shared" si="13"/>
        <v>100</v>
      </c>
      <c r="V36" s="772" t="s">
        <v>17</v>
      </c>
      <c r="W36" s="773">
        <f t="shared" si="14"/>
        <v>100</v>
      </c>
      <c r="X36" s="1813"/>
      <c r="Y36" s="3222"/>
      <c r="Z36" s="1814" t="str">
        <f t="shared" si="15"/>
        <v>公共部分装修</v>
      </c>
      <c r="AA36" s="1811">
        <f t="shared" si="3"/>
        <v>1</v>
      </c>
      <c r="AB36" s="1811">
        <f t="shared" si="4"/>
        <v>1</v>
      </c>
      <c r="AC36" s="2674">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0"/>
      <c r="Q37" s="1810" t="str">
        <f t="shared" si="11"/>
        <v>成新度</v>
      </c>
      <c r="R37" s="772" t="s">
        <v>17</v>
      </c>
      <c r="S37" s="773" t="e">
        <f t="shared" si="12"/>
        <v>#N/A</v>
      </c>
      <c r="T37" s="772" t="s">
        <v>17</v>
      </c>
      <c r="U37" s="773" t="e">
        <f t="shared" si="13"/>
        <v>#N/A</v>
      </c>
      <c r="V37" s="772" t="s">
        <v>17</v>
      </c>
      <c r="W37" s="773" t="e">
        <f t="shared" si="14"/>
        <v>#N/A</v>
      </c>
      <c r="X37" s="1813"/>
      <c r="Y37" s="3222"/>
      <c r="Z37" s="1814" t="str">
        <f t="shared" si="15"/>
        <v>成新度</v>
      </c>
      <c r="AA37" s="1811" t="e">
        <f t="shared" si="3"/>
        <v>#N/A</v>
      </c>
      <c r="AB37" s="1811" t="e">
        <f t="shared" si="4"/>
        <v>#N/A</v>
      </c>
      <c r="AC37" s="2674"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0"/>
      <c r="Q38" s="1795" t="str">
        <f t="shared" si="11"/>
        <v>写字楼等级</v>
      </c>
      <c r="R38" s="768" t="s">
        <v>17</v>
      </c>
      <c r="S38" s="769">
        <f t="shared" si="12"/>
        <v>100</v>
      </c>
      <c r="T38" s="768" t="s">
        <v>17</v>
      </c>
      <c r="U38" s="769">
        <f t="shared" si="13"/>
        <v>100</v>
      </c>
      <c r="V38" s="768" t="s">
        <v>17</v>
      </c>
      <c r="W38" s="769">
        <f t="shared" si="14"/>
        <v>100</v>
      </c>
      <c r="X38" s="770"/>
      <c r="Y38" s="3222"/>
      <c r="Z38" s="54" t="str">
        <f t="shared" si="15"/>
        <v>写字楼等级</v>
      </c>
      <c r="AA38" s="771">
        <f t="shared" si="3"/>
        <v>1</v>
      </c>
      <c r="AB38" s="771">
        <f t="shared" si="4"/>
        <v>1</v>
      </c>
      <c r="AC38" s="2671">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0" t="s">
        <v>2552</v>
      </c>
      <c r="Q39" s="1810" t="str">
        <f t="shared" si="11"/>
        <v>物业管理</v>
      </c>
      <c r="R39" s="772" t="s">
        <v>17</v>
      </c>
      <c r="S39" s="773">
        <f t="shared" si="12"/>
        <v>100</v>
      </c>
      <c r="T39" s="772" t="s">
        <v>17</v>
      </c>
      <c r="U39" s="773">
        <f t="shared" si="13"/>
        <v>100</v>
      </c>
      <c r="V39" s="772" t="s">
        <v>17</v>
      </c>
      <c r="W39" s="773">
        <f t="shared" si="14"/>
        <v>100</v>
      </c>
      <c r="X39" s="1813"/>
      <c r="Y39" s="3222" t="s">
        <v>2552</v>
      </c>
      <c r="Z39" s="1814" t="str">
        <f t="shared" si="15"/>
        <v>物业管理</v>
      </c>
      <c r="AA39" s="1811">
        <f t="shared" si="3"/>
        <v>1</v>
      </c>
      <c r="AB39" s="1811">
        <f t="shared" si="4"/>
        <v>1</v>
      </c>
      <c r="AC39" s="2674">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0"/>
      <c r="Q40" s="1810" t="str">
        <f t="shared" si="11"/>
        <v>市政基础设施</v>
      </c>
      <c r="R40" s="772" t="s">
        <v>17</v>
      </c>
      <c r="S40" s="773">
        <f t="shared" si="12"/>
        <v>100</v>
      </c>
      <c r="T40" s="772" t="s">
        <v>17</v>
      </c>
      <c r="U40" s="773">
        <f t="shared" si="13"/>
        <v>100</v>
      </c>
      <c r="V40" s="772" t="s">
        <v>17</v>
      </c>
      <c r="W40" s="773">
        <f t="shared" si="14"/>
        <v>100</v>
      </c>
      <c r="X40" s="1813"/>
      <c r="Y40" s="3222"/>
      <c r="Z40" s="1814" t="str">
        <f t="shared" si="15"/>
        <v>市政基础设施</v>
      </c>
      <c r="AA40" s="1811">
        <f t="shared" si="3"/>
        <v>1</v>
      </c>
      <c r="AB40" s="1811">
        <f t="shared" si="4"/>
        <v>1</v>
      </c>
      <c r="AC40" s="2674">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0"/>
      <c r="Q41" s="1810" t="str">
        <f t="shared" si="11"/>
        <v>层高</v>
      </c>
      <c r="R41" s="772" t="s">
        <v>17</v>
      </c>
      <c r="S41" s="773">
        <f t="shared" si="12"/>
        <v>100</v>
      </c>
      <c r="T41" s="772" t="s">
        <v>17</v>
      </c>
      <c r="U41" s="773">
        <f t="shared" si="13"/>
        <v>100</v>
      </c>
      <c r="V41" s="772" t="s">
        <v>17</v>
      </c>
      <c r="W41" s="773">
        <f t="shared" si="14"/>
        <v>100</v>
      </c>
      <c r="X41" s="1813"/>
      <c r="Y41" s="3222"/>
      <c r="Z41" s="1814" t="str">
        <f t="shared" si="15"/>
        <v>层高</v>
      </c>
      <c r="AA41" s="1811">
        <f t="shared" si="3"/>
        <v>1</v>
      </c>
      <c r="AB41" s="1811">
        <f t="shared" si="4"/>
        <v>1</v>
      </c>
      <c r="AC41" s="2674">
        <f t="shared" si="5"/>
        <v>1</v>
      </c>
    </row>
    <row r="42" spans="1:29" s="470" customFormat="1" ht="15">
      <c r="A42" s="467"/>
      <c r="B42" s="1812"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0"/>
      <c r="Q42" s="774" t="str">
        <f t="shared" si="11"/>
        <v>单套建筑面积</v>
      </c>
      <c r="R42" s="775" t="s">
        <v>17</v>
      </c>
      <c r="S42" s="776">
        <f t="shared" si="12"/>
        <v>100</v>
      </c>
      <c r="T42" s="775" t="s">
        <v>17</v>
      </c>
      <c r="U42" s="776">
        <f t="shared" si="13"/>
        <v>100</v>
      </c>
      <c r="V42" s="775" t="s">
        <v>17</v>
      </c>
      <c r="W42" s="776">
        <f t="shared" si="14"/>
        <v>100</v>
      </c>
      <c r="X42" s="777"/>
      <c r="Y42" s="3222"/>
      <c r="Z42" s="778" t="str">
        <f t="shared" si="15"/>
        <v>单套建筑面积</v>
      </c>
      <c r="AA42" s="1811">
        <f t="shared" si="3"/>
        <v>1</v>
      </c>
      <c r="AB42" s="1811">
        <f t="shared" si="4"/>
        <v>1</v>
      </c>
      <c r="AC42" s="2674">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0"/>
      <c r="Q43" s="1810" t="str">
        <f t="shared" si="11"/>
        <v>内部装修</v>
      </c>
      <c r="R43" s="772" t="s">
        <v>17</v>
      </c>
      <c r="S43" s="773">
        <f t="shared" si="12"/>
        <v>100</v>
      </c>
      <c r="T43" s="772" t="s">
        <v>17</v>
      </c>
      <c r="U43" s="773">
        <f t="shared" si="13"/>
        <v>100</v>
      </c>
      <c r="V43" s="772" t="s">
        <v>17</v>
      </c>
      <c r="W43" s="773">
        <f t="shared" si="14"/>
        <v>100</v>
      </c>
      <c r="X43" s="1813"/>
      <c r="Y43" s="3222"/>
      <c r="Z43" s="1814" t="str">
        <f t="shared" si="15"/>
        <v>内部装修</v>
      </c>
      <c r="AA43" s="1811">
        <f t="shared" si="3"/>
        <v>1</v>
      </c>
      <c r="AB43" s="1811">
        <f t="shared" si="4"/>
        <v>1</v>
      </c>
      <c r="AC43" s="2674">
        <f t="shared" si="5"/>
        <v>1</v>
      </c>
    </row>
    <row r="44" spans="1:29" ht="15">
      <c r="A44" s="471"/>
      <c r="B44" s="421" t="s">
        <v>2563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20"/>
      <c r="Q44" s="1810" t="str">
        <f t="shared" si="11"/>
        <v>内部装修维护情况</v>
      </c>
      <c r="R44" s="772" t="s">
        <v>17</v>
      </c>
      <c r="S44" s="773">
        <f t="shared" si="12"/>
        <v>100</v>
      </c>
      <c r="T44" s="772" t="s">
        <v>17</v>
      </c>
      <c r="U44" s="773">
        <f t="shared" si="13"/>
        <v>100</v>
      </c>
      <c r="V44" s="772" t="s">
        <v>17</v>
      </c>
      <c r="W44" s="773">
        <f t="shared" si="14"/>
        <v>100</v>
      </c>
      <c r="X44" s="1813"/>
      <c r="Y44" s="3222"/>
      <c r="Z44" s="1814" t="str">
        <f t="shared" si="15"/>
        <v>内部装修维护情况</v>
      </c>
      <c r="AA44" s="1811">
        <f t="shared" si="3"/>
        <v>1</v>
      </c>
      <c r="AB44" s="1811">
        <f t="shared" si="4"/>
        <v>1</v>
      </c>
      <c r="AC44" s="2674">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0"/>
      <c r="Q45" s="1795">
        <f t="shared" si="11"/>
        <v>111</v>
      </c>
      <c r="R45" s="768" t="s">
        <v>17</v>
      </c>
      <c r="S45" s="769">
        <f t="shared" si="12"/>
        <v>100</v>
      </c>
      <c r="T45" s="768" t="s">
        <v>17</v>
      </c>
      <c r="U45" s="769">
        <f t="shared" si="13"/>
        <v>100</v>
      </c>
      <c r="V45" s="768" t="s">
        <v>17</v>
      </c>
      <c r="W45" s="769">
        <f t="shared" si="14"/>
        <v>100</v>
      </c>
      <c r="X45" s="770"/>
      <c r="Y45" s="3222"/>
      <c r="Z45" s="54">
        <f t="shared" si="15"/>
        <v>111</v>
      </c>
      <c r="AA45" s="771">
        <f t="shared" si="3"/>
        <v>1</v>
      </c>
      <c r="AB45" s="771">
        <f t="shared" si="4"/>
        <v>1</v>
      </c>
      <c r="AC45" s="2671">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0"/>
      <c r="Q46" s="1810">
        <f t="shared" si="11"/>
        <v>111</v>
      </c>
      <c r="R46" s="772" t="s">
        <v>17</v>
      </c>
      <c r="S46" s="773">
        <f t="shared" si="12"/>
        <v>100</v>
      </c>
      <c r="T46" s="772" t="s">
        <v>17</v>
      </c>
      <c r="U46" s="773">
        <f t="shared" si="13"/>
        <v>100</v>
      </c>
      <c r="V46" s="772" t="s">
        <v>17</v>
      </c>
      <c r="W46" s="773">
        <f t="shared" si="14"/>
        <v>100</v>
      </c>
      <c r="X46" s="1813"/>
      <c r="Y46" s="3222"/>
      <c r="Z46" s="1814">
        <f t="shared" si="15"/>
        <v>111</v>
      </c>
      <c r="AA46" s="1811">
        <f t="shared" si="3"/>
        <v>1</v>
      </c>
      <c r="AB46" s="1811">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1"/>
      <c r="Q47" s="1810">
        <f t="shared" si="11"/>
        <v>111</v>
      </c>
      <c r="R47" s="772" t="s">
        <v>17</v>
      </c>
      <c r="S47" s="773">
        <f t="shared" si="12"/>
        <v>100</v>
      </c>
      <c r="T47" s="772" t="s">
        <v>17</v>
      </c>
      <c r="U47" s="773">
        <f t="shared" si="13"/>
        <v>100</v>
      </c>
      <c r="V47" s="772" t="s">
        <v>17</v>
      </c>
      <c r="W47" s="773">
        <f t="shared" si="14"/>
        <v>100</v>
      </c>
      <c r="X47" s="1813"/>
      <c r="Y47" s="3223"/>
      <c r="Z47" s="1814">
        <f t="shared" si="15"/>
        <v>111</v>
      </c>
      <c r="AA47" s="1811">
        <f t="shared" si="3"/>
        <v>1</v>
      </c>
      <c r="AB47" s="1811">
        <f t="shared" si="4"/>
        <v>1</v>
      </c>
      <c r="AC47" s="2674">
        <f t="shared" si="5"/>
        <v>1</v>
      </c>
    </row>
    <row r="48" spans="1:29" ht="15">
      <c r="A48" s="478" t="s">
        <v>2564</v>
      </c>
      <c r="B48" s="479"/>
      <c r="C48" s="1408" t="s">
        <v>1</v>
      </c>
      <c r="D48" s="1409"/>
      <c r="E48" s="1410"/>
      <c r="F48" s="1411"/>
      <c r="G48" s="1412"/>
      <c r="H48" s="1413"/>
      <c r="I48" s="1410"/>
      <c r="J48" s="484"/>
      <c r="K48" s="781"/>
      <c r="L48" s="1144"/>
      <c r="M48" s="1132"/>
      <c r="N48" s="1132"/>
      <c r="O48" s="1132"/>
      <c r="P48" s="3225" t="str">
        <f>A48</f>
        <v>成交单价（元/平方米）</v>
      </c>
      <c r="Q48" s="3210"/>
      <c r="R48" s="3211">
        <f>E48</f>
        <v>0</v>
      </c>
      <c r="S48" s="3211"/>
      <c r="T48" s="3211">
        <f>G48</f>
        <v>0</v>
      </c>
      <c r="U48" s="3211"/>
      <c r="V48" s="3211">
        <f>I48</f>
        <v>0</v>
      </c>
      <c r="W48" s="3211"/>
      <c r="X48" s="445"/>
      <c r="Y48" s="779"/>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2"/>
      <c r="L49" s="1144"/>
      <c r="M49" s="1132"/>
      <c r="N49" s="1132"/>
      <c r="O49" s="1132"/>
      <c r="P49" s="3225"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3"/>
      <c r="L50" s="1144"/>
      <c r="M50" s="1132"/>
      <c r="N50" s="1132"/>
      <c r="O50" s="1132"/>
      <c r="P50" s="3292" t="str">
        <f>A50</f>
        <v>估价对象XX用房的比较价值（楼面单价，元/平方米）</v>
      </c>
      <c r="Q50" s="3293"/>
      <c r="R50" s="3294" t="e">
        <f>IF(F1="售价",ROUND(AVERAGE(R49:V49),0),ROUND(AVERAGE(R49:V49),1))</f>
        <v>#DIV/0!</v>
      </c>
      <c r="S50" s="3294"/>
      <c r="T50" s="3294"/>
      <c r="U50" s="3294"/>
      <c r="V50" s="3294"/>
      <c r="W50" s="3294"/>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0"/>
    </row>
    <row r="56" spans="1:29" s="501"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2661</v>
      </c>
      <c r="B58" s="757"/>
      <c r="C58" s="762"/>
      <c r="D58" s="762"/>
      <c r="E58" s="762"/>
      <c r="F58" s="763"/>
      <c r="G58" s="763"/>
      <c r="H58" s="762"/>
      <c r="I58" s="762"/>
      <c r="J58" s="762"/>
      <c r="K58" s="764"/>
      <c r="L58" s="1162"/>
      <c r="M58" s="1160"/>
      <c r="N58" s="1160"/>
      <c r="O58" s="1160"/>
      <c r="P58" s="2681"/>
      <c r="Q58" s="503"/>
    </row>
    <row r="59" spans="1:29" s="507" customFormat="1" ht="15">
      <c r="A59" s="504" t="s">
        <v>2535</v>
      </c>
      <c r="B59" s="505"/>
      <c r="C59" s="1575" t="str">
        <f>YEAR(C7)&amp;"-"&amp;MONTH(C7)</f>
        <v>2018-9</v>
      </c>
      <c r="D59" s="1576">
        <f>EDATE(C59,-1)</f>
        <v>43313</v>
      </c>
      <c r="E59" s="1576">
        <f>EDATE(D59,-1)</f>
        <v>43282</v>
      </c>
      <c r="F59" s="1576">
        <f t="shared" ref="F59:O59" si="16">EDATE(E59,-1)</f>
        <v>43252</v>
      </c>
      <c r="G59" s="1576">
        <f t="shared" si="16"/>
        <v>43221</v>
      </c>
      <c r="H59" s="1576">
        <f t="shared" si="16"/>
        <v>43191</v>
      </c>
      <c r="I59" s="1576">
        <f t="shared" si="16"/>
        <v>43160</v>
      </c>
      <c r="J59" s="1576">
        <f t="shared" si="16"/>
        <v>43132</v>
      </c>
      <c r="K59" s="1576">
        <f t="shared" si="16"/>
        <v>43101</v>
      </c>
      <c r="L59" s="1576">
        <f t="shared" si="16"/>
        <v>43070</v>
      </c>
      <c r="M59" s="1576">
        <f t="shared" si="16"/>
        <v>43040</v>
      </c>
      <c r="N59" s="1576">
        <f t="shared" si="16"/>
        <v>43009</v>
      </c>
      <c r="O59" s="1576">
        <f t="shared" si="16"/>
        <v>42979</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2572</v>
      </c>
      <c r="B61" s="515"/>
      <c r="C61" s="516"/>
      <c r="D61" s="517"/>
      <c r="E61" s="517"/>
      <c r="F61" s="517"/>
      <c r="G61" s="517"/>
      <c r="H61" s="517"/>
      <c r="I61" s="517"/>
      <c r="J61" s="517"/>
      <c r="K61" s="517"/>
      <c r="L61" s="517"/>
      <c r="M61" s="518"/>
      <c r="N61" s="517"/>
      <c r="O61" s="518"/>
      <c r="P61" s="2682"/>
      <c r="Q61" s="503"/>
    </row>
    <row r="62" spans="1:29" s="116" customFormat="1" ht="15">
      <c r="A62" s="520" t="s">
        <v>2537</v>
      </c>
      <c r="B62" s="509"/>
      <c r="C62" s="521" t="s">
        <v>2639</v>
      </c>
      <c r="D62" s="522"/>
      <c r="E62" s="522"/>
      <c r="F62" s="522"/>
      <c r="G62" s="522"/>
      <c r="H62" s="522"/>
      <c r="I62" s="522"/>
      <c r="J62" s="522"/>
      <c r="K62" s="522"/>
      <c r="L62" s="523"/>
      <c r="M62" s="524"/>
      <c r="N62" s="1152"/>
      <c r="O62" s="1152"/>
      <c r="P62" s="2683"/>
      <c r="Q62" s="503"/>
    </row>
    <row r="63" spans="1:29" s="116" customFormat="1" ht="15.75" thickBot="1">
      <c r="A63" s="520"/>
      <c r="B63" s="509"/>
      <c r="C63" s="510">
        <v>100</v>
      </c>
      <c r="D63" s="511"/>
      <c r="E63" s="511"/>
      <c r="F63" s="511"/>
      <c r="G63" s="511"/>
      <c r="H63" s="511"/>
      <c r="I63" s="511"/>
      <c r="J63" s="511"/>
      <c r="K63" s="511"/>
      <c r="L63" s="511"/>
      <c r="M63" s="513"/>
      <c r="N63" s="1152"/>
      <c r="O63" s="1152"/>
      <c r="P63" s="2682"/>
      <c r="Q63" s="503"/>
    </row>
    <row r="64" spans="1:29">
      <c r="A64" s="526" t="s">
        <v>2575</v>
      </c>
      <c r="B64" s="527" t="s">
        <v>2541</v>
      </c>
      <c r="C64" s="528">
        <f>C9</f>
        <v>0</v>
      </c>
      <c r="D64" s="529"/>
      <c r="E64" s="529"/>
      <c r="F64" s="529"/>
      <c r="G64" s="529"/>
      <c r="H64" s="529"/>
      <c r="I64" s="529"/>
      <c r="J64" s="529"/>
      <c r="K64" s="530"/>
      <c r="L64" s="531"/>
      <c r="M64" s="532"/>
      <c r="N64" s="1153"/>
      <c r="O64" s="1153"/>
      <c r="P64" s="2684"/>
      <c r="Q64" s="503"/>
    </row>
    <row r="65" spans="1:17" ht="15.75" thickBot="1">
      <c r="A65" s="533"/>
      <c r="B65" s="534"/>
      <c r="C65" s="535">
        <v>100</v>
      </c>
      <c r="D65" s="535"/>
      <c r="E65" s="535"/>
      <c r="F65" s="535"/>
      <c r="G65" s="535"/>
      <c r="H65" s="535"/>
      <c r="I65" s="535"/>
      <c r="J65" s="535"/>
      <c r="K65" s="535"/>
      <c r="L65" s="535"/>
      <c r="M65" s="536"/>
      <c r="N65" s="1154"/>
      <c r="O65" s="1154"/>
      <c r="P65" s="2684"/>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4"/>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4"/>
      <c r="Q68" s="503"/>
    </row>
    <row r="69" spans="1:17" ht="15">
      <c r="A69" s="533"/>
      <c r="B69" s="547"/>
      <c r="C69" s="548"/>
      <c r="D69" s="548"/>
      <c r="E69" s="548"/>
      <c r="F69" s="548"/>
      <c r="G69" s="548"/>
      <c r="H69" s="548"/>
      <c r="I69" s="548"/>
      <c r="J69" s="548"/>
      <c r="K69" s="549"/>
      <c r="L69" s="550"/>
      <c r="M69" s="551"/>
      <c r="N69" s="1153"/>
      <c r="O69" s="1153"/>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4"/>
      <c r="Q70" s="503"/>
    </row>
    <row r="71" spans="1:17" s="470" customFormat="1" ht="15.75" thickTop="1">
      <c r="A71" s="552"/>
      <c r="B71" s="537">
        <f>B12</f>
        <v>111</v>
      </c>
      <c r="C71" s="553"/>
      <c r="D71" s="553"/>
      <c r="E71" s="553"/>
      <c r="F71" s="553"/>
      <c r="G71" s="553"/>
      <c r="H71" s="554"/>
      <c r="I71" s="554"/>
      <c r="J71" s="554"/>
      <c r="K71" s="554"/>
      <c r="L71" s="555"/>
      <c r="M71" s="556"/>
      <c r="N71" s="1155"/>
      <c r="O71" s="1155"/>
      <c r="P71" s="2685"/>
      <c r="Q71" s="558"/>
    </row>
    <row r="72" spans="1:17" s="470" customFormat="1" ht="15.75" thickBot="1">
      <c r="A72" s="552"/>
      <c r="B72" s="542"/>
      <c r="C72" s="559"/>
      <c r="D72" s="535"/>
      <c r="E72" s="535"/>
      <c r="F72" s="535"/>
      <c r="G72" s="535"/>
      <c r="H72" s="535"/>
      <c r="I72" s="535"/>
      <c r="J72" s="535"/>
      <c r="K72" s="535"/>
      <c r="L72" s="535"/>
      <c r="M72" s="536"/>
      <c r="N72" s="1154"/>
      <c r="O72" s="1154"/>
      <c r="P72" s="2685"/>
      <c r="Q72" s="558"/>
    </row>
    <row r="73" spans="1:17" s="470" customFormat="1" ht="15.75" thickTop="1">
      <c r="A73" s="552"/>
      <c r="B73" s="537">
        <f>B13</f>
        <v>111</v>
      </c>
      <c r="C73" s="553"/>
      <c r="D73" s="553"/>
      <c r="E73" s="553"/>
      <c r="F73" s="553"/>
      <c r="G73" s="553"/>
      <c r="H73" s="554"/>
      <c r="I73" s="554"/>
      <c r="J73" s="554"/>
      <c r="K73" s="554"/>
      <c r="L73" s="555"/>
      <c r="M73" s="556"/>
      <c r="N73" s="1155"/>
      <c r="O73" s="1155"/>
      <c r="P73" s="2686"/>
      <c r="Q73" s="560"/>
    </row>
    <row r="74" spans="1:17" s="470" customFormat="1" ht="15.75" thickBot="1">
      <c r="A74" s="552"/>
      <c r="B74" s="542"/>
      <c r="C74" s="559"/>
      <c r="D74" s="559"/>
      <c r="E74" s="559"/>
      <c r="F74" s="559"/>
      <c r="G74" s="559"/>
      <c r="H74" s="561"/>
      <c r="I74" s="561"/>
      <c r="J74" s="561"/>
      <c r="K74" s="561"/>
      <c r="L74" s="561"/>
      <c r="M74" s="562"/>
      <c r="N74" s="1155"/>
      <c r="O74" s="1155"/>
      <c r="P74" s="2685"/>
      <c r="Q74" s="558"/>
    </row>
    <row r="75" spans="1:17" s="470" customFormat="1" ht="15.75" thickTop="1">
      <c r="A75" s="552"/>
      <c r="B75" s="545">
        <f>B14</f>
        <v>111</v>
      </c>
      <c r="C75" s="522"/>
      <c r="D75" s="522"/>
      <c r="E75" s="522"/>
      <c r="F75" s="522"/>
      <c r="G75" s="522"/>
      <c r="H75" s="563"/>
      <c r="I75" s="563"/>
      <c r="J75" s="563"/>
      <c r="K75" s="563"/>
      <c r="L75" s="564"/>
      <c r="M75" s="565"/>
      <c r="N75" s="1155"/>
      <c r="O75" s="1155"/>
      <c r="P75" s="2687"/>
      <c r="Q75" s="558"/>
    </row>
    <row r="76" spans="1:17" s="470" customFormat="1" ht="15.75" thickBot="1">
      <c r="A76" s="567"/>
      <c r="B76" s="568"/>
      <c r="C76" s="569"/>
      <c r="D76" s="569"/>
      <c r="E76" s="569"/>
      <c r="F76" s="569"/>
      <c r="G76" s="569"/>
      <c r="H76" s="570"/>
      <c r="I76" s="570"/>
      <c r="J76" s="570"/>
      <c r="K76" s="570"/>
      <c r="L76" s="570"/>
      <c r="M76" s="571"/>
      <c r="N76" s="1155"/>
      <c r="O76" s="1155"/>
      <c r="P76" s="2685"/>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4"/>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4"/>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4"/>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4"/>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4"/>
      <c r="Q86" s="503"/>
    </row>
    <row r="87" spans="1:17" s="116" customFormat="1" ht="27.75" thickTop="1">
      <c r="A87" s="578"/>
      <c r="B87" s="537" t="s">
        <v>2686</v>
      </c>
      <c r="C87" s="553"/>
      <c r="D87" s="553"/>
      <c r="E87" s="553"/>
      <c r="F87" s="553"/>
      <c r="G87" s="553"/>
      <c r="H87" s="553"/>
      <c r="I87" s="553"/>
      <c r="J87" s="553"/>
      <c r="K87" s="553"/>
      <c r="L87" s="579"/>
      <c r="M87" s="580"/>
      <c r="N87" s="1152"/>
      <c r="O87" s="1152"/>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4"/>
      <c r="Q88" s="503"/>
    </row>
    <row r="89" spans="1:17" s="116" customFormat="1" ht="15.75" thickTop="1">
      <c r="A89" s="578"/>
      <c r="B89" s="537" t="str">
        <f>B27</f>
        <v>楼层</v>
      </c>
      <c r="C89" s="553"/>
      <c r="D89" s="553"/>
      <c r="E89" s="553"/>
      <c r="F89" s="2635"/>
      <c r="G89" s="553"/>
      <c r="H89" s="553"/>
      <c r="I89" s="553"/>
      <c r="J89" s="553"/>
      <c r="K89" s="553"/>
      <c r="L89" s="553"/>
      <c r="M89" s="580"/>
      <c r="N89" s="1152"/>
      <c r="O89" s="1152"/>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5"/>
      <c r="Q92" s="558"/>
    </row>
    <row r="93" spans="1:17" ht="15.75" thickTop="1">
      <c r="A93" s="533"/>
      <c r="B93" s="537">
        <f>B29</f>
        <v>111</v>
      </c>
      <c r="C93" s="553"/>
      <c r="D93" s="553"/>
      <c r="E93" s="553"/>
      <c r="F93" s="553"/>
      <c r="G93" s="553"/>
      <c r="H93" s="553"/>
      <c r="I93" s="553"/>
      <c r="J93" s="553"/>
      <c r="K93" s="553"/>
      <c r="L93" s="579"/>
      <c r="M93" s="580"/>
      <c r="N93" s="1153"/>
      <c r="O93" s="1153"/>
      <c r="P93" s="2684"/>
      <c r="Q93" s="503"/>
    </row>
    <row r="94" spans="1:17" ht="15.75" thickBot="1">
      <c r="A94" s="533"/>
      <c r="B94" s="542"/>
      <c r="C94" s="559"/>
      <c r="D94" s="535"/>
      <c r="E94" s="535"/>
      <c r="F94" s="535"/>
      <c r="G94" s="535"/>
      <c r="H94" s="535"/>
      <c r="I94" s="535"/>
      <c r="J94" s="535"/>
      <c r="K94" s="535"/>
      <c r="L94" s="535"/>
      <c r="M94" s="536"/>
      <c r="N94" s="1154"/>
      <c r="O94" s="1154"/>
      <c r="P94" s="2684"/>
      <c r="Q94" s="503"/>
    </row>
    <row r="95" spans="1:17" ht="15.75" thickTop="1">
      <c r="A95" s="533"/>
      <c r="B95" s="537">
        <f>B30</f>
        <v>111</v>
      </c>
      <c r="C95" s="553"/>
      <c r="D95" s="553"/>
      <c r="E95" s="553"/>
      <c r="F95" s="553"/>
      <c r="G95" s="582"/>
      <c r="H95" s="582"/>
      <c r="I95" s="582"/>
      <c r="J95" s="582"/>
      <c r="K95" s="583"/>
      <c r="L95" s="584"/>
      <c r="M95" s="585"/>
      <c r="N95" s="1153"/>
      <c r="O95" s="1153"/>
      <c r="P95" s="2684"/>
      <c r="Q95" s="503"/>
    </row>
    <row r="96" spans="1:17" ht="15.75" thickBot="1">
      <c r="A96" s="533"/>
      <c r="B96" s="542"/>
      <c r="C96" s="559"/>
      <c r="D96" s="559"/>
      <c r="E96" s="559"/>
      <c r="F96" s="559"/>
      <c r="G96" s="535"/>
      <c r="H96" s="535"/>
      <c r="I96" s="535"/>
      <c r="J96" s="535"/>
      <c r="K96" s="535"/>
      <c r="L96" s="535"/>
      <c r="M96" s="536"/>
      <c r="N96" s="1154"/>
      <c r="O96" s="1154"/>
      <c r="P96" s="2684"/>
      <c r="Q96" s="503"/>
    </row>
    <row r="97" spans="1:17" ht="15.75" thickTop="1">
      <c r="A97" s="533"/>
      <c r="B97" s="537">
        <f>B31</f>
        <v>111</v>
      </c>
      <c r="C97" s="553"/>
      <c r="D97" s="553"/>
      <c r="E97" s="553"/>
      <c r="F97" s="553"/>
      <c r="G97" s="582"/>
      <c r="H97" s="582"/>
      <c r="I97" s="582"/>
      <c r="J97" s="582"/>
      <c r="K97" s="583"/>
      <c r="L97" s="584"/>
      <c r="M97" s="585"/>
      <c r="N97" s="1153"/>
      <c r="O97" s="1153"/>
      <c r="P97" s="2684"/>
      <c r="Q97" s="503"/>
    </row>
    <row r="98" spans="1:17" ht="15.75" thickBot="1">
      <c r="A98" s="533"/>
      <c r="B98" s="542"/>
      <c r="C98" s="559"/>
      <c r="D98" s="535"/>
      <c r="E98" s="535"/>
      <c r="F98" s="535"/>
      <c r="G98" s="535"/>
      <c r="H98" s="535"/>
      <c r="I98" s="535"/>
      <c r="J98" s="535"/>
      <c r="K98" s="535"/>
      <c r="L98" s="535"/>
      <c r="M98" s="536"/>
      <c r="N98" s="1154"/>
      <c r="O98" s="1154"/>
      <c r="P98" s="2684"/>
      <c r="Q98" s="503"/>
    </row>
    <row r="99" spans="1:17" ht="15.75" thickTop="1">
      <c r="A99" s="533"/>
      <c r="B99" s="545">
        <f>B32</f>
        <v>111</v>
      </c>
      <c r="C99" s="522"/>
      <c r="D99" s="522"/>
      <c r="E99" s="522"/>
      <c r="F99" s="522"/>
      <c r="G99" s="586"/>
      <c r="H99" s="586"/>
      <c r="I99" s="586"/>
      <c r="J99" s="586"/>
      <c r="K99" s="587"/>
      <c r="L99" s="588"/>
      <c r="M99" s="589"/>
      <c r="N99" s="1153"/>
      <c r="O99" s="1153"/>
      <c r="P99" s="2684"/>
      <c r="Q99" s="503"/>
    </row>
    <row r="100" spans="1:17" ht="15.75" thickBot="1">
      <c r="A100" s="2636"/>
      <c r="B100" s="568"/>
      <c r="C100" s="569"/>
      <c r="D100" s="569"/>
      <c r="E100" s="569"/>
      <c r="F100" s="569"/>
      <c r="G100" s="590"/>
      <c r="H100" s="590"/>
      <c r="I100" s="590"/>
      <c r="J100" s="590"/>
      <c r="K100" s="590"/>
      <c r="L100" s="590"/>
      <c r="M100" s="591"/>
      <c r="N100" s="1154"/>
      <c r="O100" s="1154"/>
      <c r="P100" s="2684"/>
      <c r="Q100" s="503"/>
    </row>
    <row r="101" spans="1:17">
      <c r="A101" s="526" t="s">
        <v>2550</v>
      </c>
      <c r="B101" s="527" t="s">
        <v>2599</v>
      </c>
      <c r="C101" s="529"/>
      <c r="D101" s="529"/>
      <c r="E101" s="529"/>
      <c r="F101" s="529"/>
      <c r="G101" s="529"/>
      <c r="H101" s="529"/>
      <c r="I101" s="529"/>
      <c r="J101" s="529"/>
      <c r="K101" s="530"/>
      <c r="L101" s="531"/>
      <c r="M101" s="532"/>
      <c r="N101" s="1153"/>
      <c r="O101" s="1153"/>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4"/>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4"/>
      <c r="Q103" s="503"/>
    </row>
    <row r="104" spans="1:17" s="470" customFormat="1">
      <c r="A104" s="592"/>
      <c r="B104" s="593"/>
      <c r="C104" s="594"/>
      <c r="D104" s="594"/>
      <c r="E104" s="594"/>
      <c r="F104" s="594"/>
      <c r="G104" s="594"/>
      <c r="H104" s="594"/>
      <c r="I104" s="594"/>
      <c r="J104" s="595"/>
      <c r="K104" s="595"/>
      <c r="L104" s="596"/>
      <c r="M104" s="597"/>
      <c r="N104" s="1155"/>
      <c r="O104" s="1155"/>
      <c r="P104" s="268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5"/>
      <c r="Q105" s="558"/>
    </row>
    <row r="106" spans="1:17" ht="15" thickTop="1">
      <c r="A106" s="598"/>
      <c r="B106" s="537" t="s">
        <v>2601</v>
      </c>
      <c r="C106" s="553"/>
      <c r="D106" s="553"/>
      <c r="E106" s="582"/>
      <c r="F106" s="582"/>
      <c r="G106" s="582"/>
      <c r="H106" s="582"/>
      <c r="I106" s="582"/>
      <c r="J106" s="582"/>
      <c r="K106" s="583"/>
      <c r="L106" s="584"/>
      <c r="M106" s="585"/>
      <c r="N106" s="1153"/>
      <c r="O106" s="1153"/>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4"/>
      <c r="Q107" s="503"/>
    </row>
    <row r="108" spans="1:17" ht="15" thickTop="1">
      <c r="A108" s="598"/>
      <c r="B108" s="537" t="s">
        <v>2603</v>
      </c>
      <c r="C108" s="553"/>
      <c r="D108" s="553"/>
      <c r="E108" s="553"/>
      <c r="F108" s="582"/>
      <c r="G108" s="582"/>
      <c r="H108" s="582"/>
      <c r="I108" s="582"/>
      <c r="J108" s="582"/>
      <c r="K108" s="583"/>
      <c r="L108" s="584"/>
      <c r="M108" s="585"/>
      <c r="N108" s="1153"/>
      <c r="O108" s="1153"/>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4"/>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5"/>
      <c r="Q114" s="558"/>
    </row>
    <row r="115" spans="1:17" ht="15" thickTop="1">
      <c r="A115" s="598"/>
      <c r="B115" s="537" t="s">
        <v>2604</v>
      </c>
      <c r="C115" s="553"/>
      <c r="D115" s="553"/>
      <c r="E115" s="582"/>
      <c r="F115" s="582"/>
      <c r="G115" s="582"/>
      <c r="H115" s="582"/>
      <c r="I115" s="582"/>
      <c r="J115" s="582"/>
      <c r="K115" s="583"/>
      <c r="L115" s="584"/>
      <c r="M115" s="585"/>
      <c r="N115" s="1153"/>
      <c r="O115" s="1153"/>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4"/>
      <c r="Q116" s="503"/>
    </row>
    <row r="117" spans="1:17" ht="15" thickTop="1">
      <c r="A117" s="598"/>
      <c r="B117" s="537" t="s">
        <v>2605</v>
      </c>
      <c r="C117" s="553"/>
      <c r="D117" s="553"/>
      <c r="E117" s="553"/>
      <c r="F117" s="553"/>
      <c r="G117" s="553"/>
      <c r="H117" s="582"/>
      <c r="I117" s="582"/>
      <c r="J117" s="582"/>
      <c r="K117" s="583"/>
      <c r="L117" s="584"/>
      <c r="M117" s="585"/>
      <c r="N117" s="1153"/>
      <c r="O117" s="1153"/>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4"/>
      <c r="Q118" s="503"/>
    </row>
    <row r="119" spans="1:17" ht="15" thickTop="1">
      <c r="A119" s="598"/>
      <c r="B119" s="635" t="s">
        <v>2688</v>
      </c>
      <c r="C119" s="582"/>
      <c r="D119" s="582"/>
      <c r="E119" s="582"/>
      <c r="F119" s="582"/>
      <c r="G119" s="582"/>
      <c r="H119" s="582"/>
      <c r="I119" s="582"/>
      <c r="J119" s="582"/>
      <c r="K119" s="582"/>
      <c r="L119" s="2689"/>
      <c r="M119" s="2690"/>
      <c r="N119" s="1154"/>
      <c r="O119" s="1154"/>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4"/>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8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5"/>
      <c r="Q122" s="558"/>
    </row>
    <row r="123" spans="1:17" ht="15" thickTop="1">
      <c r="A123" s="598"/>
      <c r="B123" s="537" t="s">
        <v>2607</v>
      </c>
      <c r="C123" s="553"/>
      <c r="D123" s="553"/>
      <c r="E123" s="553"/>
      <c r="F123" s="582"/>
      <c r="G123" s="582"/>
      <c r="H123" s="582"/>
      <c r="I123" s="582"/>
      <c r="J123" s="582"/>
      <c r="K123" s="583"/>
      <c r="L123" s="584"/>
      <c r="M123" s="585"/>
      <c r="N123" s="1153"/>
      <c r="O123" s="1153"/>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4"/>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5"/>
      <c r="Q128" s="558"/>
    </row>
    <row r="129" spans="1:17" ht="15" thickTop="1">
      <c r="A129" s="598"/>
      <c r="B129" s="537">
        <f>B46</f>
        <v>111</v>
      </c>
      <c r="C129" s="553"/>
      <c r="D129" s="553"/>
      <c r="E129" s="553"/>
      <c r="F129" s="553"/>
      <c r="G129" s="582"/>
      <c r="H129" s="582"/>
      <c r="I129" s="582"/>
      <c r="J129" s="582"/>
      <c r="K129" s="583"/>
      <c r="L129" s="584"/>
      <c r="M129" s="585"/>
      <c r="N129" s="1153"/>
      <c r="O129" s="1153"/>
      <c r="P129" s="2684"/>
      <c r="Q129" s="503"/>
    </row>
    <row r="130" spans="1:17" ht="15.75" thickBot="1">
      <c r="A130" s="533"/>
      <c r="B130" s="542"/>
      <c r="C130" s="559"/>
      <c r="D130" s="559"/>
      <c r="E130" s="559"/>
      <c r="F130" s="559"/>
      <c r="G130" s="535"/>
      <c r="H130" s="535"/>
      <c r="I130" s="535"/>
      <c r="J130" s="535"/>
      <c r="K130" s="535"/>
      <c r="L130" s="535"/>
      <c r="M130" s="536"/>
      <c r="N130" s="1154"/>
      <c r="O130" s="1154"/>
      <c r="P130" s="2684"/>
      <c r="Q130" s="503"/>
    </row>
    <row r="131" spans="1:17" ht="15" thickTop="1">
      <c r="A131" s="598"/>
      <c r="B131" s="545">
        <f>B47</f>
        <v>111</v>
      </c>
      <c r="C131" s="522"/>
      <c r="D131" s="522"/>
      <c r="E131" s="522"/>
      <c r="F131" s="522"/>
      <c r="G131" s="586"/>
      <c r="H131" s="586"/>
      <c r="I131" s="586"/>
      <c r="J131" s="586"/>
      <c r="K131" s="522"/>
      <c r="L131" s="523"/>
      <c r="M131" s="589"/>
      <c r="N131" s="1153"/>
      <c r="O131" s="1153"/>
      <c r="P131" s="2684"/>
      <c r="Q131" s="503"/>
    </row>
    <row r="132" spans="1:17" ht="15.75" thickBot="1">
      <c r="A132" s="2636"/>
      <c r="B132" s="568"/>
      <c r="C132" s="569"/>
      <c r="D132" s="569"/>
      <c r="E132" s="569"/>
      <c r="F132" s="569"/>
      <c r="G132" s="590"/>
      <c r="H132" s="590"/>
      <c r="I132" s="590"/>
      <c r="J132" s="590"/>
      <c r="K132" s="590"/>
      <c r="L132" s="590"/>
      <c r="M132" s="591"/>
      <c r="N132" s="1154"/>
      <c r="O132" s="1154"/>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2689</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86"/>
      <c r="D2" s="1125"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2316</v>
      </c>
      <c r="B3" s="608" t="e">
        <f ca="1">IF(C2="——",C43,ROUND(B2*10000/D3,0))</f>
        <v>#DIV/0!</v>
      </c>
      <c r="C3" s="399" t="s">
        <v>2631</v>
      </c>
      <c r="D3" s="398">
        <f>IF(D1="",'数据-汇总表'!E3,SUMIF('数据-汇总表'!$C19:$C33,D1,'数据-汇总表'!$E19:$E33))</f>
        <v>16365.18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7" t="s">
        <v>2635</v>
      </c>
      <c r="AC4" s="3226" t="s">
        <v>2636</v>
      </c>
    </row>
    <row r="5" spans="1:29" ht="15">
      <c r="A5" s="403"/>
      <c r="B5" s="404"/>
      <c r="C5" s="3265" t="s">
        <v>2529</v>
      </c>
      <c r="D5" s="3248"/>
      <c r="E5" s="3291" t="s">
        <v>2530</v>
      </c>
      <c r="F5" s="3254"/>
      <c r="G5" s="3265" t="s">
        <v>2531</v>
      </c>
      <c r="H5" s="3248"/>
      <c r="I5" s="3265" t="s">
        <v>2532</v>
      </c>
      <c r="J5" s="3248"/>
      <c r="K5" s="609"/>
      <c r="L5" s="1131"/>
      <c r="M5" s="1132"/>
      <c r="N5" s="1132"/>
      <c r="O5" s="1132"/>
      <c r="P5" s="3235"/>
      <c r="Q5" s="3236"/>
      <c r="R5" s="3241"/>
      <c r="S5" s="3242"/>
      <c r="T5" s="3241"/>
      <c r="U5" s="3242"/>
      <c r="V5" s="3224"/>
      <c r="W5" s="3224"/>
      <c r="X5" s="1813"/>
      <c r="Y5" s="3241"/>
      <c r="Z5" s="3242"/>
      <c r="AA5" s="3227"/>
      <c r="AB5" s="3227"/>
      <c r="AC5" s="3227"/>
    </row>
    <row r="6" spans="1:29" ht="15.75" thickBot="1">
      <c r="A6" s="405"/>
      <c r="B6" s="406"/>
      <c r="C6" s="3288" t="s">
        <v>2533</v>
      </c>
      <c r="D6" s="3246"/>
      <c r="E6" s="3289" t="s">
        <v>2533</v>
      </c>
      <c r="F6" s="3290"/>
      <c r="G6" s="3288" t="s">
        <v>2533</v>
      </c>
      <c r="H6" s="3246"/>
      <c r="I6" s="3288" t="s">
        <v>2533</v>
      </c>
      <c r="J6" s="3246"/>
      <c r="K6" s="609" t="s">
        <v>2534</v>
      </c>
      <c r="L6" s="1131"/>
      <c r="M6" s="1132"/>
      <c r="N6" s="1132"/>
      <c r="O6" s="1132"/>
      <c r="P6" s="3237"/>
      <c r="Q6" s="3238"/>
      <c r="R6" s="3241"/>
      <c r="S6" s="3242"/>
      <c r="T6" s="3243"/>
      <c r="U6" s="3244"/>
      <c r="V6" s="3224"/>
      <c r="W6" s="3224"/>
      <c r="X6" s="1813"/>
      <c r="Y6" s="3243"/>
      <c r="Z6" s="3244"/>
      <c r="AA6" s="3228"/>
      <c r="AB6" s="3228"/>
      <c r="AC6" s="3228"/>
    </row>
    <row r="7" spans="1:29" s="116" customFormat="1" ht="15.75" thickBot="1">
      <c r="A7" s="407" t="s">
        <v>2535</v>
      </c>
      <c r="B7" s="408"/>
      <c r="C7" s="409">
        <f>'数据-取费表'!B2</f>
        <v>43344</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49" t="s">
        <v>2536</v>
      </c>
      <c r="Q7" s="3251"/>
      <c r="R7" s="768" t="s">
        <v>17</v>
      </c>
      <c r="S7" s="769">
        <f t="shared" ref="S7:S15" si="0">F7</f>
        <v>0</v>
      </c>
      <c r="T7" s="768" t="s">
        <v>17</v>
      </c>
      <c r="U7" s="769">
        <f t="shared" ref="U7:U15" si="1">H7</f>
        <v>0</v>
      </c>
      <c r="V7" s="768" t="s">
        <v>17</v>
      </c>
      <c r="W7" s="769">
        <f t="shared" ref="W7:W15" si="2">J7</f>
        <v>0</v>
      </c>
      <c r="X7" s="770"/>
      <c r="Y7" s="3249" t="s">
        <v>2536</v>
      </c>
      <c r="Z7" s="3250"/>
      <c r="AA7" s="771" t="e">
        <f>D7/F7</f>
        <v>#DIV/0!</v>
      </c>
      <c r="AB7" s="771" t="e">
        <f>D7/H7</f>
        <v>#DIV/0!</v>
      </c>
      <c r="AC7" s="771"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49" t="s">
        <v>2539</v>
      </c>
      <c r="Q8" s="3250"/>
      <c r="R8" s="768" t="s">
        <v>17</v>
      </c>
      <c r="S8" s="769">
        <f t="shared" si="0"/>
        <v>0</v>
      </c>
      <c r="T8" s="768" t="s">
        <v>17</v>
      </c>
      <c r="U8" s="769">
        <f t="shared" si="1"/>
        <v>0</v>
      </c>
      <c r="V8" s="768" t="s">
        <v>17</v>
      </c>
      <c r="W8" s="769">
        <f t="shared" si="2"/>
        <v>0</v>
      </c>
      <c r="X8" s="770"/>
      <c r="Y8" s="3249" t="s">
        <v>2539</v>
      </c>
      <c r="Z8" s="3250"/>
      <c r="AA8" s="771" t="e">
        <f t="shared" ref="AA8:AA40" si="3">D8/F8</f>
        <v>#DIV/0!</v>
      </c>
      <c r="AB8" s="771" t="e">
        <f t="shared" ref="AB8:AB40" si="4">D8/H8</f>
        <v>#DIV/0!</v>
      </c>
      <c r="AC8" s="771" t="e">
        <f t="shared" ref="AC8:AC40" si="5">D8/J8</f>
        <v>#DIV/0!</v>
      </c>
    </row>
    <row r="9" spans="1:29" s="116" customFormat="1">
      <c r="A9" s="414" t="s">
        <v>2540</v>
      </c>
      <c r="B9" s="70" t="s">
        <v>2541</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10"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10"/>
      <c r="Q10" s="1795" t="str">
        <f t="shared" si="6"/>
        <v>土地使用年限（年）</v>
      </c>
      <c r="R10" s="768" t="s">
        <v>17</v>
      </c>
      <c r="S10" s="769">
        <f t="shared" si="0"/>
        <v>100</v>
      </c>
      <c r="T10" s="768" t="s">
        <v>17</v>
      </c>
      <c r="U10" s="769">
        <f t="shared" si="1"/>
        <v>100</v>
      </c>
      <c r="V10" s="768" t="s">
        <v>17</v>
      </c>
      <c r="W10" s="769">
        <f t="shared" si="2"/>
        <v>100</v>
      </c>
      <c r="X10" s="770"/>
      <c r="Y10" s="3065"/>
      <c r="Z10" s="54" t="str">
        <f t="shared" si="7"/>
        <v>土地使用年限（年）</v>
      </c>
      <c r="AA10" s="771">
        <f t="shared" si="3"/>
        <v>1</v>
      </c>
      <c r="AB10" s="771">
        <f t="shared" si="4"/>
        <v>1</v>
      </c>
      <c r="AC10" s="771">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10"/>
      <c r="Q11" s="1795" t="str">
        <f t="shared" si="6"/>
        <v>容积率</v>
      </c>
      <c r="R11" s="768" t="s">
        <v>17</v>
      </c>
      <c r="S11" s="769" t="e">
        <f t="shared" si="0"/>
        <v>#N/A</v>
      </c>
      <c r="T11" s="768" t="s">
        <v>17</v>
      </c>
      <c r="U11" s="769" t="e">
        <f t="shared" si="1"/>
        <v>#N/A</v>
      </c>
      <c r="V11" s="768" t="s">
        <v>17</v>
      </c>
      <c r="W11" s="769" t="e">
        <f t="shared" si="2"/>
        <v>#N/A</v>
      </c>
      <c r="X11" s="770"/>
      <c r="Y11" s="3065"/>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65"/>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65"/>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1"/>
      <c r="M14" s="1132"/>
      <c r="N14" s="1132"/>
      <c r="O14" s="1140"/>
      <c r="P14" s="3210"/>
      <c r="Q14" s="1795">
        <f t="shared" si="6"/>
        <v>111</v>
      </c>
      <c r="R14" s="768" t="s">
        <v>17</v>
      </c>
      <c r="S14" s="769">
        <f t="shared" si="0"/>
        <v>100</v>
      </c>
      <c r="T14" s="768" t="s">
        <v>17</v>
      </c>
      <c r="U14" s="769">
        <f t="shared" si="1"/>
        <v>100</v>
      </c>
      <c r="V14" s="768" t="s">
        <v>17</v>
      </c>
      <c r="W14" s="769">
        <f t="shared" si="2"/>
        <v>100</v>
      </c>
      <c r="X14" s="770"/>
      <c r="Y14" s="3065"/>
      <c r="Z14" s="54">
        <f t="shared" si="7"/>
        <v>111</v>
      </c>
      <c r="AA14" s="771">
        <f t="shared" si="3"/>
        <v>1</v>
      </c>
      <c r="AB14" s="771">
        <f t="shared" si="4"/>
        <v>1</v>
      </c>
      <c r="AC14" s="771">
        <f t="shared" si="5"/>
        <v>1</v>
      </c>
    </row>
    <row r="15" spans="1:29" ht="15">
      <c r="A15" s="439" t="s">
        <v>2546</v>
      </c>
      <c r="B15" s="68" t="s">
        <v>2690</v>
      </c>
      <c r="C15" s="269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7" t="s">
        <v>2547</v>
      </c>
      <c r="Q15" s="1810" t="str">
        <f t="shared" si="6"/>
        <v>产业集聚程度</v>
      </c>
      <c r="R15" s="772" t="s">
        <v>17</v>
      </c>
      <c r="S15" s="773">
        <f t="shared" si="0"/>
        <v>100</v>
      </c>
      <c r="T15" s="772" t="s">
        <v>17</v>
      </c>
      <c r="U15" s="773">
        <f t="shared" si="1"/>
        <v>100</v>
      </c>
      <c r="V15" s="772" t="s">
        <v>17</v>
      </c>
      <c r="W15" s="773">
        <f t="shared" si="2"/>
        <v>100</v>
      </c>
      <c r="X15" s="1813"/>
      <c r="Y15" s="3217" t="s">
        <v>2547</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8"/>
      <c r="Q16" s="1810"/>
      <c r="R16" s="772"/>
      <c r="S16" s="773"/>
      <c r="T16" s="772"/>
      <c r="U16" s="773"/>
      <c r="V16" s="772"/>
      <c r="W16" s="773"/>
      <c r="X16" s="1813"/>
      <c r="Y16" s="3218"/>
      <c r="Z16" s="1814"/>
      <c r="AA16" s="1811">
        <v>1</v>
      </c>
      <c r="AB16" s="1811">
        <v>1</v>
      </c>
      <c r="AC16" s="1811">
        <v>1</v>
      </c>
    </row>
    <row r="17" spans="1:29" ht="15">
      <c r="A17" s="427"/>
      <c r="B17" s="450" t="s">
        <v>2089</v>
      </c>
      <c r="C17" s="260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8"/>
      <c r="Q17" s="1810" t="str">
        <f>B17</f>
        <v>交通便捷度</v>
      </c>
      <c r="R17" s="772" t="s">
        <v>17</v>
      </c>
      <c r="S17" s="773">
        <f>F17</f>
        <v>100</v>
      </c>
      <c r="T17" s="772" t="s">
        <v>17</v>
      </c>
      <c r="U17" s="773">
        <f>H17</f>
        <v>100</v>
      </c>
      <c r="V17" s="772" t="s">
        <v>17</v>
      </c>
      <c r="W17" s="773">
        <f>J17</f>
        <v>100</v>
      </c>
      <c r="X17" s="1813"/>
      <c r="Y17" s="3218"/>
      <c r="Z17" s="1814" t="str">
        <f>Q17</f>
        <v>交通便捷度</v>
      </c>
      <c r="AA17" s="1811">
        <f t="shared" si="3"/>
        <v>1</v>
      </c>
      <c r="AB17" s="1811">
        <f t="shared" si="4"/>
        <v>1</v>
      </c>
      <c r="AC17" s="1811">
        <f t="shared" si="5"/>
        <v>1</v>
      </c>
    </row>
    <row r="18" spans="1:29" ht="15">
      <c r="A18" s="427"/>
      <c r="B18" s="455"/>
      <c r="C18" s="2608"/>
      <c r="D18" s="449"/>
      <c r="E18" s="2610"/>
      <c r="F18" s="452"/>
      <c r="G18" s="2609"/>
      <c r="H18" s="447"/>
      <c r="I18" s="2610"/>
      <c r="J18" s="447"/>
      <c r="K18" s="614"/>
      <c r="L18" s="1141"/>
      <c r="M18" s="1132"/>
      <c r="N18" s="1132"/>
      <c r="O18" s="1140"/>
      <c r="P18" s="3218"/>
      <c r="Q18" s="1810"/>
      <c r="R18" s="772"/>
      <c r="S18" s="773"/>
      <c r="T18" s="772"/>
      <c r="U18" s="773"/>
      <c r="V18" s="772"/>
      <c r="W18" s="773"/>
      <c r="X18" s="1813"/>
      <c r="Y18" s="3218"/>
      <c r="Z18" s="1814"/>
      <c r="AA18" s="1811">
        <v>1</v>
      </c>
      <c r="AB18" s="1811">
        <v>1</v>
      </c>
      <c r="AC18" s="1811">
        <v>1</v>
      </c>
    </row>
    <row r="19" spans="1:29" ht="15">
      <c r="A19" s="427"/>
      <c r="B19" s="450" t="s">
        <v>2675</v>
      </c>
      <c r="C19" s="260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8"/>
      <c r="Q19" s="1810" t="str">
        <f>B19</f>
        <v>公共配套设施</v>
      </c>
      <c r="R19" s="772" t="s">
        <v>17</v>
      </c>
      <c r="S19" s="773">
        <f>F19</f>
        <v>100</v>
      </c>
      <c r="T19" s="772" t="s">
        <v>17</v>
      </c>
      <c r="U19" s="773">
        <f>H19</f>
        <v>100</v>
      </c>
      <c r="V19" s="772" t="s">
        <v>17</v>
      </c>
      <c r="W19" s="773">
        <f>J19</f>
        <v>100</v>
      </c>
      <c r="X19" s="1813"/>
      <c r="Y19" s="3218"/>
      <c r="Z19" s="1814" t="str">
        <f>Q19</f>
        <v>公共配套设施</v>
      </c>
      <c r="AA19" s="1811">
        <f t="shared" si="3"/>
        <v>1</v>
      </c>
      <c r="AB19" s="1811">
        <f t="shared" si="4"/>
        <v>1</v>
      </c>
      <c r="AC19" s="1811">
        <f t="shared" si="5"/>
        <v>1</v>
      </c>
    </row>
    <row r="20" spans="1:29" ht="15">
      <c r="A20" s="427"/>
      <c r="B20" s="455"/>
      <c r="C20" s="446"/>
      <c r="D20" s="447"/>
      <c r="E20" s="2605"/>
      <c r="F20" s="448"/>
      <c r="G20" s="2604"/>
      <c r="H20" s="447"/>
      <c r="I20" s="2605"/>
      <c r="J20" s="447"/>
      <c r="K20" s="614"/>
      <c r="L20" s="1141"/>
      <c r="M20" s="1132"/>
      <c r="N20" s="1132"/>
      <c r="O20" s="1140"/>
      <c r="P20" s="3218"/>
      <c r="Q20" s="1810"/>
      <c r="R20" s="772"/>
      <c r="S20" s="773"/>
      <c r="T20" s="772"/>
      <c r="U20" s="773"/>
      <c r="V20" s="772"/>
      <c r="W20" s="773"/>
      <c r="X20" s="1813"/>
      <c r="Y20" s="3218"/>
      <c r="Z20" s="1814"/>
      <c r="AA20" s="1811">
        <v>1</v>
      </c>
      <c r="AB20" s="1811">
        <v>1</v>
      </c>
      <c r="AC20" s="1811">
        <v>1</v>
      </c>
    </row>
    <row r="21" spans="1:29" ht="15">
      <c r="A21" s="427"/>
      <c r="B21" s="1385" t="s">
        <v>2676</v>
      </c>
      <c r="C21" s="260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8"/>
      <c r="Q21" s="1810" t="str">
        <f>B21</f>
        <v>基础设施水平</v>
      </c>
      <c r="R21" s="772" t="s">
        <v>17</v>
      </c>
      <c r="S21" s="773">
        <f>F21</f>
        <v>100</v>
      </c>
      <c r="T21" s="772" t="s">
        <v>17</v>
      </c>
      <c r="U21" s="773">
        <f>H21</f>
        <v>100</v>
      </c>
      <c r="V21" s="772" t="s">
        <v>17</v>
      </c>
      <c r="W21" s="773">
        <f>J21</f>
        <v>100</v>
      </c>
      <c r="X21" s="1813"/>
      <c r="Y21" s="3218"/>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8"/>
      <c r="G22" s="446"/>
      <c r="H22" s="447"/>
      <c r="I22" s="446"/>
      <c r="J22" s="447"/>
      <c r="K22" s="1384"/>
      <c r="L22" s="1141"/>
      <c r="M22" s="1132"/>
      <c r="N22" s="1132"/>
      <c r="O22" s="1140"/>
      <c r="P22" s="3218"/>
      <c r="Q22" s="1810"/>
      <c r="R22" s="772"/>
      <c r="S22" s="773"/>
      <c r="T22" s="772"/>
      <c r="U22" s="773"/>
      <c r="V22" s="772"/>
      <c r="W22" s="773"/>
      <c r="X22" s="1813"/>
      <c r="Y22" s="3218"/>
      <c r="Z22" s="1814"/>
      <c r="AA22" s="1811">
        <v>1</v>
      </c>
      <c r="AB22" s="1811">
        <v>1</v>
      </c>
      <c r="AC22" s="1811">
        <v>1</v>
      </c>
    </row>
    <row r="23" spans="1:29" ht="15">
      <c r="A23" s="427"/>
      <c r="B23" s="450" t="s">
        <v>2677</v>
      </c>
      <c r="C23" s="260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8"/>
      <c r="Q23" s="1810" t="str">
        <f>B23</f>
        <v>环境质量</v>
      </c>
      <c r="R23" s="772" t="s">
        <v>17</v>
      </c>
      <c r="S23" s="773">
        <f>F23</f>
        <v>100</v>
      </c>
      <c r="T23" s="772" t="s">
        <v>17</v>
      </c>
      <c r="U23" s="773">
        <f>H23</f>
        <v>100</v>
      </c>
      <c r="V23" s="772" t="s">
        <v>17</v>
      </c>
      <c r="W23" s="773">
        <f>J23</f>
        <v>100</v>
      </c>
      <c r="X23" s="1813"/>
      <c r="Y23" s="3218"/>
      <c r="Z23" s="1814" t="str">
        <f>Q23</f>
        <v>环境质量</v>
      </c>
      <c r="AA23" s="1811">
        <f t="shared" si="3"/>
        <v>1</v>
      </c>
      <c r="AB23" s="1811">
        <f t="shared" si="4"/>
        <v>1</v>
      </c>
      <c r="AC23" s="1811">
        <f t="shared" si="5"/>
        <v>1</v>
      </c>
    </row>
    <row r="24" spans="1:29" ht="15">
      <c r="A24" s="427"/>
      <c r="B24" s="1385"/>
      <c r="C24" s="446"/>
      <c r="D24" s="447"/>
      <c r="E24" s="2605"/>
      <c r="F24" s="448"/>
      <c r="G24" s="2604"/>
      <c r="H24" s="447"/>
      <c r="I24" s="2605"/>
      <c r="J24" s="447"/>
      <c r="K24" s="614"/>
      <c r="L24" s="1141"/>
      <c r="M24" s="1132"/>
      <c r="N24" s="1132"/>
      <c r="O24" s="1140"/>
      <c r="P24" s="3218"/>
      <c r="Q24" s="1810"/>
      <c r="R24" s="772"/>
      <c r="S24" s="773"/>
      <c r="T24" s="772"/>
      <c r="U24" s="773"/>
      <c r="V24" s="772"/>
      <c r="W24" s="773"/>
      <c r="X24" s="1813"/>
      <c r="Y24" s="3218"/>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8"/>
      <c r="Q25" s="1810">
        <f>B25</f>
        <v>111</v>
      </c>
      <c r="R25" s="772" t="s">
        <v>17</v>
      </c>
      <c r="S25" s="773">
        <f>F25</f>
        <v>100</v>
      </c>
      <c r="T25" s="772" t="s">
        <v>17</v>
      </c>
      <c r="U25" s="773">
        <f>H25</f>
        <v>100</v>
      </c>
      <c r="V25" s="772" t="s">
        <v>17</v>
      </c>
      <c r="W25" s="773">
        <f>J25</f>
        <v>100</v>
      </c>
      <c r="X25" s="1813"/>
      <c r="Y25" s="3218"/>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8"/>
      <c r="Q26" s="1810">
        <f t="shared" ref="Q26:Q40" si="11">B26</f>
        <v>111</v>
      </c>
      <c r="R26" s="772" t="s">
        <v>17</v>
      </c>
      <c r="S26" s="773">
        <f>F26</f>
        <v>100</v>
      </c>
      <c r="T26" s="772" t="s">
        <v>17</v>
      </c>
      <c r="U26" s="773">
        <f>H26</f>
        <v>100</v>
      </c>
      <c r="V26" s="772" t="s">
        <v>17</v>
      </c>
      <c r="W26" s="773">
        <f>J26</f>
        <v>100</v>
      </c>
      <c r="X26" s="1813"/>
      <c r="Y26" s="3218"/>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8"/>
      <c r="Q27" s="1795">
        <f t="shared" si="11"/>
        <v>111</v>
      </c>
      <c r="R27" s="768" t="s">
        <v>17</v>
      </c>
      <c r="S27" s="769">
        <f>F27</f>
        <v>100</v>
      </c>
      <c r="T27" s="768" t="s">
        <v>17</v>
      </c>
      <c r="U27" s="769">
        <f>H27</f>
        <v>100</v>
      </c>
      <c r="V27" s="768" t="s">
        <v>17</v>
      </c>
      <c r="W27" s="769">
        <f>J27</f>
        <v>100</v>
      </c>
      <c r="X27" s="770"/>
      <c r="Y27" s="3218"/>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8"/>
      <c r="Q28" s="1810">
        <f t="shared" si="11"/>
        <v>111</v>
      </c>
      <c r="R28" s="772" t="s">
        <v>17</v>
      </c>
      <c r="S28" s="773">
        <f t="shared" ref="S28:S40" si="12">F28</f>
        <v>100</v>
      </c>
      <c r="T28" s="772" t="s">
        <v>17</v>
      </c>
      <c r="U28" s="773">
        <f t="shared" ref="U28:U40" si="13">H28</f>
        <v>100</v>
      </c>
      <c r="V28" s="772" t="s">
        <v>17</v>
      </c>
      <c r="W28" s="773">
        <f t="shared" ref="W28:W40" si="14">J28</f>
        <v>100</v>
      </c>
      <c r="X28" s="1813"/>
      <c r="Y28" s="3218"/>
      <c r="Z28" s="1814">
        <f t="shared" ref="Z28:Z40" si="15">Q28</f>
        <v>111</v>
      </c>
      <c r="AA28" s="1811">
        <f t="shared" si="3"/>
        <v>1</v>
      </c>
      <c r="AB28" s="1811">
        <f t="shared" si="4"/>
        <v>1</v>
      </c>
      <c r="AC28" s="1811">
        <f t="shared" si="5"/>
        <v>1</v>
      </c>
    </row>
    <row r="29" spans="1:29" ht="15">
      <c r="A29" s="465" t="s">
        <v>2550</v>
      </c>
      <c r="B29" s="70" t="s">
        <v>2680</v>
      </c>
      <c r="C29" s="2679"/>
      <c r="D29" s="466">
        <v>100</v>
      </c>
      <c r="E29" s="2679"/>
      <c r="F29" s="460">
        <f>SUMIF(88:88,E29,89:89)-SUMIF(88:88,C29,89:89)+100</f>
        <v>100</v>
      </c>
      <c r="G29" s="2679"/>
      <c r="H29" s="434">
        <f>SUMIF(88:88,G29,89:89)-SUMIF(88:88,C29,89:89)+100</f>
        <v>100</v>
      </c>
      <c r="I29" s="2679"/>
      <c r="J29" s="466">
        <f>SUMIF(88:88,I29,89:89)-SUMIF(88:88,C29,89:89)+100</f>
        <v>100</v>
      </c>
      <c r="K29" s="611"/>
      <c r="L29" s="1141"/>
      <c r="M29" s="1132"/>
      <c r="N29" s="1132"/>
      <c r="O29" s="1140"/>
      <c r="P29" s="3264" t="s">
        <v>2552</v>
      </c>
      <c r="Q29" s="1810" t="str">
        <f t="shared" si="11"/>
        <v>建筑类型</v>
      </c>
      <c r="R29" s="772" t="s">
        <v>17</v>
      </c>
      <c r="S29" s="773">
        <f t="shared" si="12"/>
        <v>100</v>
      </c>
      <c r="T29" s="772" t="s">
        <v>17</v>
      </c>
      <c r="U29" s="773">
        <f t="shared" si="13"/>
        <v>100</v>
      </c>
      <c r="V29" s="772" t="s">
        <v>17</v>
      </c>
      <c r="W29" s="773">
        <f t="shared" si="14"/>
        <v>100</v>
      </c>
      <c r="X29" s="1813"/>
      <c r="Y29" s="3222" t="s">
        <v>2552</v>
      </c>
      <c r="Z29" s="1814" t="str">
        <f t="shared" si="15"/>
        <v>建筑类型</v>
      </c>
      <c r="AA29" s="1811">
        <f t="shared" si="3"/>
        <v>1</v>
      </c>
      <c r="AB29" s="1811">
        <f t="shared" si="4"/>
        <v>1</v>
      </c>
      <c r="AC29" s="1811">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2"/>
      <c r="Q30" s="774" t="str">
        <f t="shared" si="11"/>
        <v>项目建筑规模</v>
      </c>
      <c r="R30" s="775" t="s">
        <v>17</v>
      </c>
      <c r="S30" s="776" t="e">
        <f t="shared" si="12"/>
        <v>#N/A</v>
      </c>
      <c r="T30" s="775" t="s">
        <v>17</v>
      </c>
      <c r="U30" s="776" t="e">
        <f t="shared" si="13"/>
        <v>#N/A</v>
      </c>
      <c r="V30" s="775" t="s">
        <v>17</v>
      </c>
      <c r="W30" s="776" t="e">
        <f t="shared" si="14"/>
        <v>#N/A</v>
      </c>
      <c r="X30" s="777"/>
      <c r="Y30" s="3222"/>
      <c r="Z30" s="778" t="str">
        <f t="shared" si="15"/>
        <v>项目建筑规模</v>
      </c>
      <c r="AA30" s="1811" t="e">
        <f t="shared" si="3"/>
        <v>#N/A</v>
      </c>
      <c r="AB30" s="1811" t="e">
        <f t="shared" si="4"/>
        <v>#N/A</v>
      </c>
      <c r="AC30" s="1811"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2"/>
      <c r="Q31" s="1810" t="str">
        <f t="shared" si="11"/>
        <v>建筑结构</v>
      </c>
      <c r="R31" s="772" t="s">
        <v>17</v>
      </c>
      <c r="S31" s="773">
        <f t="shared" si="12"/>
        <v>100</v>
      </c>
      <c r="T31" s="772" t="s">
        <v>17</v>
      </c>
      <c r="U31" s="773">
        <f t="shared" si="13"/>
        <v>100</v>
      </c>
      <c r="V31" s="772" t="s">
        <v>17</v>
      </c>
      <c r="W31" s="773">
        <f t="shared" si="14"/>
        <v>100</v>
      </c>
      <c r="X31" s="1813"/>
      <c r="Y31" s="3222"/>
      <c r="Z31" s="1814" t="str">
        <f t="shared" si="15"/>
        <v>建筑结构</v>
      </c>
      <c r="AA31" s="1811">
        <f t="shared" si="3"/>
        <v>1</v>
      </c>
      <c r="AB31" s="1811">
        <f t="shared" si="4"/>
        <v>1</v>
      </c>
      <c r="AC31" s="1811">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2"/>
      <c r="Q32" s="1810" t="str">
        <f t="shared" si="11"/>
        <v>公共部分装修</v>
      </c>
      <c r="R32" s="772" t="s">
        <v>17</v>
      </c>
      <c r="S32" s="773">
        <f t="shared" si="12"/>
        <v>100</v>
      </c>
      <c r="T32" s="772" t="s">
        <v>17</v>
      </c>
      <c r="U32" s="773">
        <f t="shared" si="13"/>
        <v>100</v>
      </c>
      <c r="V32" s="772" t="s">
        <v>17</v>
      </c>
      <c r="W32" s="773">
        <f t="shared" si="14"/>
        <v>100</v>
      </c>
      <c r="X32" s="1813"/>
      <c r="Y32" s="3222"/>
      <c r="Z32" s="1814" t="str">
        <f t="shared" si="15"/>
        <v>公共部分装修</v>
      </c>
      <c r="AA32" s="1811">
        <f t="shared" si="3"/>
        <v>1</v>
      </c>
      <c r="AB32" s="1811">
        <f t="shared" si="4"/>
        <v>1</v>
      </c>
      <c r="AC32" s="1811">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2"/>
      <c r="Q33" s="1810" t="str">
        <f t="shared" si="11"/>
        <v>成新度</v>
      </c>
      <c r="R33" s="772" t="s">
        <v>17</v>
      </c>
      <c r="S33" s="773" t="e">
        <f t="shared" si="12"/>
        <v>#N/A</v>
      </c>
      <c r="T33" s="772" t="s">
        <v>17</v>
      </c>
      <c r="U33" s="773" t="e">
        <f t="shared" si="13"/>
        <v>#N/A</v>
      </c>
      <c r="V33" s="772" t="s">
        <v>17</v>
      </c>
      <c r="W33" s="773" t="e">
        <f t="shared" si="14"/>
        <v>#N/A</v>
      </c>
      <c r="X33" s="1813"/>
      <c r="Y33" s="3222"/>
      <c r="Z33" s="1814" t="str">
        <f t="shared" si="15"/>
        <v>成新度</v>
      </c>
      <c r="AA33" s="1811" t="e">
        <f t="shared" si="3"/>
        <v>#N/A</v>
      </c>
      <c r="AB33" s="1811" t="e">
        <f t="shared" si="4"/>
        <v>#N/A</v>
      </c>
      <c r="AC33" s="1811"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2"/>
      <c r="Q34" s="1795" t="str">
        <f t="shared" si="11"/>
        <v>物业管理</v>
      </c>
      <c r="R34" s="768" t="s">
        <v>17</v>
      </c>
      <c r="S34" s="769">
        <f t="shared" si="12"/>
        <v>100</v>
      </c>
      <c r="T34" s="768" t="s">
        <v>17</v>
      </c>
      <c r="U34" s="769">
        <f t="shared" si="13"/>
        <v>100</v>
      </c>
      <c r="V34" s="768" t="s">
        <v>17</v>
      </c>
      <c r="W34" s="769">
        <f t="shared" si="14"/>
        <v>100</v>
      </c>
      <c r="X34" s="770"/>
      <c r="Y34" s="3222"/>
      <c r="Z34" s="54" t="str">
        <f t="shared" si="15"/>
        <v>物业管理</v>
      </c>
      <c r="AA34" s="771">
        <f t="shared" si="3"/>
        <v>1</v>
      </c>
      <c r="AB34" s="771">
        <f t="shared" si="4"/>
        <v>1</v>
      </c>
      <c r="AC34" s="771">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2" t="s">
        <v>2552</v>
      </c>
      <c r="Q35" s="1810" t="str">
        <f t="shared" si="11"/>
        <v>市政基础设施</v>
      </c>
      <c r="R35" s="772" t="s">
        <v>17</v>
      </c>
      <c r="S35" s="773">
        <f t="shared" si="12"/>
        <v>100</v>
      </c>
      <c r="T35" s="772" t="s">
        <v>17</v>
      </c>
      <c r="U35" s="773">
        <f t="shared" si="13"/>
        <v>100</v>
      </c>
      <c r="V35" s="772" t="s">
        <v>17</v>
      </c>
      <c r="W35" s="773">
        <f t="shared" si="14"/>
        <v>100</v>
      </c>
      <c r="X35" s="1813"/>
      <c r="Y35" s="3222" t="s">
        <v>2552</v>
      </c>
      <c r="Z35" s="1814" t="str">
        <f t="shared" si="15"/>
        <v>市政基础设施</v>
      </c>
      <c r="AA35" s="1811">
        <f t="shared" si="3"/>
        <v>1</v>
      </c>
      <c r="AB35" s="1811">
        <f t="shared" si="4"/>
        <v>1</v>
      </c>
      <c r="AC35" s="1811">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2"/>
      <c r="Q36" s="1810" t="str">
        <f t="shared" si="11"/>
        <v>内部装修</v>
      </c>
      <c r="R36" s="772" t="s">
        <v>17</v>
      </c>
      <c r="S36" s="773">
        <f t="shared" si="12"/>
        <v>100</v>
      </c>
      <c r="T36" s="772" t="s">
        <v>17</v>
      </c>
      <c r="U36" s="773">
        <f t="shared" si="13"/>
        <v>100</v>
      </c>
      <c r="V36" s="772" t="s">
        <v>17</v>
      </c>
      <c r="W36" s="773">
        <f t="shared" si="14"/>
        <v>100</v>
      </c>
      <c r="X36" s="1813"/>
      <c r="Y36" s="3222"/>
      <c r="Z36" s="1814" t="str">
        <f t="shared" si="15"/>
        <v>内部装修</v>
      </c>
      <c r="AA36" s="1811">
        <f t="shared" si="3"/>
        <v>1</v>
      </c>
      <c r="AB36" s="1811">
        <f t="shared" si="4"/>
        <v>1</v>
      </c>
      <c r="AC36" s="1811">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2"/>
      <c r="Q37" s="1810" t="str">
        <f t="shared" si="11"/>
        <v>内部装修状况</v>
      </c>
      <c r="R37" s="772" t="s">
        <v>17</v>
      </c>
      <c r="S37" s="773">
        <f t="shared" si="12"/>
        <v>100</v>
      </c>
      <c r="T37" s="772" t="s">
        <v>17</v>
      </c>
      <c r="U37" s="773">
        <f t="shared" si="13"/>
        <v>100</v>
      </c>
      <c r="V37" s="772" t="s">
        <v>17</v>
      </c>
      <c r="W37" s="773">
        <f t="shared" si="14"/>
        <v>100</v>
      </c>
      <c r="X37" s="1813"/>
      <c r="Y37" s="3222"/>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2"/>
      <c r="Q38" s="774">
        <f t="shared" si="11"/>
        <v>111</v>
      </c>
      <c r="R38" s="775" t="s">
        <v>17</v>
      </c>
      <c r="S38" s="776">
        <f t="shared" si="12"/>
        <v>100</v>
      </c>
      <c r="T38" s="775" t="s">
        <v>17</v>
      </c>
      <c r="U38" s="776">
        <f t="shared" si="13"/>
        <v>100</v>
      </c>
      <c r="V38" s="775" t="s">
        <v>17</v>
      </c>
      <c r="W38" s="776">
        <f t="shared" si="14"/>
        <v>100</v>
      </c>
      <c r="X38" s="777"/>
      <c r="Y38" s="3222"/>
      <c r="Z38" s="778">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2"/>
      <c r="Q39" s="1810">
        <f t="shared" si="11"/>
        <v>111</v>
      </c>
      <c r="R39" s="772" t="s">
        <v>17</v>
      </c>
      <c r="S39" s="773">
        <f t="shared" si="12"/>
        <v>100</v>
      </c>
      <c r="T39" s="772" t="s">
        <v>17</v>
      </c>
      <c r="U39" s="773">
        <f t="shared" si="13"/>
        <v>100</v>
      </c>
      <c r="V39" s="772" t="s">
        <v>17</v>
      </c>
      <c r="W39" s="773">
        <f t="shared" si="14"/>
        <v>100</v>
      </c>
      <c r="X39" s="1813"/>
      <c r="Y39" s="3222"/>
      <c r="Z39" s="1814">
        <f t="shared" si="15"/>
        <v>111</v>
      </c>
      <c r="AA39" s="1811">
        <f t="shared" si="3"/>
        <v>1</v>
      </c>
      <c r="AB39" s="1811">
        <f t="shared" si="4"/>
        <v>1</v>
      </c>
      <c r="AC39" s="1811">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3"/>
      <c r="Q40" s="1810">
        <f t="shared" si="11"/>
        <v>111</v>
      </c>
      <c r="R40" s="772" t="s">
        <v>17</v>
      </c>
      <c r="S40" s="773">
        <f t="shared" si="12"/>
        <v>100</v>
      </c>
      <c r="T40" s="772" t="s">
        <v>17</v>
      </c>
      <c r="U40" s="773">
        <f t="shared" si="13"/>
        <v>100</v>
      </c>
      <c r="V40" s="772" t="s">
        <v>17</v>
      </c>
      <c r="W40" s="773">
        <f t="shared" si="14"/>
        <v>100</v>
      </c>
      <c r="X40" s="1813"/>
      <c r="Y40" s="3223"/>
      <c r="Z40" s="1814">
        <f t="shared" si="15"/>
        <v>111</v>
      </c>
      <c r="AA40" s="1811">
        <f t="shared" si="3"/>
        <v>1</v>
      </c>
      <c r="AB40" s="1811">
        <f t="shared" si="4"/>
        <v>1</v>
      </c>
      <c r="AC40" s="1811">
        <f t="shared" si="5"/>
        <v>1</v>
      </c>
    </row>
    <row r="41" spans="1:29" ht="15">
      <c r="A41" s="478" t="s">
        <v>2564</v>
      </c>
      <c r="B41" s="479"/>
      <c r="C41" s="1408" t="s">
        <v>1</v>
      </c>
      <c r="D41" s="1409"/>
      <c r="E41" s="1410"/>
      <c r="F41" s="1411"/>
      <c r="G41" s="1412"/>
      <c r="H41" s="1413"/>
      <c r="I41" s="1410"/>
      <c r="J41" s="1413"/>
      <c r="K41" s="781"/>
      <c r="L41" s="1144"/>
      <c r="M41" s="1145"/>
      <c r="N41" s="1132"/>
      <c r="O41" s="1145"/>
      <c r="P41" s="3210" t="str">
        <f>A41</f>
        <v>成交单价（元/平方米）</v>
      </c>
      <c r="Q41" s="3210"/>
      <c r="R41" s="3211">
        <f>E41</f>
        <v>0</v>
      </c>
      <c r="S41" s="3211"/>
      <c r="T41" s="3211">
        <f>G41</f>
        <v>0</v>
      </c>
      <c r="U41" s="3211"/>
      <c r="V41" s="3211">
        <f>I41</f>
        <v>0</v>
      </c>
      <c r="W41" s="3211"/>
      <c r="X41" s="757"/>
      <c r="Y41" s="779"/>
      <c r="Z41" s="757"/>
      <c r="AA41" s="757"/>
      <c r="AB41" s="757"/>
      <c r="AC41" s="757"/>
    </row>
    <row r="42" spans="1:29" ht="15.75" thickBot="1">
      <c r="A42" s="485" t="s">
        <v>2656</v>
      </c>
      <c r="B42" s="486"/>
      <c r="C42" s="1414" t="e">
        <f>R43</f>
        <v>#DIV/0!</v>
      </c>
      <c r="D42" s="1415"/>
      <c r="E42" s="1416" t="e">
        <f>R42</f>
        <v>#DIV/0!</v>
      </c>
      <c r="F42" s="1416"/>
      <c r="G42" s="1414" t="e">
        <f>T42</f>
        <v>#DIV/0!</v>
      </c>
      <c r="H42" s="1415"/>
      <c r="I42" s="1416" t="e">
        <f>V42</f>
        <v>#DIV/0!</v>
      </c>
      <c r="J42" s="1415"/>
      <c r="K42" s="782"/>
      <c r="L42" s="1144"/>
      <c r="M42" s="1145"/>
      <c r="N42" s="1132"/>
      <c r="O42" s="1145"/>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7"/>
      <c r="Y42" s="757"/>
      <c r="Z42" s="757"/>
      <c r="AA42" s="757"/>
      <c r="AB42" s="757"/>
      <c r="AC42" s="757"/>
    </row>
    <row r="43" spans="1:29" ht="15.75" thickBot="1">
      <c r="A43" s="491" t="s">
        <v>2657</v>
      </c>
      <c r="B43" s="492"/>
      <c r="C43" s="1418" t="e">
        <f>R43</f>
        <v>#DIV/0!</v>
      </c>
      <c r="D43" s="1418"/>
      <c r="E43" s="1418"/>
      <c r="F43" s="1418"/>
      <c r="G43" s="1418"/>
      <c r="H43" s="1418"/>
      <c r="I43" s="1418"/>
      <c r="J43" s="1418"/>
      <c r="K43" s="783"/>
      <c r="L43" s="1144"/>
      <c r="M43" s="1145"/>
      <c r="N43" s="1145"/>
      <c r="O43" s="1145"/>
      <c r="P43" s="3212" t="str">
        <f>A43</f>
        <v>估价对象XX用房的比较价值（楼面单价，元/平方米）</v>
      </c>
      <c r="Q43" s="3213"/>
      <c r="R43" s="3214" t="e">
        <f>IF(F1="售价",ROUND(AVERAGE(R42:V42),0),ROUND(AVERAGE(R42:V42),1))</f>
        <v>#DIV/0!</v>
      </c>
      <c r="S43" s="3214"/>
      <c r="T43" s="3214"/>
      <c r="U43" s="3214"/>
      <c r="V43" s="3214"/>
      <c r="W43" s="321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2661</v>
      </c>
      <c r="B51" s="757"/>
      <c r="C51" s="762"/>
      <c r="D51" s="762"/>
      <c r="E51" s="762"/>
      <c r="F51" s="763"/>
      <c r="G51" s="763"/>
      <c r="H51" s="762"/>
      <c r="I51" s="762"/>
      <c r="J51" s="762"/>
      <c r="K51" s="1161"/>
      <c r="L51" s="1162"/>
      <c r="M51" s="1160"/>
      <c r="N51" s="1160"/>
      <c r="O51" s="1160"/>
      <c r="P51" s="502"/>
      <c r="Q51" s="503"/>
    </row>
    <row r="52" spans="1:17" s="507" customFormat="1" ht="15">
      <c r="A52" s="504" t="s">
        <v>2535</v>
      </c>
      <c r="B52" s="505"/>
      <c r="C52" s="1575" t="str">
        <f>YEAR(C7)&amp;"-"&amp;MONTH(C7)</f>
        <v>2018-9</v>
      </c>
      <c r="D52" s="1576">
        <f>EDATE(C52,-1)</f>
        <v>43313</v>
      </c>
      <c r="E52" s="1576">
        <f t="shared" ref="E52:O52" si="16">EDATE(D52,-1)</f>
        <v>43282</v>
      </c>
      <c r="F52" s="1576">
        <f t="shared" si="16"/>
        <v>43252</v>
      </c>
      <c r="G52" s="1576">
        <f t="shared" si="16"/>
        <v>43221</v>
      </c>
      <c r="H52" s="1576">
        <f t="shared" si="16"/>
        <v>43191</v>
      </c>
      <c r="I52" s="1576">
        <f t="shared" si="16"/>
        <v>43160</v>
      </c>
      <c r="J52" s="1576">
        <f t="shared" si="16"/>
        <v>43132</v>
      </c>
      <c r="K52" s="1576">
        <f t="shared" si="16"/>
        <v>43101</v>
      </c>
      <c r="L52" s="1576">
        <f t="shared" si="16"/>
        <v>43070</v>
      </c>
      <c r="M52" s="1576">
        <f t="shared" si="16"/>
        <v>43040</v>
      </c>
      <c r="N52" s="1576">
        <f t="shared" si="16"/>
        <v>43009</v>
      </c>
      <c r="O52" s="1576">
        <f t="shared" si="16"/>
        <v>42979</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6"/>
      <c r="B87" s="568"/>
      <c r="C87" s="569"/>
      <c r="D87" s="569"/>
      <c r="E87" s="569"/>
      <c r="F87" s="569"/>
      <c r="G87" s="590"/>
      <c r="H87" s="590"/>
      <c r="I87" s="590"/>
      <c r="J87" s="590"/>
      <c r="K87" s="590"/>
      <c r="L87" s="590"/>
      <c r="M87" s="591"/>
      <c r="N87" s="1154"/>
      <c r="O87" s="1154"/>
      <c r="P87" s="44"/>
      <c r="Q87" s="503"/>
    </row>
    <row r="88" spans="1:17">
      <c r="A88" s="526" t="s">
        <v>2550</v>
      </c>
      <c r="B88" s="527" t="s">
        <v>2599</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2603</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2607</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6"/>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86"/>
      <c r="D2" s="1125" t="e">
        <f ca="1">SUMIF(INDIRECT("'"&amp;F2&amp;"'"&amp;"!A:A"),"承租人权益价值",INDIRECT("'"&amp;F2&amp;"'"&amp;"!c:c"))</f>
        <v>#REF!</v>
      </c>
      <c r="E2" s="2587" t="s">
        <v>2315</v>
      </c>
      <c r="F2" s="2588"/>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7" t="s">
        <v>2635</v>
      </c>
      <c r="AC4" s="3226" t="s">
        <v>2636</v>
      </c>
    </row>
    <row r="5" spans="1:29" ht="15">
      <c r="A5" s="403"/>
      <c r="B5" s="404"/>
      <c r="C5" s="3265" t="s">
        <v>2529</v>
      </c>
      <c r="D5" s="3248"/>
      <c r="E5" s="3291" t="s">
        <v>2530</v>
      </c>
      <c r="F5" s="3254"/>
      <c r="G5" s="3265" t="s">
        <v>2531</v>
      </c>
      <c r="H5" s="3248"/>
      <c r="I5" s="3265" t="s">
        <v>2532</v>
      </c>
      <c r="J5" s="3248"/>
      <c r="K5" s="609"/>
      <c r="L5" s="1131"/>
      <c r="M5" s="1132"/>
      <c r="N5" s="1132"/>
      <c r="O5" s="1132"/>
      <c r="P5" s="3235"/>
      <c r="Q5" s="3236"/>
      <c r="R5" s="3241"/>
      <c r="S5" s="3242"/>
      <c r="T5" s="3241"/>
      <c r="U5" s="3242"/>
      <c r="V5" s="3224"/>
      <c r="W5" s="3224"/>
      <c r="X5" s="1813"/>
      <c r="Y5" s="3241"/>
      <c r="Z5" s="3242"/>
      <c r="AA5" s="3227"/>
      <c r="AB5" s="3227"/>
      <c r="AC5" s="3227"/>
    </row>
    <row r="6" spans="1:29" ht="15.75" thickBot="1">
      <c r="A6" s="405"/>
      <c r="B6" s="406"/>
      <c r="C6" s="3288" t="s">
        <v>2533</v>
      </c>
      <c r="D6" s="3246"/>
      <c r="E6" s="3289" t="s">
        <v>2533</v>
      </c>
      <c r="F6" s="3290"/>
      <c r="G6" s="3288" t="s">
        <v>2533</v>
      </c>
      <c r="H6" s="3246"/>
      <c r="I6" s="3288" t="s">
        <v>2533</v>
      </c>
      <c r="J6" s="3246"/>
      <c r="K6" s="609" t="s">
        <v>2534</v>
      </c>
      <c r="L6" s="1131"/>
      <c r="M6" s="1132"/>
      <c r="N6" s="1132"/>
      <c r="O6" s="1132"/>
      <c r="P6" s="3237"/>
      <c r="Q6" s="3238"/>
      <c r="R6" s="3241"/>
      <c r="S6" s="3242"/>
      <c r="T6" s="3243"/>
      <c r="U6" s="3244"/>
      <c r="V6" s="3224"/>
      <c r="W6" s="3224"/>
      <c r="X6" s="1813"/>
      <c r="Y6" s="3243"/>
      <c r="Z6" s="3244"/>
      <c r="AA6" s="3228"/>
      <c r="AB6" s="3228"/>
      <c r="AC6" s="3228"/>
    </row>
    <row r="7" spans="1:29" s="116" customFormat="1" ht="15.75" thickBot="1">
      <c r="A7" s="407" t="s">
        <v>2535</v>
      </c>
      <c r="B7" s="408"/>
      <c r="C7" s="409">
        <f>'数据-取费表'!B2</f>
        <v>43344</v>
      </c>
      <c r="D7" s="410">
        <v>100</v>
      </c>
      <c r="E7" s="411"/>
      <c r="F7" s="412">
        <f>SUMIF(46:46,YEAR(E7)&amp;"-"&amp;MONTH(E7),47:47)</f>
        <v>0</v>
      </c>
      <c r="G7" s="2696"/>
      <c r="H7" s="410">
        <f>SUMIF(46:46,YEAR(G7)&amp;"-"&amp;MONTH(G7),47:47)</f>
        <v>0</v>
      </c>
      <c r="I7" s="411"/>
      <c r="J7" s="410">
        <f>SUMIF(46:46,YEAR(I7)&amp;"-"&amp;MONTH(I7),47:47)</f>
        <v>0</v>
      </c>
      <c r="K7" s="610"/>
      <c r="L7" s="1133"/>
      <c r="M7" s="1134"/>
      <c r="N7" s="1134"/>
      <c r="O7" s="1134"/>
      <c r="P7" s="3249" t="s">
        <v>2536</v>
      </c>
      <c r="Q7" s="3251"/>
      <c r="R7" s="768" t="s">
        <v>17</v>
      </c>
      <c r="S7" s="769">
        <f t="shared" ref="S7:S14" si="0">F7</f>
        <v>0</v>
      </c>
      <c r="T7" s="768" t="s">
        <v>17</v>
      </c>
      <c r="U7" s="769">
        <f t="shared" ref="U7:U14" si="1">H7</f>
        <v>0</v>
      </c>
      <c r="V7" s="768" t="s">
        <v>17</v>
      </c>
      <c r="W7" s="769">
        <f t="shared" ref="W7:W14" si="2">J7</f>
        <v>0</v>
      </c>
      <c r="X7" s="770"/>
      <c r="Y7" s="3249" t="s">
        <v>2536</v>
      </c>
      <c r="Z7" s="3250"/>
      <c r="AA7" s="771" t="e">
        <f>D7/F7</f>
        <v>#DIV/0!</v>
      </c>
      <c r="AB7" s="771" t="e">
        <f>D7/H7</f>
        <v>#DIV/0!</v>
      </c>
      <c r="AC7" s="771"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49" t="s">
        <v>2539</v>
      </c>
      <c r="Q8" s="3250"/>
      <c r="R8" s="768" t="s">
        <v>17</v>
      </c>
      <c r="S8" s="769">
        <f t="shared" si="0"/>
        <v>0</v>
      </c>
      <c r="T8" s="768" t="s">
        <v>17</v>
      </c>
      <c r="U8" s="769">
        <f t="shared" si="1"/>
        <v>0</v>
      </c>
      <c r="V8" s="768" t="s">
        <v>17</v>
      </c>
      <c r="W8" s="769">
        <f t="shared" si="2"/>
        <v>0</v>
      </c>
      <c r="X8" s="770"/>
      <c r="Y8" s="3249" t="s">
        <v>2539</v>
      </c>
      <c r="Z8" s="3250"/>
      <c r="AA8" s="771" t="e">
        <f t="shared" ref="AA8:AA34" si="3">D8/F8</f>
        <v>#DIV/0!</v>
      </c>
      <c r="AB8" s="771" t="e">
        <f t="shared" ref="AB8:AB34" si="4">D8/H8</f>
        <v>#DIV/0!</v>
      </c>
      <c r="AC8" s="771" t="e">
        <f t="shared" ref="AC8:AC34" si="5">D8/J8</f>
        <v>#DIV/0!</v>
      </c>
    </row>
    <row r="9" spans="1:29" s="116" customFormat="1">
      <c r="A9" s="414" t="s">
        <v>2540</v>
      </c>
      <c r="B9" s="70" t="s">
        <v>2541</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0" t="s">
        <v>2542</v>
      </c>
      <c r="Q9" s="1795" t="str">
        <f t="shared" ref="Q9:Q14" si="6">B9</f>
        <v>用途</v>
      </c>
      <c r="R9" s="768" t="s">
        <v>17</v>
      </c>
      <c r="S9" s="769">
        <f t="shared" si="0"/>
        <v>100</v>
      </c>
      <c r="T9" s="768" t="s">
        <v>17</v>
      </c>
      <c r="U9" s="769">
        <f t="shared" si="1"/>
        <v>100</v>
      </c>
      <c r="V9" s="768" t="s">
        <v>17</v>
      </c>
      <c r="W9" s="769">
        <f t="shared" si="2"/>
        <v>100</v>
      </c>
      <c r="X9" s="770"/>
      <c r="Y9" s="3065" t="s">
        <v>2543</v>
      </c>
      <c r="Z9" s="54" t="str">
        <f t="shared" ref="Z9:Z14" si="7">Q9</f>
        <v>用途</v>
      </c>
      <c r="AA9" s="771">
        <f t="shared" si="3"/>
        <v>1</v>
      </c>
      <c r="AB9" s="771">
        <f t="shared" si="4"/>
        <v>1</v>
      </c>
      <c r="AC9" s="771">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0"/>
      <c r="Q10" s="1795" t="str">
        <f t="shared" si="6"/>
        <v>土地使用年限（年）</v>
      </c>
      <c r="R10" s="768" t="s">
        <v>17</v>
      </c>
      <c r="S10" s="769">
        <f t="shared" si="0"/>
        <v>100</v>
      </c>
      <c r="T10" s="768" t="s">
        <v>17</v>
      </c>
      <c r="U10" s="769">
        <f t="shared" si="1"/>
        <v>100</v>
      </c>
      <c r="V10" s="768" t="s">
        <v>17</v>
      </c>
      <c r="W10" s="769">
        <f t="shared" si="2"/>
        <v>100</v>
      </c>
      <c r="X10" s="770"/>
      <c r="Y10" s="3065"/>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0"/>
      <c r="Q11" s="1795">
        <f t="shared" si="6"/>
        <v>111</v>
      </c>
      <c r="R11" s="768" t="s">
        <v>17</v>
      </c>
      <c r="S11" s="769">
        <f t="shared" si="0"/>
        <v>100</v>
      </c>
      <c r="T11" s="768" t="s">
        <v>17</v>
      </c>
      <c r="U11" s="769">
        <f t="shared" si="1"/>
        <v>100</v>
      </c>
      <c r="V11" s="768" t="s">
        <v>17</v>
      </c>
      <c r="W11" s="769">
        <f t="shared" si="2"/>
        <v>100</v>
      </c>
      <c r="X11" s="770"/>
      <c r="Y11" s="3065"/>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65"/>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65"/>
      <c r="Z13" s="54">
        <f t="shared" si="7"/>
        <v>111</v>
      </c>
      <c r="AA13" s="771">
        <f t="shared" si="3"/>
        <v>1</v>
      </c>
      <c r="AB13" s="771">
        <f t="shared" si="4"/>
        <v>1</v>
      </c>
      <c r="AC13" s="771">
        <f t="shared" si="5"/>
        <v>1</v>
      </c>
    </row>
    <row r="14" spans="1:29" ht="15">
      <c r="A14" s="439" t="s">
        <v>2546</v>
      </c>
      <c r="B14" s="68" t="s">
        <v>2696</v>
      </c>
      <c r="C14" s="269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7" t="s">
        <v>2547</v>
      </c>
      <c r="Q14" s="1810" t="str">
        <f t="shared" si="6"/>
        <v>交通便捷度</v>
      </c>
      <c r="R14" s="772" t="s">
        <v>17</v>
      </c>
      <c r="S14" s="773">
        <f t="shared" si="0"/>
        <v>100</v>
      </c>
      <c r="T14" s="772" t="s">
        <v>17</v>
      </c>
      <c r="U14" s="773">
        <f t="shared" si="1"/>
        <v>100</v>
      </c>
      <c r="V14" s="772" t="s">
        <v>17</v>
      </c>
      <c r="W14" s="773">
        <f t="shared" si="2"/>
        <v>100</v>
      </c>
      <c r="X14" s="1813"/>
      <c r="Y14" s="3217" t="s">
        <v>2547</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8"/>
      <c r="Q15" s="1810"/>
      <c r="R15" s="772"/>
      <c r="S15" s="773"/>
      <c r="T15" s="772"/>
      <c r="U15" s="773"/>
      <c r="V15" s="772"/>
      <c r="W15" s="773"/>
      <c r="X15" s="1813"/>
      <c r="Y15" s="3218"/>
      <c r="Z15" s="1814"/>
      <c r="AA15" s="1811">
        <v>1</v>
      </c>
      <c r="AB15" s="1811">
        <v>1</v>
      </c>
      <c r="AC15" s="1811">
        <v>1</v>
      </c>
    </row>
    <row r="16" spans="1:29" ht="15">
      <c r="A16" s="427"/>
      <c r="B16" s="450" t="s">
        <v>2675</v>
      </c>
      <c r="C16" s="260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8"/>
      <c r="Q16" s="1810" t="str">
        <f>B16</f>
        <v>公共配套设施</v>
      </c>
      <c r="R16" s="772" t="s">
        <v>17</v>
      </c>
      <c r="S16" s="773">
        <f>F16</f>
        <v>100</v>
      </c>
      <c r="T16" s="772" t="s">
        <v>17</v>
      </c>
      <c r="U16" s="773">
        <f>H16</f>
        <v>100</v>
      </c>
      <c r="V16" s="772" t="s">
        <v>17</v>
      </c>
      <c r="W16" s="773">
        <f>J16</f>
        <v>100</v>
      </c>
      <c r="X16" s="1813"/>
      <c r="Y16" s="3218"/>
      <c r="Z16" s="1814" t="str">
        <f>Q16</f>
        <v>公共配套设施</v>
      </c>
      <c r="AA16" s="1811">
        <f t="shared" si="3"/>
        <v>1</v>
      </c>
      <c r="AB16" s="1811">
        <f t="shared" si="4"/>
        <v>1</v>
      </c>
      <c r="AC16" s="1811">
        <f t="shared" si="5"/>
        <v>1</v>
      </c>
    </row>
    <row r="17" spans="1:29" ht="15">
      <c r="A17" s="427"/>
      <c r="B17" s="455"/>
      <c r="C17" s="2608"/>
      <c r="D17" s="447"/>
      <c r="E17" s="446"/>
      <c r="F17" s="448"/>
      <c r="G17" s="446"/>
      <c r="H17" s="447"/>
      <c r="I17" s="446"/>
      <c r="J17" s="447"/>
      <c r="K17" s="614"/>
      <c r="L17" s="1141"/>
      <c r="M17" s="1132"/>
      <c r="N17" s="1132"/>
      <c r="O17" s="1140"/>
      <c r="P17" s="3218"/>
      <c r="Q17" s="1810"/>
      <c r="R17" s="772"/>
      <c r="S17" s="773"/>
      <c r="T17" s="772"/>
      <c r="U17" s="773"/>
      <c r="V17" s="772"/>
      <c r="W17" s="773"/>
      <c r="X17" s="1813"/>
      <c r="Y17" s="3218"/>
      <c r="Z17" s="1814"/>
      <c r="AA17" s="1811">
        <v>1</v>
      </c>
      <c r="AB17" s="1811">
        <v>1</v>
      </c>
      <c r="AC17" s="1811">
        <v>1</v>
      </c>
    </row>
    <row r="18" spans="1:29" ht="15">
      <c r="A18" s="427"/>
      <c r="B18" s="1385" t="s">
        <v>2676</v>
      </c>
      <c r="C18" s="260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8"/>
      <c r="Q18" s="1810" t="str">
        <f>B18</f>
        <v>基础设施水平</v>
      </c>
      <c r="R18" s="772" t="s">
        <v>17</v>
      </c>
      <c r="S18" s="773">
        <f>F18</f>
        <v>100</v>
      </c>
      <c r="T18" s="772" t="s">
        <v>17</v>
      </c>
      <c r="U18" s="773">
        <f>H18</f>
        <v>100</v>
      </c>
      <c r="V18" s="772" t="s">
        <v>17</v>
      </c>
      <c r="W18" s="773">
        <f>J18</f>
        <v>100</v>
      </c>
      <c r="X18" s="1813"/>
      <c r="Y18" s="3218"/>
      <c r="Z18" s="1814" t="str">
        <f>Q18</f>
        <v>基础设施水平</v>
      </c>
      <c r="AA18" s="1811">
        <f t="shared" ref="AA18" si="8">D18/F18</f>
        <v>1</v>
      </c>
      <c r="AB18" s="1811">
        <f t="shared" ref="AB18" si="9">D18/H18</f>
        <v>1</v>
      </c>
      <c r="AC18" s="1811">
        <f t="shared" ref="AC18" si="10">D18/J18</f>
        <v>1</v>
      </c>
    </row>
    <row r="19" spans="1:29" ht="15">
      <c r="A19" s="427"/>
      <c r="B19" s="1385"/>
      <c r="C19" s="2608"/>
      <c r="D19" s="449"/>
      <c r="E19" s="2608"/>
      <c r="F19" s="452"/>
      <c r="G19" s="2608"/>
      <c r="H19" s="447"/>
      <c r="I19" s="446"/>
      <c r="J19" s="447"/>
      <c r="K19" s="1384"/>
      <c r="L19" s="1141"/>
      <c r="M19" s="1132"/>
      <c r="N19" s="1132"/>
      <c r="O19" s="1140"/>
      <c r="P19" s="3218"/>
      <c r="Q19" s="1810"/>
      <c r="R19" s="772"/>
      <c r="S19" s="773"/>
      <c r="T19" s="772"/>
      <c r="U19" s="773"/>
      <c r="V19" s="772"/>
      <c r="W19" s="773"/>
      <c r="X19" s="1813"/>
      <c r="Y19" s="3218"/>
      <c r="Z19" s="1814"/>
      <c r="AA19" s="1811">
        <v>1</v>
      </c>
      <c r="AB19" s="1811">
        <v>1</v>
      </c>
      <c r="AC19" s="1811">
        <v>1</v>
      </c>
    </row>
    <row r="20" spans="1:29" ht="15">
      <c r="A20" s="427"/>
      <c r="B20" s="450" t="s">
        <v>2697</v>
      </c>
      <c r="C20" s="260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8"/>
      <c r="Q20" s="1810" t="str">
        <f>B20</f>
        <v>自然及人文环境</v>
      </c>
      <c r="R20" s="772" t="s">
        <v>17</v>
      </c>
      <c r="S20" s="773">
        <f>F20</f>
        <v>100</v>
      </c>
      <c r="T20" s="772" t="s">
        <v>17</v>
      </c>
      <c r="U20" s="773">
        <f>H20</f>
        <v>100</v>
      </c>
      <c r="V20" s="772" t="s">
        <v>17</v>
      </c>
      <c r="W20" s="773">
        <f>J20</f>
        <v>100</v>
      </c>
      <c r="X20" s="1813"/>
      <c r="Y20" s="3218"/>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8"/>
      <c r="Q21" s="1810"/>
      <c r="R21" s="772"/>
      <c r="S21" s="773"/>
      <c r="T21" s="772"/>
      <c r="U21" s="773"/>
      <c r="V21" s="772"/>
      <c r="W21" s="773"/>
      <c r="X21" s="1813"/>
      <c r="Y21" s="3218"/>
      <c r="Z21" s="1814"/>
      <c r="AA21" s="1811">
        <v>1</v>
      </c>
      <c r="AB21" s="1811">
        <v>1</v>
      </c>
      <c r="AC21" s="1811">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8"/>
      <c r="Q22" s="1810" t="str">
        <f>B22</f>
        <v>楼层</v>
      </c>
      <c r="R22" s="772" t="s">
        <v>17</v>
      </c>
      <c r="S22" s="773">
        <f>F22</f>
        <v>100</v>
      </c>
      <c r="T22" s="772" t="s">
        <v>17</v>
      </c>
      <c r="U22" s="773">
        <f>H22</f>
        <v>100</v>
      </c>
      <c r="V22" s="772" t="s">
        <v>17</v>
      </c>
      <c r="W22" s="773">
        <f>J22</f>
        <v>100</v>
      </c>
      <c r="X22" s="1813"/>
      <c r="Y22" s="3218"/>
      <c r="Z22" s="1814" t="str">
        <f>Q22</f>
        <v>楼层</v>
      </c>
      <c r="AA22" s="1811">
        <f t="shared" si="3"/>
        <v>1</v>
      </c>
      <c r="AB22" s="1811">
        <f t="shared" si="4"/>
        <v>1</v>
      </c>
      <c r="AC22" s="1811">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8"/>
      <c r="Q23" s="1810">
        <f>B23</f>
        <v>111</v>
      </c>
      <c r="R23" s="772" t="s">
        <v>17</v>
      </c>
      <c r="S23" s="773">
        <f>F23</f>
        <v>100</v>
      </c>
      <c r="T23" s="772" t="s">
        <v>17</v>
      </c>
      <c r="U23" s="773">
        <f>H23</f>
        <v>100</v>
      </c>
      <c r="V23" s="772" t="s">
        <v>17</v>
      </c>
      <c r="W23" s="773">
        <f>J23</f>
        <v>100</v>
      </c>
      <c r="X23" s="1813"/>
      <c r="Y23" s="3218"/>
      <c r="Z23" s="1814">
        <f>Q23</f>
        <v>111</v>
      </c>
      <c r="AA23" s="1811">
        <f t="shared" si="3"/>
        <v>1</v>
      </c>
      <c r="AB23" s="1811">
        <f t="shared" si="4"/>
        <v>1</v>
      </c>
      <c r="AC23" s="1811">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8"/>
      <c r="Q24" s="1810">
        <f t="shared" ref="Q24:Q34" si="11">B24</f>
        <v>111</v>
      </c>
      <c r="R24" s="772" t="s">
        <v>17</v>
      </c>
      <c r="S24" s="773">
        <f>F24</f>
        <v>100</v>
      </c>
      <c r="T24" s="772" t="s">
        <v>17</v>
      </c>
      <c r="U24" s="773">
        <f>H24</f>
        <v>100</v>
      </c>
      <c r="V24" s="772" t="s">
        <v>17</v>
      </c>
      <c r="W24" s="773">
        <f>J24</f>
        <v>100</v>
      </c>
      <c r="X24" s="1813"/>
      <c r="Y24" s="3218"/>
      <c r="Z24" s="1814">
        <f>Q24</f>
        <v>111</v>
      </c>
      <c r="AA24" s="1811">
        <f t="shared" si="3"/>
        <v>1</v>
      </c>
      <c r="AB24" s="1811">
        <f t="shared" si="4"/>
        <v>1</v>
      </c>
      <c r="AC24" s="1811">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3"/>
      <c r="M25" s="1134"/>
      <c r="N25" s="1134"/>
      <c r="O25" s="1135"/>
      <c r="P25" s="3218"/>
      <c r="Q25" s="1795">
        <f t="shared" si="11"/>
        <v>111</v>
      </c>
      <c r="R25" s="768" t="s">
        <v>17</v>
      </c>
      <c r="S25" s="769">
        <f>F25</f>
        <v>100</v>
      </c>
      <c r="T25" s="768" t="s">
        <v>17</v>
      </c>
      <c r="U25" s="769">
        <f>H25</f>
        <v>100</v>
      </c>
      <c r="V25" s="768" t="s">
        <v>17</v>
      </c>
      <c r="W25" s="769">
        <f>J25</f>
        <v>100</v>
      </c>
      <c r="X25" s="770"/>
      <c r="Y25" s="3218"/>
      <c r="Z25" s="54">
        <f>Q25</f>
        <v>111</v>
      </c>
      <c r="AA25" s="1811">
        <f>D25/F25</f>
        <v>1</v>
      </c>
      <c r="AB25" s="1811">
        <f>D25/H25</f>
        <v>1</v>
      </c>
      <c r="AC25" s="1811">
        <f>D25/J25</f>
        <v>1</v>
      </c>
    </row>
    <row r="26" spans="1:29" ht="15">
      <c r="A26" s="465" t="s">
        <v>2550</v>
      </c>
      <c r="B26" s="70" t="s">
        <v>2701</v>
      </c>
      <c r="C26" s="2679"/>
      <c r="D26" s="466">
        <v>100</v>
      </c>
      <c r="E26" s="2679"/>
      <c r="F26" s="666">
        <f>SUMIF(77:77,E26,78:78)-SUMIF(77:77,C26,78:78)+100</f>
        <v>100</v>
      </c>
      <c r="G26" s="2679"/>
      <c r="H26" s="466">
        <f>SUMIF(77:77,G26,78:78)-SUMIF(77:77,C26,78:78)+100</f>
        <v>100</v>
      </c>
      <c r="I26" s="2679"/>
      <c r="J26" s="466">
        <f>SUMIF(77:77,I26,78:78)-SUMIF(77:77,C26,78:78)+100</f>
        <v>100</v>
      </c>
      <c r="K26" s="611"/>
      <c r="L26" s="1141"/>
      <c r="M26" s="1132"/>
      <c r="N26" s="1132"/>
      <c r="O26" s="1140"/>
      <c r="P26" s="3264" t="s">
        <v>2552</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22" t="s">
        <v>2552</v>
      </c>
      <c r="Z26" s="1814" t="str">
        <f t="shared" ref="Z26:Z34" si="15">Q26</f>
        <v>公共部分装修</v>
      </c>
      <c r="AA26" s="1811">
        <f t="shared" si="3"/>
        <v>1</v>
      </c>
      <c r="AB26" s="1811">
        <f t="shared" si="4"/>
        <v>1</v>
      </c>
      <c r="AC26" s="1811">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2"/>
      <c r="Q27" s="774" t="str">
        <f t="shared" si="11"/>
        <v>成新率</v>
      </c>
      <c r="R27" s="775" t="s">
        <v>17</v>
      </c>
      <c r="S27" s="776" t="e">
        <f t="shared" si="12"/>
        <v>#N/A</v>
      </c>
      <c r="T27" s="775" t="s">
        <v>17</v>
      </c>
      <c r="U27" s="776" t="e">
        <f t="shared" si="13"/>
        <v>#N/A</v>
      </c>
      <c r="V27" s="775" t="s">
        <v>17</v>
      </c>
      <c r="W27" s="776" t="e">
        <f t="shared" si="14"/>
        <v>#N/A</v>
      </c>
      <c r="X27" s="777"/>
      <c r="Y27" s="3222"/>
      <c r="Z27" s="778" t="str">
        <f t="shared" si="15"/>
        <v>成新率</v>
      </c>
      <c r="AA27" s="1811" t="e">
        <f t="shared" si="3"/>
        <v>#N/A</v>
      </c>
      <c r="AB27" s="1811" t="e">
        <f t="shared" si="4"/>
        <v>#N/A</v>
      </c>
      <c r="AC27" s="1811"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2"/>
      <c r="Q28" s="1810" t="str">
        <f t="shared" si="11"/>
        <v>物业等级</v>
      </c>
      <c r="R28" s="772" t="s">
        <v>17</v>
      </c>
      <c r="S28" s="773">
        <f t="shared" si="12"/>
        <v>100</v>
      </c>
      <c r="T28" s="772" t="s">
        <v>17</v>
      </c>
      <c r="U28" s="773">
        <f t="shared" si="13"/>
        <v>100</v>
      </c>
      <c r="V28" s="772" t="s">
        <v>17</v>
      </c>
      <c r="W28" s="773">
        <f t="shared" si="14"/>
        <v>100</v>
      </c>
      <c r="X28" s="1813"/>
      <c r="Y28" s="3222"/>
      <c r="Z28" s="1814" t="str">
        <f t="shared" si="15"/>
        <v>物业等级</v>
      </c>
      <c r="AA28" s="1811">
        <f t="shared" si="3"/>
        <v>1</v>
      </c>
      <c r="AB28" s="1811">
        <f t="shared" si="4"/>
        <v>1</v>
      </c>
      <c r="AC28" s="181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2"/>
      <c r="Q29" s="1810" t="str">
        <f t="shared" si="11"/>
        <v>有无电梯</v>
      </c>
      <c r="R29" s="772" t="s">
        <v>17</v>
      </c>
      <c r="S29" s="773">
        <f t="shared" si="12"/>
        <v>100</v>
      </c>
      <c r="T29" s="772" t="s">
        <v>17</v>
      </c>
      <c r="U29" s="773">
        <f t="shared" si="13"/>
        <v>100</v>
      </c>
      <c r="V29" s="772" t="s">
        <v>17</v>
      </c>
      <c r="W29" s="773">
        <f t="shared" si="14"/>
        <v>100</v>
      </c>
      <c r="X29" s="1813"/>
      <c r="Y29" s="3222"/>
      <c r="Z29" s="1814" t="str">
        <f t="shared" si="15"/>
        <v>有无电梯</v>
      </c>
      <c r="AA29" s="1811">
        <f t="shared" si="3"/>
        <v>1</v>
      </c>
      <c r="AB29" s="1811">
        <f t="shared" si="4"/>
        <v>1</v>
      </c>
      <c r="AC29" s="181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2"/>
      <c r="Q30" s="1810" t="str">
        <f t="shared" si="11"/>
        <v>建筑面积</v>
      </c>
      <c r="R30" s="772" t="s">
        <v>17</v>
      </c>
      <c r="S30" s="773" t="e">
        <f t="shared" si="12"/>
        <v>#N/A</v>
      </c>
      <c r="T30" s="772" t="s">
        <v>17</v>
      </c>
      <c r="U30" s="773" t="e">
        <f t="shared" si="13"/>
        <v>#N/A</v>
      </c>
      <c r="V30" s="772" t="s">
        <v>17</v>
      </c>
      <c r="W30" s="773" t="e">
        <f t="shared" si="14"/>
        <v>#N/A</v>
      </c>
      <c r="X30" s="1813"/>
      <c r="Y30" s="3222"/>
      <c r="Z30" s="1814" t="str">
        <f t="shared" si="15"/>
        <v>建筑面积</v>
      </c>
      <c r="AA30" s="1811" t="e">
        <f t="shared" si="3"/>
        <v>#N/A</v>
      </c>
      <c r="AB30" s="1811" t="e">
        <f t="shared" si="4"/>
        <v>#N/A</v>
      </c>
      <c r="AC30" s="1811"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2"/>
      <c r="Q31" s="1795" t="str">
        <f t="shared" si="11"/>
        <v>是否封闭</v>
      </c>
      <c r="R31" s="768" t="s">
        <v>17</v>
      </c>
      <c r="S31" s="769">
        <f t="shared" si="12"/>
        <v>100</v>
      </c>
      <c r="T31" s="768" t="s">
        <v>17</v>
      </c>
      <c r="U31" s="769">
        <f t="shared" si="13"/>
        <v>100</v>
      </c>
      <c r="V31" s="768" t="s">
        <v>17</v>
      </c>
      <c r="W31" s="769">
        <f t="shared" si="14"/>
        <v>100</v>
      </c>
      <c r="X31" s="770"/>
      <c r="Y31" s="3222"/>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2" t="s">
        <v>2552</v>
      </c>
      <c r="Q32" s="1810">
        <f t="shared" si="11"/>
        <v>111</v>
      </c>
      <c r="R32" s="772" t="s">
        <v>17</v>
      </c>
      <c r="S32" s="773">
        <f t="shared" si="12"/>
        <v>100</v>
      </c>
      <c r="T32" s="772" t="s">
        <v>17</v>
      </c>
      <c r="U32" s="773">
        <f t="shared" si="13"/>
        <v>100</v>
      </c>
      <c r="V32" s="772" t="s">
        <v>17</v>
      </c>
      <c r="W32" s="773">
        <f t="shared" si="14"/>
        <v>100</v>
      </c>
      <c r="X32" s="1813"/>
      <c r="Y32" s="3222" t="s">
        <v>2552</v>
      </c>
      <c r="Z32" s="1814">
        <f t="shared" si="15"/>
        <v>111</v>
      </c>
      <c r="AA32" s="1811">
        <f t="shared" si="3"/>
        <v>1</v>
      </c>
      <c r="AB32" s="1811">
        <f t="shared" si="4"/>
        <v>1</v>
      </c>
      <c r="AC32" s="1811">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2"/>
      <c r="Q33" s="1810">
        <f t="shared" si="11"/>
        <v>111</v>
      </c>
      <c r="R33" s="772" t="s">
        <v>17</v>
      </c>
      <c r="S33" s="773">
        <f t="shared" si="12"/>
        <v>100</v>
      </c>
      <c r="T33" s="772" t="s">
        <v>17</v>
      </c>
      <c r="U33" s="773">
        <f t="shared" si="13"/>
        <v>100</v>
      </c>
      <c r="V33" s="772" t="s">
        <v>17</v>
      </c>
      <c r="W33" s="773">
        <f t="shared" si="14"/>
        <v>100</v>
      </c>
      <c r="X33" s="1813"/>
      <c r="Y33" s="3222"/>
      <c r="Z33" s="1814">
        <f t="shared" si="15"/>
        <v>111</v>
      </c>
      <c r="AA33" s="1811">
        <f t="shared" si="3"/>
        <v>1</v>
      </c>
      <c r="AB33" s="1811">
        <f t="shared" si="4"/>
        <v>1</v>
      </c>
      <c r="AC33" s="1811">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1"/>
      <c r="M34" s="1132"/>
      <c r="N34" s="1132"/>
      <c r="O34" s="1140"/>
      <c r="P34" s="3222"/>
      <c r="Q34" s="1810">
        <f t="shared" si="11"/>
        <v>111</v>
      </c>
      <c r="R34" s="772" t="s">
        <v>17</v>
      </c>
      <c r="S34" s="773">
        <f t="shared" si="12"/>
        <v>100</v>
      </c>
      <c r="T34" s="772" t="s">
        <v>17</v>
      </c>
      <c r="U34" s="773">
        <f t="shared" si="13"/>
        <v>100</v>
      </c>
      <c r="V34" s="772" t="s">
        <v>17</v>
      </c>
      <c r="W34" s="773">
        <f t="shared" si="14"/>
        <v>100</v>
      </c>
      <c r="X34" s="1813"/>
      <c r="Y34" s="3222"/>
      <c r="Z34" s="1814">
        <f t="shared" si="15"/>
        <v>111</v>
      </c>
      <c r="AA34" s="1811">
        <f t="shared" si="3"/>
        <v>1</v>
      </c>
      <c r="AB34" s="1811">
        <f t="shared" si="4"/>
        <v>1</v>
      </c>
      <c r="AC34" s="1811">
        <f t="shared" si="5"/>
        <v>1</v>
      </c>
    </row>
    <row r="35" spans="1:29" ht="15">
      <c r="A35" s="478" t="s">
        <v>2564</v>
      </c>
      <c r="B35" s="479"/>
      <c r="C35" s="1408" t="s">
        <v>1</v>
      </c>
      <c r="D35" s="1409"/>
      <c r="E35" s="1410"/>
      <c r="F35" s="1411"/>
      <c r="G35" s="1412"/>
      <c r="H35" s="1413"/>
      <c r="I35" s="1410"/>
      <c r="J35" s="1413"/>
      <c r="K35" s="781"/>
      <c r="L35" s="1144"/>
      <c r="M35" s="1145"/>
      <c r="N35" s="1132"/>
      <c r="O35" s="1145"/>
      <c r="P35" s="3210" t="str">
        <f>A35</f>
        <v>成交单价（元/平方米）</v>
      </c>
      <c r="Q35" s="3210"/>
      <c r="R35" s="3211">
        <f>E35</f>
        <v>0</v>
      </c>
      <c r="S35" s="3211"/>
      <c r="T35" s="3211">
        <f>G35</f>
        <v>0</v>
      </c>
      <c r="U35" s="3211"/>
      <c r="V35" s="3211">
        <f>I35</f>
        <v>0</v>
      </c>
      <c r="W35" s="3211"/>
      <c r="X35" s="757"/>
      <c r="Y35" s="779"/>
      <c r="Z35" s="757"/>
      <c r="AA35" s="757"/>
      <c r="AB35" s="757"/>
      <c r="AC35" s="757"/>
    </row>
    <row r="36" spans="1:29" ht="15.75" thickBot="1">
      <c r="A36" s="485" t="s">
        <v>2656</v>
      </c>
      <c r="B36" s="486"/>
      <c r="C36" s="1414" t="e">
        <f>R37</f>
        <v>#DIV/0!</v>
      </c>
      <c r="D36" s="1415"/>
      <c r="E36" s="1416" t="e">
        <f>R36</f>
        <v>#DIV/0!</v>
      </c>
      <c r="F36" s="1416"/>
      <c r="G36" s="1414" t="e">
        <f>T36</f>
        <v>#DIV/0!</v>
      </c>
      <c r="H36" s="1415"/>
      <c r="I36" s="1416" t="e">
        <f>V36</f>
        <v>#DIV/0!</v>
      </c>
      <c r="J36" s="1415"/>
      <c r="K36" s="782"/>
      <c r="L36" s="1144"/>
      <c r="M36" s="1145"/>
      <c r="N36" s="1132"/>
      <c r="O36" s="1145"/>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7"/>
      <c r="Y36" s="757"/>
      <c r="Z36" s="757"/>
      <c r="AA36" s="757"/>
      <c r="AB36" s="757"/>
      <c r="AC36" s="757"/>
    </row>
    <row r="37" spans="1:29" ht="15.75" thickBot="1">
      <c r="A37" s="491" t="s">
        <v>2657</v>
      </c>
      <c r="B37" s="492"/>
      <c r="C37" s="1418" t="e">
        <f>R37</f>
        <v>#DIV/0!</v>
      </c>
      <c r="D37" s="1418"/>
      <c r="E37" s="1418"/>
      <c r="F37" s="1418"/>
      <c r="G37" s="1418"/>
      <c r="H37" s="1418"/>
      <c r="I37" s="1418"/>
      <c r="J37" s="1418"/>
      <c r="K37" s="783"/>
      <c r="L37" s="1144"/>
      <c r="M37" s="1145"/>
      <c r="N37" s="1145"/>
      <c r="O37" s="1145"/>
      <c r="P37" s="3212" t="str">
        <f>A37</f>
        <v>估价对象XX用房的比较价值（楼面单价，元/平方米）</v>
      </c>
      <c r="Q37" s="3213"/>
      <c r="R37" s="3214" t="e">
        <f>IF(F1="售价",ROUND(AVERAGE(R36:V36),0),ROUND(AVERAGE(R36:V36),1))</f>
        <v>#DIV/0!</v>
      </c>
      <c r="S37" s="3214"/>
      <c r="T37" s="3214"/>
      <c r="U37" s="3214"/>
      <c r="V37" s="3214"/>
      <c r="W37" s="321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2661</v>
      </c>
      <c r="B45" s="757"/>
      <c r="C45" s="762"/>
      <c r="D45" s="762"/>
      <c r="E45" s="762"/>
      <c r="F45" s="763"/>
      <c r="G45" s="763"/>
      <c r="H45" s="762"/>
      <c r="I45" s="762"/>
      <c r="J45" s="762"/>
      <c r="K45" s="764"/>
      <c r="L45" s="765"/>
      <c r="M45" s="762"/>
      <c r="N45" s="762"/>
      <c r="O45" s="762"/>
      <c r="P45" s="502"/>
      <c r="Q45" s="503"/>
    </row>
    <row r="46" spans="1:29" s="507" customFormat="1" ht="15">
      <c r="A46" s="504" t="s">
        <v>2535</v>
      </c>
      <c r="B46" s="505"/>
      <c r="C46" s="1575" t="str">
        <f>YEAR(C7)&amp;"-"&amp;MONTH(C7)</f>
        <v>2018-9</v>
      </c>
      <c r="D46" s="1576">
        <f>EDATE(C46,-1)</f>
        <v>43313</v>
      </c>
      <c r="E46" s="1576">
        <f t="shared" ref="E46:O46" si="16">EDATE(D46,-1)</f>
        <v>43282</v>
      </c>
      <c r="F46" s="1576">
        <f t="shared" si="16"/>
        <v>43252</v>
      </c>
      <c r="G46" s="1576">
        <f t="shared" si="16"/>
        <v>43221</v>
      </c>
      <c r="H46" s="1576">
        <f t="shared" si="16"/>
        <v>43191</v>
      </c>
      <c r="I46" s="1576">
        <f t="shared" si="16"/>
        <v>43160</v>
      </c>
      <c r="J46" s="1576">
        <f t="shared" si="16"/>
        <v>43132</v>
      </c>
      <c r="K46" s="1576">
        <f t="shared" si="16"/>
        <v>43101</v>
      </c>
      <c r="L46" s="1576">
        <f t="shared" si="16"/>
        <v>43070</v>
      </c>
      <c r="M46" s="1576">
        <f t="shared" si="16"/>
        <v>43040</v>
      </c>
      <c r="N46" s="1576">
        <f t="shared" si="16"/>
        <v>43009</v>
      </c>
      <c r="O46" s="1576">
        <f t="shared" si="16"/>
        <v>42979</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2716</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2728</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2314</v>
      </c>
      <c r="B2" s="670"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7" t="s">
        <v>2635</v>
      </c>
      <c r="AC4" s="3226" t="s">
        <v>2636</v>
      </c>
    </row>
    <row r="5" spans="1:30" ht="15">
      <c r="A5" s="403"/>
      <c r="B5" s="404"/>
      <c r="C5" s="3265" t="s">
        <v>2529</v>
      </c>
      <c r="D5" s="3248"/>
      <c r="E5" s="3291" t="s">
        <v>2530</v>
      </c>
      <c r="F5" s="3254"/>
      <c r="G5" s="3265" t="s">
        <v>2531</v>
      </c>
      <c r="H5" s="3248"/>
      <c r="I5" s="3265" t="s">
        <v>2532</v>
      </c>
      <c r="J5" s="3248"/>
      <c r="K5" s="609"/>
      <c r="L5" s="1131"/>
      <c r="M5" s="1132"/>
      <c r="N5" s="1132"/>
      <c r="O5" s="1132"/>
      <c r="P5" s="3235"/>
      <c r="Q5" s="3236"/>
      <c r="R5" s="3241"/>
      <c r="S5" s="3242"/>
      <c r="T5" s="3241"/>
      <c r="U5" s="3242"/>
      <c r="V5" s="3224"/>
      <c r="W5" s="3224"/>
      <c r="X5" s="1813"/>
      <c r="Y5" s="3241"/>
      <c r="Z5" s="3242"/>
      <c r="AA5" s="3227"/>
      <c r="AB5" s="3227"/>
      <c r="AC5" s="3227"/>
    </row>
    <row r="6" spans="1:30" ht="15.75" thickBot="1">
      <c r="A6" s="405"/>
      <c r="B6" s="406"/>
      <c r="C6" s="3288" t="s">
        <v>2533</v>
      </c>
      <c r="D6" s="3246"/>
      <c r="E6" s="3289" t="s">
        <v>2533</v>
      </c>
      <c r="F6" s="3290"/>
      <c r="G6" s="3288" t="s">
        <v>2533</v>
      </c>
      <c r="H6" s="3246"/>
      <c r="I6" s="3288" t="s">
        <v>2533</v>
      </c>
      <c r="J6" s="3246"/>
      <c r="K6" s="609" t="s">
        <v>2534</v>
      </c>
      <c r="L6" s="1131"/>
      <c r="M6" s="1132"/>
      <c r="N6" s="1132"/>
      <c r="O6" s="1132"/>
      <c r="P6" s="3237"/>
      <c r="Q6" s="3238"/>
      <c r="R6" s="3241"/>
      <c r="S6" s="3242"/>
      <c r="T6" s="3243"/>
      <c r="U6" s="3244"/>
      <c r="V6" s="3224"/>
      <c r="W6" s="3224"/>
      <c r="X6" s="1813"/>
      <c r="Y6" s="3243"/>
      <c r="Z6" s="3244"/>
      <c r="AA6" s="3228"/>
      <c r="AB6" s="3228"/>
      <c r="AC6" s="3228"/>
    </row>
    <row r="7" spans="1:30" s="116" customFormat="1" ht="15.75" thickBot="1">
      <c r="A7" s="407" t="s">
        <v>2535</v>
      </c>
      <c r="B7" s="408"/>
      <c r="C7" s="409">
        <f>'数据-取费表'!B2</f>
        <v>43344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3"/>
      <c r="M7" s="1134"/>
      <c r="N7" s="1134"/>
      <c r="O7" s="1134"/>
      <c r="P7" s="3249" t="s">
        <v>2536</v>
      </c>
      <c r="Q7" s="3251"/>
      <c r="R7" s="768" t="s">
        <v>17</v>
      </c>
      <c r="S7" s="769">
        <f t="shared" ref="S7:S15" si="0">F7</f>
        <v>0</v>
      </c>
      <c r="T7" s="768" t="s">
        <v>17</v>
      </c>
      <c r="U7" s="769">
        <f t="shared" ref="U7:U15" si="1">H7</f>
        <v>0</v>
      </c>
      <c r="V7" s="768" t="s">
        <v>17</v>
      </c>
      <c r="W7" s="769">
        <f t="shared" ref="W7:W15" si="2">J7</f>
        <v>0</v>
      </c>
      <c r="X7" s="770"/>
      <c r="Y7" s="3249" t="s">
        <v>2536</v>
      </c>
      <c r="Z7" s="3250"/>
      <c r="AA7" s="771" t="e">
        <f>D7/F7</f>
        <v>#DIV/0!</v>
      </c>
      <c r="AB7" s="771" t="e">
        <f>D7/H7</f>
        <v>#DIV/0!</v>
      </c>
      <c r="AC7" s="771" t="e">
        <f>D7/J7</f>
        <v>#DIV/0!</v>
      </c>
    </row>
    <row r="8" spans="1:30" s="116"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49" t="s">
        <v>2539</v>
      </c>
      <c r="Q8" s="3250"/>
      <c r="R8" s="768" t="s">
        <v>17</v>
      </c>
      <c r="S8" s="769">
        <f t="shared" si="0"/>
        <v>0</v>
      </c>
      <c r="T8" s="768" t="s">
        <v>17</v>
      </c>
      <c r="U8" s="769">
        <f t="shared" si="1"/>
        <v>0</v>
      </c>
      <c r="V8" s="768" t="s">
        <v>17</v>
      </c>
      <c r="W8" s="769">
        <f t="shared" si="2"/>
        <v>0</v>
      </c>
      <c r="X8" s="770"/>
      <c r="Y8" s="3249" t="s">
        <v>2539</v>
      </c>
      <c r="Z8" s="3250"/>
      <c r="AA8" s="771" t="e">
        <f t="shared" ref="AA8:AA45" si="3">D8/F8</f>
        <v>#DIV/0!</v>
      </c>
      <c r="AB8" s="771" t="e">
        <f t="shared" ref="AB8:AB45" si="4">D8/H8</f>
        <v>#DIV/0!</v>
      </c>
      <c r="AC8" s="771" t="e">
        <f t="shared" ref="AC8:AC45" si="5">D8/J8</f>
        <v>#DIV/0!</v>
      </c>
    </row>
    <row r="9" spans="1:30" s="116" customFormat="1">
      <c r="A9" s="414" t="s">
        <v>2540</v>
      </c>
      <c r="B9" s="70" t="s">
        <v>2541</v>
      </c>
      <c r="C9" s="2699"/>
      <c r="D9" s="134">
        <v>100</v>
      </c>
      <c r="E9" s="2699"/>
      <c r="F9" s="134">
        <f>SUMIF(75:75,E9,76:76)-SUMIF(75:75,C9,76:76)+100</f>
        <v>100</v>
      </c>
      <c r="G9" s="2699"/>
      <c r="H9" s="134">
        <f>SUMIF(75:75,G9,76:76)-SUMIF(75:75,C9,76:76)+100</f>
        <v>100</v>
      </c>
      <c r="I9" s="2699"/>
      <c r="J9" s="134">
        <f>SUMIF(75:75,I9,76:76)-SUMIF(75:75,C9,76:76)+100</f>
        <v>100</v>
      </c>
      <c r="K9" s="610"/>
      <c r="L9" s="1133"/>
      <c r="M9" s="1134"/>
      <c r="N9" s="1134"/>
      <c r="O9" s="1135"/>
      <c r="P9" s="3210"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771">
        <f t="shared" si="5"/>
        <v>1</v>
      </c>
    </row>
    <row r="10" spans="1:30" s="426" customFormat="1" ht="27">
      <c r="A10" s="420"/>
      <c r="B10" s="421" t="s">
        <v>2544</v>
      </c>
      <c r="C10" s="431"/>
      <c r="D10" s="135">
        <v>100</v>
      </c>
      <c r="E10" s="464"/>
      <c r="F10" s="135">
        <f>ROUND(100/'数据-取费表'!G16,0)</f>
        <v>125</v>
      </c>
      <c r="G10" s="462"/>
      <c r="H10" s="135">
        <f>ROUND(100/'数据-取费表'!G16,0)</f>
        <v>125</v>
      </c>
      <c r="I10" s="462"/>
      <c r="J10" s="135">
        <f>ROUND(100/'数据-取费表'!G16,0)</f>
        <v>125</v>
      </c>
      <c r="K10" s="671"/>
      <c r="L10" s="1136"/>
      <c r="M10" s="1137"/>
      <c r="N10" s="1137"/>
      <c r="O10" s="1138"/>
      <c r="P10" s="3210"/>
      <c r="Q10" s="1795" t="str">
        <f t="shared" si="6"/>
        <v>土地使用年限（年）</v>
      </c>
      <c r="R10" s="768" t="s">
        <v>17</v>
      </c>
      <c r="S10" s="769">
        <f t="shared" si="0"/>
        <v>125</v>
      </c>
      <c r="T10" s="768" t="s">
        <v>17</v>
      </c>
      <c r="U10" s="769">
        <f t="shared" si="1"/>
        <v>125</v>
      </c>
      <c r="V10" s="768" t="s">
        <v>17</v>
      </c>
      <c r="W10" s="769">
        <f t="shared" si="2"/>
        <v>125</v>
      </c>
      <c r="X10" s="770"/>
      <c r="Y10" s="3065"/>
      <c r="Z10" s="54" t="str">
        <f t="shared" si="7"/>
        <v>土地使用年限（年）</v>
      </c>
      <c r="AA10" s="771">
        <f t="shared" si="3"/>
        <v>0.8</v>
      </c>
      <c r="AB10" s="771">
        <f t="shared" si="4"/>
        <v>0.8</v>
      </c>
      <c r="AC10" s="771">
        <f t="shared" si="5"/>
        <v>0.8</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0"/>
      <c r="Q11" s="1795" t="str">
        <f t="shared" si="6"/>
        <v>容积率</v>
      </c>
      <c r="R11" s="768" t="s">
        <v>17</v>
      </c>
      <c r="S11" s="769" t="e">
        <f t="shared" si="0"/>
        <v>#N/A</v>
      </c>
      <c r="T11" s="768" t="s">
        <v>17</v>
      </c>
      <c r="U11" s="769" t="e">
        <f t="shared" si="1"/>
        <v>#N/A</v>
      </c>
      <c r="V11" s="768" t="s">
        <v>17</v>
      </c>
      <c r="W11" s="769" t="e">
        <f t="shared" si="2"/>
        <v>#N/A</v>
      </c>
      <c r="X11" s="770"/>
      <c r="Y11" s="3065"/>
      <c r="Z11" s="54" t="str">
        <f t="shared" si="7"/>
        <v>容积率</v>
      </c>
      <c r="AA11" s="771" t="e">
        <f t="shared" si="3"/>
        <v>#N/A</v>
      </c>
      <c r="AB11" s="771" t="e">
        <f t="shared" si="4"/>
        <v>#N/A</v>
      </c>
      <c r="AC11" s="771" t="e">
        <f t="shared" si="5"/>
        <v>#N/A</v>
      </c>
    </row>
    <row r="12" spans="1:30" s="116" customFormat="1" ht="15">
      <c r="A12" s="430"/>
      <c r="B12" s="2600" t="s">
        <v>2734</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0"/>
      <c r="Q12" s="1795" t="str">
        <f t="shared" si="6"/>
        <v>配建</v>
      </c>
      <c r="R12" s="768" t="s">
        <v>17</v>
      </c>
      <c r="S12" s="769">
        <f t="shared" si="0"/>
        <v>100</v>
      </c>
      <c r="T12" s="768" t="s">
        <v>17</v>
      </c>
      <c r="U12" s="769">
        <f t="shared" si="1"/>
        <v>100</v>
      </c>
      <c r="V12" s="768" t="s">
        <v>17</v>
      </c>
      <c r="W12" s="769">
        <f t="shared" si="2"/>
        <v>100</v>
      </c>
      <c r="X12" s="770"/>
      <c r="Y12" s="3065"/>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65"/>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0"/>
      <c r="Q14" s="1795">
        <f t="shared" si="6"/>
        <v>111</v>
      </c>
      <c r="R14" s="768" t="s">
        <v>17</v>
      </c>
      <c r="S14" s="769">
        <f t="shared" si="0"/>
        <v>100</v>
      </c>
      <c r="T14" s="768" t="s">
        <v>17</v>
      </c>
      <c r="U14" s="769">
        <f t="shared" si="1"/>
        <v>100</v>
      </c>
      <c r="V14" s="768" t="s">
        <v>17</v>
      </c>
      <c r="W14" s="769">
        <f t="shared" si="2"/>
        <v>100</v>
      </c>
      <c r="X14" s="770"/>
      <c r="Y14" s="3065"/>
      <c r="Z14" s="54">
        <f t="shared" si="7"/>
        <v>111</v>
      </c>
      <c r="AA14" s="771">
        <f>D14/F14</f>
        <v>1</v>
      </c>
      <c r="AB14" s="771">
        <f>D14/H14</f>
        <v>1</v>
      </c>
      <c r="AC14" s="771">
        <f>D14/J14</f>
        <v>1</v>
      </c>
    </row>
    <row r="15" spans="1:30" ht="15">
      <c r="A15" s="439" t="s">
        <v>2546</v>
      </c>
      <c r="B15" s="68" t="s">
        <v>2083</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7" t="s">
        <v>2547</v>
      </c>
      <c r="Q15" s="1810" t="str">
        <f t="shared" si="6"/>
        <v>居住社区成熟度</v>
      </c>
      <c r="R15" s="772" t="s">
        <v>17</v>
      </c>
      <c r="S15" s="773">
        <f t="shared" si="0"/>
        <v>100</v>
      </c>
      <c r="T15" s="772" t="s">
        <v>17</v>
      </c>
      <c r="U15" s="773">
        <f t="shared" si="1"/>
        <v>100</v>
      </c>
      <c r="V15" s="772" t="s">
        <v>17</v>
      </c>
      <c r="W15" s="773">
        <f t="shared" si="2"/>
        <v>100</v>
      </c>
      <c r="X15" s="1813"/>
      <c r="Y15" s="3217" t="s">
        <v>2547</v>
      </c>
      <c r="Z15" s="1814" t="str">
        <f t="shared" si="7"/>
        <v>居住社区成熟度</v>
      </c>
      <c r="AA15" s="1811">
        <f t="shared" si="3"/>
        <v>1</v>
      </c>
      <c r="AB15" s="1811">
        <f t="shared" si="4"/>
        <v>1</v>
      </c>
      <c r="AC15" s="1811">
        <f t="shared" si="5"/>
        <v>1</v>
      </c>
    </row>
    <row r="16" spans="1:30" ht="15">
      <c r="A16" s="427"/>
      <c r="B16" s="445"/>
      <c r="C16" s="446"/>
      <c r="D16" s="447"/>
      <c r="E16" s="2605"/>
      <c r="F16" s="447"/>
      <c r="G16" s="2605"/>
      <c r="H16" s="449"/>
      <c r="I16" s="2604"/>
      <c r="J16" s="447"/>
      <c r="K16" s="671"/>
      <c r="L16" s="1141"/>
      <c r="M16" s="1132"/>
      <c r="N16" s="1132"/>
      <c r="O16" s="1140"/>
      <c r="P16" s="3218"/>
      <c r="Q16" s="1810"/>
      <c r="R16" s="772"/>
      <c r="S16" s="773"/>
      <c r="T16" s="772"/>
      <c r="U16" s="773"/>
      <c r="V16" s="772"/>
      <c r="W16" s="773"/>
      <c r="X16" s="1813"/>
      <c r="Y16" s="3218"/>
      <c r="Z16" s="1814"/>
      <c r="AA16" s="1811">
        <v>1</v>
      </c>
      <c r="AB16" s="1811">
        <v>1</v>
      </c>
      <c r="AC16" s="1811">
        <v>1</v>
      </c>
    </row>
    <row r="17" spans="1:29" ht="15">
      <c r="A17" s="427"/>
      <c r="B17" s="450" t="s">
        <v>2640</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8"/>
      <c r="Q17" s="1810" t="str">
        <f>B17</f>
        <v>商业繁华度</v>
      </c>
      <c r="R17" s="772" t="s">
        <v>17</v>
      </c>
      <c r="S17" s="773">
        <f>F17</f>
        <v>100</v>
      </c>
      <c r="T17" s="772" t="s">
        <v>17</v>
      </c>
      <c r="U17" s="773">
        <f>H17</f>
        <v>100</v>
      </c>
      <c r="V17" s="772" t="s">
        <v>17</v>
      </c>
      <c r="W17" s="773">
        <f>J17</f>
        <v>100</v>
      </c>
      <c r="X17" s="1813"/>
      <c r="Y17" s="3218"/>
      <c r="Z17" s="1814" t="str">
        <f>Q17</f>
        <v>商业繁华度</v>
      </c>
      <c r="AA17" s="1811">
        <f t="shared" si="3"/>
        <v>1</v>
      </c>
      <c r="AB17" s="1811">
        <f t="shared" si="4"/>
        <v>1</v>
      </c>
      <c r="AC17" s="1811">
        <f t="shared" si="5"/>
        <v>1</v>
      </c>
    </row>
    <row r="18" spans="1:29" ht="15">
      <c r="A18" s="427"/>
      <c r="B18" s="455"/>
      <c r="C18" s="2608"/>
      <c r="D18" s="449"/>
      <c r="E18" s="2610"/>
      <c r="F18" s="449"/>
      <c r="G18" s="2610"/>
      <c r="H18" s="447"/>
      <c r="I18" s="2609"/>
      <c r="J18" s="447"/>
      <c r="K18" s="671"/>
      <c r="L18" s="1141"/>
      <c r="M18" s="1132"/>
      <c r="N18" s="1132"/>
      <c r="O18" s="1140"/>
      <c r="P18" s="3218"/>
      <c r="Q18" s="1810"/>
      <c r="R18" s="772"/>
      <c r="S18" s="773"/>
      <c r="T18" s="772"/>
      <c r="U18" s="773"/>
      <c r="V18" s="772"/>
      <c r="W18" s="773"/>
      <c r="X18" s="1813"/>
      <c r="Y18" s="3218"/>
      <c r="Z18" s="1814"/>
      <c r="AA18" s="1811">
        <v>1</v>
      </c>
      <c r="AB18" s="1811">
        <v>1</v>
      </c>
      <c r="AC18" s="1811">
        <v>1</v>
      </c>
    </row>
    <row r="19" spans="1:29" ht="15">
      <c r="A19" s="427"/>
      <c r="B19" s="450" t="s">
        <v>2674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8"/>
      <c r="Q19" s="1810" t="str">
        <f>B19</f>
        <v>办公集聚程度</v>
      </c>
      <c r="R19" s="772" t="s">
        <v>17</v>
      </c>
      <c r="S19" s="773">
        <f>F19</f>
        <v>100</v>
      </c>
      <c r="T19" s="772" t="s">
        <v>17</v>
      </c>
      <c r="U19" s="773">
        <f>H19</f>
        <v>100</v>
      </c>
      <c r="V19" s="772" t="s">
        <v>17</v>
      </c>
      <c r="W19" s="773">
        <f>J19</f>
        <v>100</v>
      </c>
      <c r="X19" s="1813"/>
      <c r="Y19" s="3218"/>
      <c r="Z19" s="1814" t="str">
        <f>Q19</f>
        <v>办公集聚程度</v>
      </c>
      <c r="AA19" s="1811">
        <f t="shared" si="3"/>
        <v>1</v>
      </c>
      <c r="AB19" s="1811">
        <f t="shared" si="4"/>
        <v>1</v>
      </c>
      <c r="AC19" s="1811">
        <f t="shared" si="5"/>
        <v>1</v>
      </c>
    </row>
    <row r="20" spans="1:29" ht="15">
      <c r="A20" s="427"/>
      <c r="B20" s="455"/>
      <c r="C20" s="446"/>
      <c r="D20" s="447"/>
      <c r="E20" s="2605"/>
      <c r="F20" s="447"/>
      <c r="G20" s="2605"/>
      <c r="H20" s="447"/>
      <c r="I20" s="2604"/>
      <c r="J20" s="447"/>
      <c r="K20" s="671"/>
      <c r="L20" s="1141"/>
      <c r="M20" s="1132"/>
      <c r="N20" s="1132"/>
      <c r="O20" s="1140"/>
      <c r="P20" s="3218"/>
      <c r="Q20" s="1810"/>
      <c r="R20" s="772"/>
      <c r="S20" s="773"/>
      <c r="T20" s="772"/>
      <c r="U20" s="773"/>
      <c r="V20" s="772"/>
      <c r="W20" s="773"/>
      <c r="X20" s="1813"/>
      <c r="Y20" s="3218"/>
      <c r="Z20" s="1814"/>
      <c r="AA20" s="1811">
        <v>1</v>
      </c>
      <c r="AB20" s="1811">
        <v>1</v>
      </c>
      <c r="AC20" s="1811">
        <v>1</v>
      </c>
    </row>
    <row r="21" spans="1:29" ht="15">
      <c r="A21" s="427"/>
      <c r="B21" s="450" t="s">
        <v>2696</v>
      </c>
      <c r="C21" s="260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8"/>
      <c r="Q21" s="1810" t="str">
        <f>B21</f>
        <v>交通便捷度</v>
      </c>
      <c r="R21" s="772" t="s">
        <v>17</v>
      </c>
      <c r="S21" s="773">
        <f>F21</f>
        <v>100</v>
      </c>
      <c r="T21" s="772" t="s">
        <v>17</v>
      </c>
      <c r="U21" s="773">
        <f>H21</f>
        <v>100</v>
      </c>
      <c r="V21" s="772" t="s">
        <v>17</v>
      </c>
      <c r="W21" s="773">
        <f>J21</f>
        <v>100</v>
      </c>
      <c r="X21" s="1813"/>
      <c r="Y21" s="3218"/>
      <c r="Z21" s="1814" t="str">
        <f>Q21</f>
        <v>交通便捷度</v>
      </c>
      <c r="AA21" s="1811">
        <f t="shared" si="3"/>
        <v>1</v>
      </c>
      <c r="AB21" s="1811">
        <f t="shared" si="4"/>
        <v>1</v>
      </c>
      <c r="AC21" s="1811">
        <f t="shared" si="5"/>
        <v>1</v>
      </c>
    </row>
    <row r="22" spans="1:29" ht="15">
      <c r="A22" s="427"/>
      <c r="B22" s="1385"/>
      <c r="C22" s="446"/>
      <c r="D22" s="449"/>
      <c r="E22" s="2605"/>
      <c r="F22" s="447"/>
      <c r="G22" s="2605"/>
      <c r="H22" s="447"/>
      <c r="I22" s="2604"/>
      <c r="J22" s="447"/>
      <c r="K22" s="671"/>
      <c r="L22" s="1141"/>
      <c r="M22" s="1132"/>
      <c r="N22" s="1132"/>
      <c r="O22" s="1140"/>
      <c r="P22" s="3218"/>
      <c r="Q22" s="1810"/>
      <c r="R22" s="772"/>
      <c r="S22" s="773"/>
      <c r="T22" s="772"/>
      <c r="U22" s="773"/>
      <c r="V22" s="772"/>
      <c r="W22" s="773"/>
      <c r="X22" s="1813"/>
      <c r="Y22" s="3218"/>
      <c r="Z22" s="1814"/>
      <c r="AA22" s="1811">
        <v>1</v>
      </c>
      <c r="AB22" s="1811">
        <v>1</v>
      </c>
      <c r="AC22" s="1811">
        <v>1</v>
      </c>
    </row>
    <row r="23" spans="1:29" ht="15">
      <c r="A23" s="403"/>
      <c r="B23" s="450" t="s">
        <v>2735</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8"/>
      <c r="Q23" s="1810" t="str">
        <f t="shared" ref="Q23:Q37" si="8">B23</f>
        <v>区域土地利用方向</v>
      </c>
      <c r="R23" s="772" t="s">
        <v>17</v>
      </c>
      <c r="S23" s="773">
        <f>F23</f>
        <v>100</v>
      </c>
      <c r="T23" s="772" t="s">
        <v>17</v>
      </c>
      <c r="U23" s="773">
        <f>H23</f>
        <v>100</v>
      </c>
      <c r="V23" s="772" t="s">
        <v>17</v>
      </c>
      <c r="W23" s="773">
        <f>J23</f>
        <v>100</v>
      </c>
      <c r="X23" s="1813"/>
      <c r="Y23" s="3218"/>
      <c r="Z23" s="1814" t="str">
        <f>Q23</f>
        <v>区域土地利用方向</v>
      </c>
      <c r="AA23" s="1811">
        <f t="shared" si="3"/>
        <v>1</v>
      </c>
      <c r="AB23" s="1811">
        <f t="shared" si="4"/>
        <v>1</v>
      </c>
      <c r="AC23" s="1811">
        <f t="shared" si="5"/>
        <v>1</v>
      </c>
    </row>
    <row r="24" spans="1:29" ht="15">
      <c r="A24" s="403"/>
      <c r="B24" s="455"/>
      <c r="C24" s="615"/>
      <c r="D24" s="447"/>
      <c r="E24" s="2605"/>
      <c r="F24" s="447"/>
      <c r="G24" s="2604"/>
      <c r="H24" s="447"/>
      <c r="I24" s="2604"/>
      <c r="J24" s="447"/>
      <c r="K24" s="810"/>
      <c r="L24" s="1141"/>
      <c r="M24" s="1132"/>
      <c r="N24" s="1132"/>
      <c r="O24" s="1140"/>
      <c r="P24" s="3218"/>
      <c r="Q24" s="1810"/>
      <c r="R24" s="772"/>
      <c r="S24" s="773"/>
      <c r="T24" s="772"/>
      <c r="U24" s="773"/>
      <c r="V24" s="772"/>
      <c r="W24" s="773"/>
      <c r="X24" s="1813"/>
      <c r="Y24" s="3218"/>
      <c r="Z24" s="1814"/>
      <c r="AA24" s="1811"/>
      <c r="AB24" s="1811"/>
      <c r="AC24" s="1811"/>
    </row>
    <row r="25" spans="1:29" ht="27">
      <c r="A25" s="403"/>
      <c r="B25" s="1385" t="s">
        <v>2736</v>
      </c>
      <c r="C25" s="266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8"/>
      <c r="Q25" s="1810" t="str">
        <f t="shared" si="8"/>
        <v>自然及人文环境状况</v>
      </c>
      <c r="R25" s="772" t="s">
        <v>17</v>
      </c>
      <c r="S25" s="773">
        <f>F25</f>
        <v>100</v>
      </c>
      <c r="T25" s="772" t="s">
        <v>17</v>
      </c>
      <c r="U25" s="773">
        <f>H25</f>
        <v>100</v>
      </c>
      <c r="V25" s="772" t="s">
        <v>17</v>
      </c>
      <c r="W25" s="773">
        <f>J25</f>
        <v>100</v>
      </c>
      <c r="X25" s="1813"/>
      <c r="Y25" s="3218"/>
      <c r="Z25" s="1814" t="str">
        <f>Q25</f>
        <v>自然及人文环境状况</v>
      </c>
      <c r="AA25" s="1811">
        <f t="shared" si="3"/>
        <v>1</v>
      </c>
      <c r="AB25" s="1811">
        <f t="shared" si="4"/>
        <v>1</v>
      </c>
      <c r="AC25" s="1811">
        <f t="shared" si="5"/>
        <v>1</v>
      </c>
    </row>
    <row r="26" spans="1:29" ht="15">
      <c r="A26" s="403"/>
      <c r="B26" s="455"/>
      <c r="C26" s="446"/>
      <c r="D26" s="447"/>
      <c r="E26" s="2611"/>
      <c r="F26" s="447"/>
      <c r="G26" s="2611"/>
      <c r="H26" s="447"/>
      <c r="I26" s="446"/>
      <c r="J26" s="447"/>
      <c r="K26" s="671"/>
      <c r="L26" s="1141"/>
      <c r="M26" s="1132"/>
      <c r="N26" s="1132"/>
      <c r="O26" s="1140"/>
      <c r="P26" s="3218"/>
      <c r="Q26" s="1810"/>
      <c r="R26" s="772"/>
      <c r="S26" s="773"/>
      <c r="T26" s="772"/>
      <c r="U26" s="773"/>
      <c r="V26" s="772"/>
      <c r="W26" s="773"/>
      <c r="X26" s="1813"/>
      <c r="Y26" s="3218"/>
      <c r="Z26" s="1814"/>
      <c r="AA26" s="1811">
        <v>1</v>
      </c>
      <c r="AB26" s="1811">
        <v>1</v>
      </c>
      <c r="AC26" s="1811">
        <v>1</v>
      </c>
    </row>
    <row r="27" spans="1:29" s="116" customFormat="1" ht="15">
      <c r="A27" s="648"/>
      <c r="B27" s="1385" t="s">
        <v>2641</v>
      </c>
      <c r="C27" s="260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8"/>
      <c r="Q27" s="1795" t="str">
        <f t="shared" si="8"/>
        <v>公共配套设施</v>
      </c>
      <c r="R27" s="768" t="s">
        <v>17</v>
      </c>
      <c r="S27" s="769">
        <f>F27</f>
        <v>100</v>
      </c>
      <c r="T27" s="768" t="s">
        <v>17</v>
      </c>
      <c r="U27" s="769">
        <f>H27</f>
        <v>100</v>
      </c>
      <c r="V27" s="768" t="s">
        <v>17</v>
      </c>
      <c r="W27" s="769">
        <f>J27</f>
        <v>100</v>
      </c>
      <c r="X27" s="770"/>
      <c r="Y27" s="3218"/>
      <c r="Z27" s="54" t="str">
        <f>Q27</f>
        <v>公共配套设施</v>
      </c>
      <c r="AA27" s="1811">
        <f>D27/F27</f>
        <v>1</v>
      </c>
      <c r="AB27" s="1811">
        <f>D27/H27</f>
        <v>1</v>
      </c>
      <c r="AC27" s="1811">
        <f>D27/J27</f>
        <v>1</v>
      </c>
    </row>
    <row r="28" spans="1:29" s="116" customFormat="1" ht="15">
      <c r="A28" s="648"/>
      <c r="B28" s="455"/>
      <c r="C28" s="2700"/>
      <c r="D28" s="447"/>
      <c r="E28" s="2611"/>
      <c r="F28" s="447"/>
      <c r="G28" s="2611"/>
      <c r="H28" s="447"/>
      <c r="I28" s="446"/>
      <c r="J28" s="447"/>
      <c r="K28" s="671"/>
      <c r="L28" s="1133"/>
      <c r="M28" s="1134"/>
      <c r="N28" s="1134"/>
      <c r="O28" s="1135"/>
      <c r="P28" s="3218"/>
      <c r="Q28" s="1795"/>
      <c r="R28" s="768"/>
      <c r="S28" s="769"/>
      <c r="T28" s="768"/>
      <c r="U28" s="769"/>
      <c r="V28" s="768"/>
      <c r="W28" s="769"/>
      <c r="X28" s="770"/>
      <c r="Y28" s="3218"/>
      <c r="Z28" s="54"/>
      <c r="AA28" s="1811">
        <v>1</v>
      </c>
      <c r="AB28" s="1811">
        <v>1</v>
      </c>
      <c r="AC28" s="1811">
        <v>1</v>
      </c>
    </row>
    <row r="29" spans="1:29" s="116" customFormat="1" ht="15">
      <c r="A29" s="648"/>
      <c r="B29" s="1385" t="s">
        <v>2642</v>
      </c>
      <c r="C29" s="260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8"/>
      <c r="Q29" s="1795" t="str">
        <f t="shared" ref="Q29" si="9">B29</f>
        <v>基础设施水平</v>
      </c>
      <c r="R29" s="768" t="s">
        <v>17</v>
      </c>
      <c r="S29" s="769">
        <f>F29</f>
        <v>100</v>
      </c>
      <c r="T29" s="768" t="s">
        <v>17</v>
      </c>
      <c r="U29" s="769">
        <f>H29</f>
        <v>100</v>
      </c>
      <c r="V29" s="768" t="s">
        <v>17</v>
      </c>
      <c r="W29" s="769">
        <f>J29</f>
        <v>100</v>
      </c>
      <c r="X29" s="770"/>
      <c r="Y29" s="3218"/>
      <c r="Z29" s="54" t="str">
        <f>Q29</f>
        <v>基础设施水平</v>
      </c>
      <c r="AA29" s="1811">
        <f>D29/F29</f>
        <v>1</v>
      </c>
      <c r="AB29" s="1811">
        <f>D29/H29</f>
        <v>1</v>
      </c>
      <c r="AC29" s="1811">
        <f>D29/J29</f>
        <v>1</v>
      </c>
    </row>
    <row r="30" spans="1:29" s="116" customFormat="1" ht="15">
      <c r="A30" s="648"/>
      <c r="B30" s="455"/>
      <c r="C30" s="2700"/>
      <c r="D30" s="447"/>
      <c r="E30" s="2701"/>
      <c r="F30" s="447"/>
      <c r="G30" s="2701"/>
      <c r="H30" s="447"/>
      <c r="I30" s="2701"/>
      <c r="J30" s="447"/>
      <c r="K30" s="671"/>
      <c r="L30" s="1133"/>
      <c r="M30" s="1134"/>
      <c r="N30" s="1134"/>
      <c r="O30" s="1135"/>
      <c r="P30" s="3218"/>
      <c r="Q30" s="1795"/>
      <c r="R30" s="768"/>
      <c r="S30" s="769"/>
      <c r="T30" s="768"/>
      <c r="U30" s="769"/>
      <c r="V30" s="768"/>
      <c r="W30" s="769"/>
      <c r="X30" s="770"/>
      <c r="Y30" s="3218"/>
      <c r="Z30" s="54"/>
      <c r="AA30" s="1811">
        <v>1</v>
      </c>
      <c r="AB30" s="1811">
        <v>1</v>
      </c>
      <c r="AC30" s="1811">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8"/>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18"/>
      <c r="Z31" s="1814" t="str">
        <f t="shared" ref="Z31:Z45" si="13">Q31</f>
        <v>临街状况</v>
      </c>
      <c r="AA31" s="1811">
        <f t="shared" si="3"/>
        <v>1</v>
      </c>
      <c r="AB31" s="1811">
        <f t="shared" si="4"/>
        <v>1</v>
      </c>
      <c r="AC31" s="1811">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8"/>
      <c r="Q32" s="1810" t="str">
        <f t="shared" si="8"/>
        <v>毗邻道路的类型与等级</v>
      </c>
      <c r="R32" s="772" t="s">
        <v>17</v>
      </c>
      <c r="S32" s="773">
        <f t="shared" si="10"/>
        <v>100</v>
      </c>
      <c r="T32" s="772" t="s">
        <v>17</v>
      </c>
      <c r="U32" s="773">
        <f t="shared" si="11"/>
        <v>100</v>
      </c>
      <c r="V32" s="772" t="s">
        <v>17</v>
      </c>
      <c r="W32" s="773">
        <f t="shared" si="12"/>
        <v>100</v>
      </c>
      <c r="X32" s="1813"/>
      <c r="Y32" s="3218"/>
      <c r="Z32" s="1814" t="str">
        <f t="shared" si="13"/>
        <v>毗邻道路的类型与等级</v>
      </c>
      <c r="AA32" s="1811">
        <f t="shared" si="3"/>
        <v>1</v>
      </c>
      <c r="AB32" s="1811">
        <f t="shared" si="4"/>
        <v>1</v>
      </c>
      <c r="AC32" s="1811">
        <f t="shared" si="5"/>
        <v>1</v>
      </c>
    </row>
    <row r="33" spans="1:29" ht="15">
      <c r="A33" s="427"/>
      <c r="B33" s="455"/>
      <c r="C33" s="446"/>
      <c r="D33" s="447"/>
      <c r="E33" s="2611"/>
      <c r="F33" s="447"/>
      <c r="G33" s="2611"/>
      <c r="H33" s="447"/>
      <c r="I33" s="446"/>
      <c r="J33" s="447"/>
      <c r="K33" s="612"/>
      <c r="L33" s="1141"/>
      <c r="M33" s="1132"/>
      <c r="N33" s="1132"/>
      <c r="O33" s="1140"/>
      <c r="P33" s="3218"/>
      <c r="Q33" s="1810"/>
      <c r="R33" s="772"/>
      <c r="S33" s="773"/>
      <c r="T33" s="772"/>
      <c r="U33" s="773"/>
      <c r="V33" s="772"/>
      <c r="W33" s="773"/>
      <c r="X33" s="1813"/>
      <c r="Y33" s="3218"/>
      <c r="Z33" s="1814"/>
      <c r="AA33" s="1811">
        <v>1</v>
      </c>
      <c r="AB33" s="1811">
        <v>1</v>
      </c>
      <c r="AC33" s="1811">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8"/>
      <c r="Q34" s="1810" t="str">
        <f t="shared" si="8"/>
        <v>土地级别</v>
      </c>
      <c r="R34" s="772" t="s">
        <v>17</v>
      </c>
      <c r="S34" s="773">
        <f t="shared" si="10"/>
        <v>100</v>
      </c>
      <c r="T34" s="772" t="s">
        <v>17</v>
      </c>
      <c r="U34" s="773">
        <f t="shared" si="11"/>
        <v>100</v>
      </c>
      <c r="V34" s="772" t="s">
        <v>17</v>
      </c>
      <c r="W34" s="773">
        <f t="shared" si="12"/>
        <v>100</v>
      </c>
      <c r="X34" s="1813"/>
      <c r="Y34" s="3218"/>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8"/>
      <c r="Q35" s="1810">
        <f t="shared" si="8"/>
        <v>111</v>
      </c>
      <c r="R35" s="772" t="s">
        <v>17</v>
      </c>
      <c r="S35" s="773">
        <f t="shared" si="10"/>
        <v>100</v>
      </c>
      <c r="T35" s="772" t="s">
        <v>17</v>
      </c>
      <c r="U35" s="773">
        <f t="shared" si="11"/>
        <v>100</v>
      </c>
      <c r="V35" s="772" t="s">
        <v>17</v>
      </c>
      <c r="W35" s="773">
        <f t="shared" si="12"/>
        <v>100</v>
      </c>
      <c r="X35" s="1813"/>
      <c r="Y35" s="3218"/>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4" t="s">
        <v>2552</v>
      </c>
      <c r="Q36" s="1810">
        <f t="shared" si="8"/>
        <v>111</v>
      </c>
      <c r="R36" s="772" t="s">
        <v>17</v>
      </c>
      <c r="S36" s="773">
        <f t="shared" si="10"/>
        <v>100</v>
      </c>
      <c r="T36" s="772" t="s">
        <v>17</v>
      </c>
      <c r="U36" s="773">
        <f t="shared" si="11"/>
        <v>100</v>
      </c>
      <c r="V36" s="772" t="s">
        <v>17</v>
      </c>
      <c r="W36" s="773">
        <f t="shared" si="12"/>
        <v>100</v>
      </c>
      <c r="X36" s="1813"/>
      <c r="Y36" s="3222" t="s">
        <v>2552</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2"/>
      <c r="Q37" s="1810">
        <f t="shared" si="8"/>
        <v>111</v>
      </c>
      <c r="R37" s="775" t="s">
        <v>17</v>
      </c>
      <c r="S37" s="776">
        <f t="shared" si="10"/>
        <v>100</v>
      </c>
      <c r="T37" s="775" t="s">
        <v>17</v>
      </c>
      <c r="U37" s="776">
        <f t="shared" si="11"/>
        <v>100</v>
      </c>
      <c r="V37" s="775" t="s">
        <v>17</v>
      </c>
      <c r="W37" s="776">
        <f t="shared" si="12"/>
        <v>100</v>
      </c>
      <c r="X37" s="777"/>
      <c r="Y37" s="3222"/>
      <c r="Z37" s="778">
        <f t="shared" si="13"/>
        <v>111</v>
      </c>
      <c r="AA37" s="1811">
        <f t="shared" si="3"/>
        <v>1</v>
      </c>
      <c r="AB37" s="1811">
        <f t="shared" si="4"/>
        <v>1</v>
      </c>
      <c r="AC37" s="1811">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2"/>
      <c r="Q38" s="1810" t="str">
        <f>B38</f>
        <v>宗地面积</v>
      </c>
      <c r="R38" s="772" t="s">
        <v>17</v>
      </c>
      <c r="S38" s="773" t="e">
        <f t="shared" si="10"/>
        <v>#N/A</v>
      </c>
      <c r="T38" s="772" t="s">
        <v>17</v>
      </c>
      <c r="U38" s="773" t="e">
        <f t="shared" si="11"/>
        <v>#N/A</v>
      </c>
      <c r="V38" s="772" t="s">
        <v>17</v>
      </c>
      <c r="W38" s="773" t="e">
        <f t="shared" si="12"/>
        <v>#N/A</v>
      </c>
      <c r="X38" s="1813"/>
      <c r="Y38" s="3222"/>
      <c r="Z38" s="1814" t="str">
        <f t="shared" si="13"/>
        <v>宗地面积</v>
      </c>
      <c r="AA38" s="1811" t="e">
        <f t="shared" si="3"/>
        <v>#N/A</v>
      </c>
      <c r="AB38" s="1811" t="e">
        <f t="shared" si="4"/>
        <v>#N/A</v>
      </c>
      <c r="AC38" s="1811" t="e">
        <f t="shared" si="5"/>
        <v>#N/A</v>
      </c>
    </row>
    <row r="39" spans="1:29" ht="15">
      <c r="A39" s="471"/>
      <c r="B39" s="421" t="s">
        <v>2739</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1"/>
      <c r="M39" s="1132"/>
      <c r="N39" s="1132"/>
      <c r="O39" s="1140"/>
      <c r="P39" s="3222"/>
      <c r="Q39" s="1810" t="str">
        <f t="shared" ref="Q39:Q45" si="14">B39</f>
        <v>宗地形状</v>
      </c>
      <c r="R39" s="772" t="s">
        <v>17</v>
      </c>
      <c r="S39" s="773">
        <f t="shared" si="10"/>
        <v>100</v>
      </c>
      <c r="T39" s="772" t="s">
        <v>17</v>
      </c>
      <c r="U39" s="773">
        <f t="shared" si="11"/>
        <v>100</v>
      </c>
      <c r="V39" s="772" t="s">
        <v>17</v>
      </c>
      <c r="W39" s="773">
        <f t="shared" si="12"/>
        <v>100</v>
      </c>
      <c r="X39" s="1813"/>
      <c r="Y39" s="3222"/>
      <c r="Z39" s="1814" t="str">
        <f t="shared" si="13"/>
        <v>宗地形状</v>
      </c>
      <c r="AA39" s="1811">
        <f t="shared" si="3"/>
        <v>1</v>
      </c>
      <c r="AB39" s="1811">
        <f t="shared" si="4"/>
        <v>1</v>
      </c>
      <c r="AC39" s="1811">
        <f t="shared" si="5"/>
        <v>1</v>
      </c>
    </row>
    <row r="40" spans="1:29" ht="15">
      <c r="A40" s="471"/>
      <c r="B40" s="421" t="s">
        <v>2740</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1"/>
      <c r="M40" s="1132"/>
      <c r="N40" s="1132"/>
      <c r="O40" s="1140"/>
      <c r="P40" s="3222"/>
      <c r="Q40" s="1810" t="str">
        <f t="shared" si="14"/>
        <v>临街宽度及深度</v>
      </c>
      <c r="R40" s="772" t="s">
        <v>17</v>
      </c>
      <c r="S40" s="773">
        <f t="shared" si="10"/>
        <v>100</v>
      </c>
      <c r="T40" s="772" t="s">
        <v>17</v>
      </c>
      <c r="U40" s="773">
        <f t="shared" si="11"/>
        <v>100</v>
      </c>
      <c r="V40" s="772" t="s">
        <v>17</v>
      </c>
      <c r="W40" s="773">
        <f t="shared" si="12"/>
        <v>100</v>
      </c>
      <c r="X40" s="1813"/>
      <c r="Y40" s="3222"/>
      <c r="Z40" s="1814" t="str">
        <f t="shared" si="13"/>
        <v>临街宽度及深度</v>
      </c>
      <c r="AA40" s="1811">
        <f t="shared" si="3"/>
        <v>1</v>
      </c>
      <c r="AB40" s="1811">
        <f t="shared" si="4"/>
        <v>1</v>
      </c>
      <c r="AC40" s="1811">
        <f t="shared" si="5"/>
        <v>1</v>
      </c>
    </row>
    <row r="41" spans="1:29" s="116" customFormat="1" ht="15">
      <c r="A41" s="472"/>
      <c r="B41" s="421" t="s">
        <v>2741</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3"/>
      <c r="M41" s="1134"/>
      <c r="N41" s="1134"/>
      <c r="O41" s="1135"/>
      <c r="P41" s="3222"/>
      <c r="Q41" s="1810" t="str">
        <f t="shared" si="14"/>
        <v>宗地开发程度</v>
      </c>
      <c r="R41" s="768" t="s">
        <v>17</v>
      </c>
      <c r="S41" s="769">
        <f t="shared" si="10"/>
        <v>100</v>
      </c>
      <c r="T41" s="768" t="s">
        <v>17</v>
      </c>
      <c r="U41" s="769">
        <f t="shared" si="11"/>
        <v>100</v>
      </c>
      <c r="V41" s="768" t="s">
        <v>17</v>
      </c>
      <c r="W41" s="769">
        <f t="shared" si="12"/>
        <v>100</v>
      </c>
      <c r="X41" s="770"/>
      <c r="Y41" s="3222"/>
      <c r="Z41" s="54" t="str">
        <f t="shared" si="13"/>
        <v>宗地开发程度</v>
      </c>
      <c r="AA41" s="771">
        <f t="shared" si="3"/>
        <v>1</v>
      </c>
      <c r="AB41" s="771">
        <f t="shared" si="4"/>
        <v>1</v>
      </c>
      <c r="AC41" s="771">
        <f t="shared" si="5"/>
        <v>1</v>
      </c>
    </row>
    <row r="42" spans="1:29" ht="15">
      <c r="A42" s="471"/>
      <c r="B42" s="421" t="s">
        <v>2742</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1"/>
      <c r="M42" s="1132"/>
      <c r="N42" s="1132"/>
      <c r="O42" s="1140"/>
      <c r="P42" s="3222" t="s">
        <v>2552</v>
      </c>
      <c r="Q42" s="1810" t="str">
        <f t="shared" si="14"/>
        <v>工程地质条件</v>
      </c>
      <c r="R42" s="772" t="s">
        <v>17</v>
      </c>
      <c r="S42" s="773">
        <f t="shared" si="10"/>
        <v>100</v>
      </c>
      <c r="T42" s="772" t="s">
        <v>17</v>
      </c>
      <c r="U42" s="773">
        <f t="shared" si="11"/>
        <v>100</v>
      </c>
      <c r="V42" s="772" t="s">
        <v>17</v>
      </c>
      <c r="W42" s="773">
        <f t="shared" si="12"/>
        <v>100</v>
      </c>
      <c r="X42" s="1813"/>
      <c r="Y42" s="3222" t="s">
        <v>2552</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2"/>
      <c r="Q43" s="1810">
        <f t="shared" si="14"/>
        <v>111</v>
      </c>
      <c r="R43" s="772" t="s">
        <v>17</v>
      </c>
      <c r="S43" s="773">
        <f t="shared" si="10"/>
        <v>100</v>
      </c>
      <c r="T43" s="772" t="s">
        <v>17</v>
      </c>
      <c r="U43" s="773">
        <f t="shared" si="11"/>
        <v>100</v>
      </c>
      <c r="V43" s="772" t="s">
        <v>17</v>
      </c>
      <c r="W43" s="773">
        <f t="shared" si="12"/>
        <v>100</v>
      </c>
      <c r="X43" s="1813"/>
      <c r="Y43" s="3222"/>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2"/>
      <c r="Q44" s="1810">
        <f t="shared" si="14"/>
        <v>111</v>
      </c>
      <c r="R44" s="772" t="s">
        <v>17</v>
      </c>
      <c r="S44" s="773">
        <f t="shared" si="10"/>
        <v>100</v>
      </c>
      <c r="T44" s="772" t="s">
        <v>17</v>
      </c>
      <c r="U44" s="773">
        <f t="shared" si="11"/>
        <v>100</v>
      </c>
      <c r="V44" s="772" t="s">
        <v>17</v>
      </c>
      <c r="W44" s="773">
        <f t="shared" si="12"/>
        <v>100</v>
      </c>
      <c r="X44" s="1813"/>
      <c r="Y44" s="3222"/>
      <c r="Z44" s="1814">
        <f t="shared" si="13"/>
        <v>111</v>
      </c>
      <c r="AA44" s="1811">
        <f t="shared" si="3"/>
        <v>1</v>
      </c>
      <c r="AB44" s="1811">
        <f t="shared" si="4"/>
        <v>1</v>
      </c>
      <c r="AC44" s="1811">
        <f t="shared" si="5"/>
        <v>1</v>
      </c>
    </row>
    <row r="45" spans="1:29" s="470" customFormat="1" ht="15.75" thickBot="1">
      <c r="A45" s="467"/>
      <c r="B45" s="1388">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2"/>
      <c r="Q45" s="1810">
        <f t="shared" si="14"/>
        <v>111</v>
      </c>
      <c r="R45" s="775" t="s">
        <v>17</v>
      </c>
      <c r="S45" s="776">
        <f t="shared" si="10"/>
        <v>100</v>
      </c>
      <c r="T45" s="775" t="s">
        <v>17</v>
      </c>
      <c r="U45" s="776">
        <f t="shared" si="11"/>
        <v>100</v>
      </c>
      <c r="V45" s="775" t="s">
        <v>17</v>
      </c>
      <c r="W45" s="776">
        <f t="shared" si="12"/>
        <v>100</v>
      </c>
      <c r="X45" s="777"/>
      <c r="Y45" s="3222"/>
      <c r="Z45" s="778">
        <f t="shared" si="13"/>
        <v>111</v>
      </c>
      <c r="AA45" s="1811">
        <f t="shared" si="3"/>
        <v>1</v>
      </c>
      <c r="AB45" s="1811">
        <f t="shared" si="4"/>
        <v>1</v>
      </c>
      <c r="AC45" s="1811">
        <f t="shared" si="5"/>
        <v>1</v>
      </c>
    </row>
    <row r="46" spans="1:29" ht="15">
      <c r="A46" s="478" t="s">
        <v>2707</v>
      </c>
      <c r="B46" s="2704" t="s">
        <v>2743</v>
      </c>
      <c r="C46" s="681" t="s">
        <v>1</v>
      </c>
      <c r="D46" s="480"/>
      <c r="E46" s="481"/>
      <c r="F46" s="482"/>
      <c r="G46" s="483"/>
      <c r="H46" s="484"/>
      <c r="I46" s="481"/>
      <c r="J46" s="484"/>
      <c r="K46" s="781"/>
      <c r="L46" s="1144"/>
      <c r="M46" s="1145"/>
      <c r="N46" s="1132"/>
      <c r="O46" s="1145"/>
      <c r="P46" s="3210" t="str">
        <f>A46</f>
        <v>成交单价</v>
      </c>
      <c r="Q46" s="3210"/>
      <c r="R46" s="3224">
        <f>E46</f>
        <v>0</v>
      </c>
      <c r="S46" s="3224"/>
      <c r="T46" s="3224">
        <f>G46</f>
        <v>0</v>
      </c>
      <c r="U46" s="3224"/>
      <c r="V46" s="3224">
        <f>I46</f>
        <v>0</v>
      </c>
      <c r="W46" s="3224"/>
      <c r="X46" s="757"/>
      <c r="Y46" s="779"/>
      <c r="Z46" s="757"/>
      <c r="AA46" s="757"/>
      <c r="AB46" s="757"/>
      <c r="AC46" s="757"/>
    </row>
    <row r="47" spans="1:29" ht="15.75" thickBot="1">
      <c r="A47" s="485" t="s">
        <v>2656</v>
      </c>
      <c r="B47" s="682"/>
      <c r="C47" s="489" t="e">
        <f>R48</f>
        <v>#DIV/0!</v>
      </c>
      <c r="D47" s="488"/>
      <c r="E47" s="489" t="e">
        <f>R47</f>
        <v>#DIV/0!</v>
      </c>
      <c r="F47" s="490"/>
      <c r="G47" s="487" t="e">
        <f>T47</f>
        <v>#DIV/0!</v>
      </c>
      <c r="H47" s="488"/>
      <c r="I47" s="489" t="e">
        <f>V47</f>
        <v>#DIV/0!</v>
      </c>
      <c r="J47" s="488"/>
      <c r="K47" s="782"/>
      <c r="L47" s="1144"/>
      <c r="M47" s="1145"/>
      <c r="N47" s="1145"/>
      <c r="O47" s="1145"/>
      <c r="P47" s="3210" t="str">
        <f>A47</f>
        <v>比较价值（元/平方米）</v>
      </c>
      <c r="Q47" s="3210"/>
      <c r="R47" s="3307" t="e">
        <f>ROUND(PRODUCT(R46,AA7:AA45),0)</f>
        <v>#DIV/0!</v>
      </c>
      <c r="S47" s="3307"/>
      <c r="T47" s="3307" t="e">
        <f>ROUND(PRODUCT(T46,AB7:AB45),0)</f>
        <v>#DIV/0!</v>
      </c>
      <c r="U47" s="3307"/>
      <c r="V47" s="3307" t="e">
        <f>ROUND(PRODUCT(V46,AC7:AC45),0)</f>
        <v>#DIV/0!</v>
      </c>
      <c r="W47" s="3307"/>
      <c r="X47" s="757"/>
      <c r="Y47" s="757"/>
      <c r="Z47" s="757"/>
      <c r="AA47" s="757"/>
      <c r="AB47" s="757"/>
      <c r="AC47" s="757"/>
    </row>
    <row r="48" spans="1:29" ht="15.75" thickBot="1">
      <c r="A48" s="491" t="s">
        <v>2744</v>
      </c>
      <c r="B48" s="492"/>
      <c r="C48" s="493" t="e">
        <f>R48</f>
        <v>#DIV/0!</v>
      </c>
      <c r="D48" s="493"/>
      <c r="E48" s="493"/>
      <c r="F48" s="493"/>
      <c r="G48" s="493"/>
      <c r="H48" s="493"/>
      <c r="I48" s="493"/>
      <c r="J48" s="493"/>
      <c r="K48" s="783"/>
      <c r="L48" s="1144"/>
      <c r="M48" s="1145"/>
      <c r="N48" s="1145"/>
      <c r="O48" s="1145"/>
      <c r="P48" s="3212" t="str">
        <f>A48</f>
        <v>估价对象XX用房的比较价值（楼面单价，元/平方米）</v>
      </c>
      <c r="Q48" s="3213"/>
      <c r="R48" s="3308" t="e">
        <f>ROUND(AVERAGE(R47:V47),0)</f>
        <v>#DIV/0!</v>
      </c>
      <c r="S48" s="3308"/>
      <c r="T48" s="3308"/>
      <c r="U48" s="3308"/>
      <c r="V48" s="3308"/>
      <c r="W48" s="330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2745</v>
      </c>
      <c r="B55" s="684" t="s">
        <v>2746</v>
      </c>
      <c r="C55" s="2705" t="s">
        <v>2747</v>
      </c>
      <c r="D55" s="2706" t="s">
        <v>2748</v>
      </c>
      <c r="E55" s="685" t="s">
        <v>2749</v>
      </c>
      <c r="F55" s="1108" t="s">
        <v>2750</v>
      </c>
      <c r="G55" s="3229" t="s">
        <v>2751</v>
      </c>
      <c r="H55" s="3309"/>
      <c r="I55" s="143" t="s">
        <v>2752</v>
      </c>
      <c r="J55" s="2707" t="str">
        <f>项目基本情况!F35</f>
        <v>上海市</v>
      </c>
      <c r="K55" s="2708" t="s">
        <v>2753</v>
      </c>
      <c r="L55" s="1107"/>
      <c r="M55" s="1145"/>
      <c r="N55" s="1145"/>
      <c r="O55" s="1145"/>
    </row>
    <row r="56" spans="1:15" s="691" customFormat="1">
      <c r="A56" s="687" t="s">
        <v>2754</v>
      </c>
      <c r="B56" s="688" t="e">
        <f>C48</f>
        <v>#DIV/0!</v>
      </c>
      <c r="C56" s="689">
        <v>1</v>
      </c>
      <c r="D56" s="1164">
        <v>1</v>
      </c>
      <c r="E56" s="689">
        <f>'数据-汇总表'!E8+'数据-汇总表'!E9</f>
        <v>13115.18</v>
      </c>
      <c r="F56" s="1104" t="e">
        <f t="shared" ref="F56:F65" si="15">ROUND(B56*E56/10000,0)</f>
        <v>#DIV/0!</v>
      </c>
      <c r="G56" s="3225"/>
      <c r="H56" s="3210"/>
      <c r="I56" s="1109">
        <v>1</v>
      </c>
      <c r="J56" s="1112">
        <v>1</v>
      </c>
      <c r="K56" s="1146"/>
      <c r="L56" s="942"/>
      <c r="M56" s="942"/>
      <c r="N56" s="942"/>
      <c r="O56" s="942"/>
    </row>
    <row r="57" spans="1:15" s="691" customFormat="1">
      <c r="A57" s="692" t="s">
        <v>2755</v>
      </c>
      <c r="B57" s="261" t="e">
        <f>ROUND($C$48*C57*D57,0)</f>
        <v>#DIV/0!</v>
      </c>
      <c r="C57" s="199">
        <f t="shared" ref="C57:C65" si="16">IF($C$55="北京市系数",I57,J57)</f>
        <v>0</v>
      </c>
      <c r="D57" s="1165">
        <v>0.25</v>
      </c>
      <c r="E57" s="693"/>
      <c r="F57" s="1104" t="e">
        <f t="shared" si="15"/>
        <v>#DIV/0!</v>
      </c>
      <c r="G57" s="3310" t="s">
        <v>2756</v>
      </c>
      <c r="H57" s="1105">
        <f>项目基本情况!B37</f>
        <v>0</v>
      </c>
      <c r="I57" s="1109">
        <f>SUMIF(修正!A45:A56,H57,修正!B45:B56)</f>
        <v>0</v>
      </c>
      <c r="J57" s="1113"/>
      <c r="K57" s="1145"/>
      <c r="L57" s="942"/>
      <c r="M57" s="942"/>
      <c r="N57" s="942"/>
      <c r="O57" s="942"/>
    </row>
    <row r="58" spans="1:15" s="691" customFormat="1">
      <c r="A58" s="692" t="s">
        <v>2757</v>
      </c>
      <c r="B58" s="261" t="e">
        <f t="shared" ref="B58:B65" si="17">ROUND($C$48*C58*D58,0)</f>
        <v>#DIV/0!</v>
      </c>
      <c r="C58" s="199">
        <f t="shared" si="16"/>
        <v>0</v>
      </c>
      <c r="D58" s="1165">
        <v>0.25</v>
      </c>
      <c r="E58" s="693"/>
      <c r="F58" s="1104" t="e">
        <f t="shared" si="15"/>
        <v>#DIV/0!</v>
      </c>
      <c r="G58" s="3310"/>
      <c r="H58" s="1105">
        <f>项目基本情况!B37</f>
        <v>0</v>
      </c>
      <c r="I58" s="1109">
        <f>SUMIF(修正!A45:A56,H58,修正!C45:C56)</f>
        <v>0</v>
      </c>
      <c r="J58" s="1113"/>
      <c r="K58" s="1146"/>
      <c r="L58" s="942"/>
      <c r="M58" s="942"/>
      <c r="N58" s="942"/>
      <c r="O58" s="942"/>
    </row>
    <row r="59" spans="1:15" s="691" customFormat="1">
      <c r="A59" s="692" t="s">
        <v>2758</v>
      </c>
      <c r="B59" s="261" t="e">
        <f t="shared" si="17"/>
        <v>#DIV/0!</v>
      </c>
      <c r="C59" s="199">
        <f t="shared" si="16"/>
        <v>0</v>
      </c>
      <c r="D59" s="1165">
        <v>0.25</v>
      </c>
      <c r="E59" s="693"/>
      <c r="F59" s="1104" t="e">
        <f t="shared" si="15"/>
        <v>#DIV/0!</v>
      </c>
      <c r="G59" s="3310"/>
      <c r="H59" s="1105">
        <f>项目基本情况!B37</f>
        <v>0</v>
      </c>
      <c r="I59" s="1109">
        <f>SUMIF(修正!A45:A56,H59,修正!D45:D56)</f>
        <v>0</v>
      </c>
      <c r="J59" s="1113"/>
      <c r="K59" s="1145"/>
      <c r="L59" s="942"/>
      <c r="M59" s="942"/>
      <c r="N59" s="942"/>
      <c r="O59" s="942"/>
    </row>
    <row r="60" spans="1:15" s="691" customFormat="1">
      <c r="A60" s="692" t="s">
        <v>2759</v>
      </c>
      <c r="B60" s="261" t="e">
        <f t="shared" si="17"/>
        <v>#DIV/0!</v>
      </c>
      <c r="C60" s="199">
        <f t="shared" si="16"/>
        <v>0</v>
      </c>
      <c r="D60" s="1165">
        <v>0.25</v>
      </c>
      <c r="E60" s="693"/>
      <c r="F60" s="1104" t="e">
        <f t="shared" si="15"/>
        <v>#DIV/0!</v>
      </c>
      <c r="G60" s="3310"/>
      <c r="H60" s="1105">
        <f>项目基本情况!B37</f>
        <v>0</v>
      </c>
      <c r="I60" s="1109">
        <f>SUMIF(修正!A45:A56,H60,修正!E45:E56)</f>
        <v>0</v>
      </c>
      <c r="J60" s="1113"/>
      <c r="K60" s="1146"/>
      <c r="L60" s="942"/>
      <c r="M60" s="942"/>
      <c r="N60" s="942"/>
      <c r="O60" s="942"/>
    </row>
    <row r="61" spans="1:15" s="691" customFormat="1">
      <c r="A61" s="692" t="s">
        <v>2760</v>
      </c>
      <c r="B61" s="261" t="e">
        <f t="shared" si="17"/>
        <v>#DIV/0!</v>
      </c>
      <c r="C61" s="199">
        <f t="shared" si="16"/>
        <v>0</v>
      </c>
      <c r="D61" s="1165">
        <v>0.25</v>
      </c>
      <c r="E61" s="260">
        <f>'数据-汇总表'!E11</f>
        <v>0</v>
      </c>
      <c r="F61" s="1104" t="e">
        <f t="shared" si="15"/>
        <v>#DIV/0!</v>
      </c>
      <c r="G61" s="2709" t="s">
        <v>2761</v>
      </c>
      <c r="H61" s="1105">
        <f>项目基本情况!C37</f>
        <v>0</v>
      </c>
      <c r="I61" s="1109">
        <f>SUMIF(修正!A45:A56,H61,修正!F45:F56)</f>
        <v>0</v>
      </c>
      <c r="J61" s="1113"/>
      <c r="K61" s="1145"/>
      <c r="L61" s="942"/>
      <c r="M61" s="942"/>
      <c r="N61" s="942"/>
      <c r="O61" s="942"/>
    </row>
    <row r="62" spans="1:15" s="691" customFormat="1">
      <c r="A62" s="692" t="s">
        <v>2762</v>
      </c>
      <c r="B62" s="261" t="e">
        <f t="shared" si="17"/>
        <v>#DIV/0!</v>
      </c>
      <c r="C62" s="199">
        <f t="shared" si="16"/>
        <v>0</v>
      </c>
      <c r="D62" s="1165">
        <v>0.25</v>
      </c>
      <c r="E62" s="260">
        <f>'数据-汇总表'!E12</f>
        <v>0</v>
      </c>
      <c r="F62" s="1104" t="e">
        <f t="shared" si="15"/>
        <v>#DIV/0!</v>
      </c>
      <c r="G62" s="1110" t="s">
        <v>2763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2764</v>
      </c>
      <c r="B63" s="261" t="e">
        <f t="shared" si="17"/>
        <v>#DIV/0!</v>
      </c>
      <c r="C63" s="199">
        <f t="shared" si="16"/>
        <v>0</v>
      </c>
      <c r="D63" s="1165">
        <v>0.25</v>
      </c>
      <c r="E63" s="260">
        <f>'数据-汇总表'!E13</f>
        <v>3250</v>
      </c>
      <c r="F63" s="1104" t="e">
        <f t="shared" si="15"/>
        <v>#DIV/0!</v>
      </c>
      <c r="G63" s="1110" t="s">
        <v>2765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2766</v>
      </c>
      <c r="B64" s="261" t="e">
        <f t="shared" si="17"/>
        <v>#DIV/0!</v>
      </c>
      <c r="C64" s="199">
        <f t="shared" si="16"/>
        <v>0</v>
      </c>
      <c r="D64" s="1165">
        <v>0.25</v>
      </c>
      <c r="E64" s="260">
        <f>'数据-汇总表'!E14</f>
        <v>0</v>
      </c>
      <c r="F64" s="1104" t="e">
        <f t="shared" si="15"/>
        <v>#DIV/0!</v>
      </c>
      <c r="G64" s="2709" t="s">
        <v>2756</v>
      </c>
      <c r="H64" s="1105">
        <f>项目基本情况!B37</f>
        <v>0</v>
      </c>
      <c r="I64" s="1109">
        <f>SUMIF(修正!A45:A56,H64,修正!H45:H56)</f>
        <v>0</v>
      </c>
      <c r="J64" s="1113"/>
      <c r="K64" s="1146"/>
      <c r="L64" s="942"/>
      <c r="M64" s="942"/>
      <c r="N64" s="942"/>
      <c r="O64" s="942"/>
    </row>
    <row r="65" spans="1:17" s="691" customFormat="1" ht="15" thickBot="1">
      <c r="A65" s="692" t="s">
        <v>2767</v>
      </c>
      <c r="B65" s="261" t="e">
        <f t="shared" si="17"/>
        <v>#DIV/0!</v>
      </c>
      <c r="C65" s="199">
        <f t="shared" si="16"/>
        <v>0</v>
      </c>
      <c r="D65" s="1165">
        <v>0.25</v>
      </c>
      <c r="E65" s="260">
        <f>'数据-汇总表'!E15</f>
        <v>0</v>
      </c>
      <c r="F65" s="1104" t="e">
        <f t="shared" si="15"/>
        <v>#DIV/0!</v>
      </c>
      <c r="G65" s="2710" t="s">
        <v>2761</v>
      </c>
      <c r="H65" s="1115">
        <f>项目基本情况!C37</f>
        <v>0</v>
      </c>
      <c r="I65" s="1111">
        <f>SUMIF(修正!A45:A56,H65,修正!H45:H56)</f>
        <v>0</v>
      </c>
      <c r="J65" s="1114"/>
      <c r="K65" s="1145"/>
      <c r="L65" s="942"/>
      <c r="M65" s="942"/>
      <c r="N65" s="942"/>
      <c r="O65" s="942"/>
    </row>
    <row r="66" spans="1:17" s="691" customFormat="1" ht="13.5" thickBot="1">
      <c r="A66" s="694" t="s">
        <v>2768</v>
      </c>
      <c r="B66" s="695" t="s">
        <v>28</v>
      </c>
      <c r="C66" s="695" t="s">
        <v>29</v>
      </c>
      <c r="D66" s="695" t="s">
        <v>1029</v>
      </c>
      <c r="E66" s="695">
        <f>IF(B46="楼面地价",SUM(E56:E65),'数据-汇总表'!D3)</f>
        <v>16365.18</v>
      </c>
      <c r="F66" s="696"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1.75" thickBot="1">
      <c r="A69" s="761" t="s">
        <v>2661</v>
      </c>
      <c r="B69" s="757"/>
      <c r="C69" s="762"/>
      <c r="D69" s="762"/>
      <c r="E69" s="762"/>
      <c r="F69" s="763"/>
      <c r="G69" s="763"/>
      <c r="H69" s="762"/>
      <c r="I69" s="762"/>
      <c r="J69" s="1160"/>
      <c r="K69" s="1161"/>
      <c r="L69" s="1162"/>
      <c r="M69" s="1160"/>
      <c r="N69" s="1160"/>
      <c r="O69" s="1160"/>
      <c r="P69" s="502"/>
      <c r="Q69" s="503"/>
    </row>
    <row r="70" spans="1:17" s="507" customFormat="1" ht="15">
      <c r="A70" s="2711" t="s">
        <v>2769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6" customFormat="1" ht="30" customHeight="1">
      <c r="A71" s="2712" t="s">
        <v>2770</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8"/>
      <c r="N71" s="594"/>
      <c r="O71" s="1569"/>
      <c r="P71" s="503"/>
    </row>
    <row r="72" spans="1:17" s="116" customFormat="1" ht="15.75" thickBot="1">
      <c r="A72" s="514" t="s">
        <v>2572</v>
      </c>
      <c r="B72" s="515"/>
      <c r="C72" s="516"/>
      <c r="D72" s="517"/>
      <c r="E72" s="517"/>
      <c r="F72" s="517"/>
      <c r="G72" s="517"/>
      <c r="H72" s="517"/>
      <c r="I72" s="517"/>
      <c r="J72" s="517"/>
      <c r="K72" s="517"/>
      <c r="L72" s="517"/>
      <c r="M72" s="518"/>
      <c r="N72" s="517"/>
      <c r="O72" s="1163"/>
      <c r="P72" s="503"/>
      <c r="Q72" s="503"/>
    </row>
    <row r="73" spans="1:17" s="116" customFormat="1" ht="15">
      <c r="A73" s="520" t="s">
        <v>2537</v>
      </c>
      <c r="B73" s="509"/>
      <c r="C73" s="521" t="s">
        <v>2639</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2544</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2678</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2737</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2779</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2780</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2781</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2782</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2314</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39" t="s">
        <v>2634</v>
      </c>
      <c r="S4" s="3240"/>
      <c r="T4" s="3239" t="s">
        <v>2635</v>
      </c>
      <c r="U4" s="3240"/>
      <c r="V4" s="3224" t="s">
        <v>2636</v>
      </c>
      <c r="W4" s="3224"/>
      <c r="X4" s="1813"/>
      <c r="Y4" s="3239" t="s">
        <v>2638</v>
      </c>
      <c r="Z4" s="3240"/>
      <c r="AA4" s="3226" t="s">
        <v>2634</v>
      </c>
      <c r="AB4" s="3227" t="s">
        <v>2635</v>
      </c>
      <c r="AC4" s="3226" t="s">
        <v>2636</v>
      </c>
    </row>
    <row r="5" spans="1:29" ht="15">
      <c r="A5" s="403"/>
      <c r="B5" s="404"/>
      <c r="C5" s="3265" t="s">
        <v>2529</v>
      </c>
      <c r="D5" s="3248"/>
      <c r="E5" s="3291" t="s">
        <v>2530</v>
      </c>
      <c r="F5" s="3254"/>
      <c r="G5" s="3265" t="s">
        <v>2531</v>
      </c>
      <c r="H5" s="3248"/>
      <c r="I5" s="3265" t="s">
        <v>2532</v>
      </c>
      <c r="J5" s="3248"/>
      <c r="K5" s="609"/>
      <c r="L5" s="1131"/>
      <c r="M5" s="1132"/>
      <c r="N5" s="1132"/>
      <c r="O5" s="1132"/>
      <c r="P5" s="3235"/>
      <c r="Q5" s="3236"/>
      <c r="R5" s="3241"/>
      <c r="S5" s="3242"/>
      <c r="T5" s="3241"/>
      <c r="U5" s="3242"/>
      <c r="V5" s="3224"/>
      <c r="W5" s="3224"/>
      <c r="X5" s="1813"/>
      <c r="Y5" s="3241"/>
      <c r="Z5" s="3242"/>
      <c r="AA5" s="3227"/>
      <c r="AB5" s="3227"/>
      <c r="AC5" s="3227"/>
    </row>
    <row r="6" spans="1:29" ht="15.75" thickBot="1">
      <c r="A6" s="405"/>
      <c r="B6" s="406"/>
      <c r="C6" s="3311" t="s">
        <v>2784</v>
      </c>
      <c r="D6" s="3312"/>
      <c r="E6" s="3313" t="s">
        <v>2784</v>
      </c>
      <c r="F6" s="3314"/>
      <c r="G6" s="3311" t="s">
        <v>2784</v>
      </c>
      <c r="H6" s="3312"/>
      <c r="I6" s="3311" t="s">
        <v>2784</v>
      </c>
      <c r="J6" s="3312"/>
      <c r="K6" s="609" t="s">
        <v>2534</v>
      </c>
      <c r="L6" s="1131"/>
      <c r="M6" s="1132"/>
      <c r="N6" s="1132"/>
      <c r="O6" s="1132"/>
      <c r="P6" s="3237"/>
      <c r="Q6" s="3238"/>
      <c r="R6" s="3241"/>
      <c r="S6" s="3242"/>
      <c r="T6" s="3243"/>
      <c r="U6" s="3244"/>
      <c r="V6" s="3224"/>
      <c r="W6" s="3224"/>
      <c r="X6" s="1813"/>
      <c r="Y6" s="3243"/>
      <c r="Z6" s="3244"/>
      <c r="AA6" s="3228"/>
      <c r="AB6" s="3228"/>
      <c r="AC6" s="3228"/>
    </row>
    <row r="7" spans="1:29" s="116" customFormat="1" ht="15.75" thickBot="1">
      <c r="A7" s="407" t="s">
        <v>2535</v>
      </c>
      <c r="B7" s="408"/>
      <c r="C7" s="409">
        <f>'数据-取费表'!B2</f>
        <v>43344</v>
      </c>
      <c r="D7" s="410">
        <v>100</v>
      </c>
      <c r="E7" s="411"/>
      <c r="F7" s="412">
        <f>SUMIF(65:65,YEAR(E7)&amp;"-"&amp;INT((MONTH(E7)+2)/3),66:66)</f>
        <v>0</v>
      </c>
      <c r="G7" s="2696"/>
      <c r="H7" s="410">
        <f>SUMIF(65:65,YEAR(G7)&amp;"-"&amp;INT((MONTH(G7)+2)/3),66:66)</f>
        <v>0</v>
      </c>
      <c r="I7" s="2696"/>
      <c r="J7" s="410">
        <f>SUMIF(65:65,YEAR(I7)&amp;"-"&amp;INT((MONTH(I7)+2)/3),66:66)</f>
        <v>0</v>
      </c>
      <c r="K7" s="610"/>
      <c r="L7" s="1133"/>
      <c r="M7" s="1134"/>
      <c r="N7" s="1134"/>
      <c r="O7" s="1134"/>
      <c r="P7" s="3249" t="s">
        <v>2536</v>
      </c>
      <c r="Q7" s="3251"/>
      <c r="R7" s="768" t="s">
        <v>17</v>
      </c>
      <c r="S7" s="769">
        <f t="shared" ref="S7:S15" si="0">F7</f>
        <v>0</v>
      </c>
      <c r="T7" s="768" t="s">
        <v>17</v>
      </c>
      <c r="U7" s="769">
        <f t="shared" ref="U7:U15" si="1">H7</f>
        <v>0</v>
      </c>
      <c r="V7" s="768" t="s">
        <v>17</v>
      </c>
      <c r="W7" s="769">
        <f t="shared" ref="W7:W15" si="2">J7</f>
        <v>0</v>
      </c>
      <c r="X7" s="770"/>
      <c r="Y7" s="3249" t="s">
        <v>2536</v>
      </c>
      <c r="Z7" s="3250"/>
      <c r="AA7" s="771" t="e">
        <f>D7/F7</f>
        <v>#DIV/0!</v>
      </c>
      <c r="AB7" s="771" t="e">
        <f>D7/H7</f>
        <v>#DIV/0!</v>
      </c>
      <c r="AC7" s="771"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49" t="s">
        <v>2539</v>
      </c>
      <c r="Q8" s="3250"/>
      <c r="R8" s="768" t="s">
        <v>17</v>
      </c>
      <c r="S8" s="769">
        <f t="shared" si="0"/>
        <v>0</v>
      </c>
      <c r="T8" s="768" t="s">
        <v>17</v>
      </c>
      <c r="U8" s="769">
        <f t="shared" si="1"/>
        <v>0</v>
      </c>
      <c r="V8" s="768" t="s">
        <v>17</v>
      </c>
      <c r="W8" s="769">
        <f t="shared" si="2"/>
        <v>0</v>
      </c>
      <c r="X8" s="770"/>
      <c r="Y8" s="3249" t="s">
        <v>2539</v>
      </c>
      <c r="Z8" s="3250"/>
      <c r="AA8" s="771" t="e">
        <f t="shared" ref="AA8:AA40" si="3">D8/F8</f>
        <v>#DIV/0!</v>
      </c>
      <c r="AB8" s="771" t="e">
        <f t="shared" ref="AB8:AB40" si="4">D8/H8</f>
        <v>#DIV/0!</v>
      </c>
      <c r="AC8" s="771" t="e">
        <f t="shared" ref="AC8:AC40" si="5">D8/J8</f>
        <v>#DIV/0!</v>
      </c>
    </row>
    <row r="9" spans="1:29" s="116" customFormat="1">
      <c r="A9" s="414" t="s">
        <v>2540</v>
      </c>
      <c r="B9" s="70" t="s">
        <v>2541</v>
      </c>
      <c r="C9" s="2699"/>
      <c r="D9" s="134">
        <v>100</v>
      </c>
      <c r="E9" s="2699"/>
      <c r="F9" s="134">
        <f>SUMIF(70:70,E9,71:71)-SUMIF(70:70,C9,71:71)+100</f>
        <v>100</v>
      </c>
      <c r="G9" s="2699"/>
      <c r="H9" s="134">
        <f>SUMIF(70:70,G9,71:71)-SUMIF(70:70,C9,71:71)+100</f>
        <v>100</v>
      </c>
      <c r="I9" s="2699"/>
      <c r="J9" s="134">
        <f>SUMIF(70:70,I9,71:71)-SUMIF(70:70,C9,71:71)+100</f>
        <v>100</v>
      </c>
      <c r="K9" s="610"/>
      <c r="L9" s="1133"/>
      <c r="M9" s="1134"/>
      <c r="N9" s="1134"/>
      <c r="O9" s="1135"/>
      <c r="P9" s="3210" t="s">
        <v>2542</v>
      </c>
      <c r="Q9" s="1795" t="str">
        <f t="shared" ref="Q9:Q15" si="6">B9</f>
        <v>用途</v>
      </c>
      <c r="R9" s="768" t="s">
        <v>17</v>
      </c>
      <c r="S9" s="769">
        <f t="shared" si="0"/>
        <v>100</v>
      </c>
      <c r="T9" s="768" t="s">
        <v>17</v>
      </c>
      <c r="U9" s="769">
        <f t="shared" si="1"/>
        <v>100</v>
      </c>
      <c r="V9" s="768" t="s">
        <v>17</v>
      </c>
      <c r="W9" s="769">
        <f t="shared" si="2"/>
        <v>100</v>
      </c>
      <c r="X9" s="770"/>
      <c r="Y9" s="3065" t="s">
        <v>2543</v>
      </c>
      <c r="Z9" s="54" t="str">
        <f t="shared" ref="Z9:Z15" si="7">Q9</f>
        <v>用途</v>
      </c>
      <c r="AA9" s="771">
        <f t="shared" si="3"/>
        <v>1</v>
      </c>
      <c r="AB9" s="771">
        <f t="shared" si="4"/>
        <v>1</v>
      </c>
      <c r="AC9" s="771">
        <f t="shared" si="5"/>
        <v>1</v>
      </c>
    </row>
    <row r="10" spans="1:29" s="426" customFormat="1" ht="27">
      <c r="A10" s="420"/>
      <c r="B10" s="421" t="s">
        <v>2544</v>
      </c>
      <c r="C10" s="431"/>
      <c r="D10" s="135">
        <v>100</v>
      </c>
      <c r="E10" s="431"/>
      <c r="F10" s="135">
        <f>ROUND(100/'数据-取费表'!G16,0)</f>
        <v>125</v>
      </c>
      <c r="G10" s="431"/>
      <c r="H10" s="135">
        <f>ROUND(100/'数据-取费表'!G16,0)</f>
        <v>125</v>
      </c>
      <c r="I10" s="431"/>
      <c r="J10" s="135">
        <f>ROUND(100/'数据-取费表'!G16,0)</f>
        <v>125</v>
      </c>
      <c r="K10" s="671"/>
      <c r="L10" s="1136"/>
      <c r="M10" s="1137"/>
      <c r="N10" s="1137"/>
      <c r="O10" s="1138"/>
      <c r="P10" s="3210"/>
      <c r="Q10" s="1795" t="str">
        <f t="shared" si="6"/>
        <v>土地使用年限（年）</v>
      </c>
      <c r="R10" s="768" t="s">
        <v>17</v>
      </c>
      <c r="S10" s="769">
        <f t="shared" si="0"/>
        <v>125</v>
      </c>
      <c r="T10" s="768" t="s">
        <v>17</v>
      </c>
      <c r="U10" s="769">
        <f t="shared" si="1"/>
        <v>125</v>
      </c>
      <c r="V10" s="768" t="s">
        <v>17</v>
      </c>
      <c r="W10" s="769">
        <f t="shared" si="2"/>
        <v>125</v>
      </c>
      <c r="X10" s="770"/>
      <c r="Y10" s="3065"/>
      <c r="Z10" s="54" t="str">
        <f t="shared" si="7"/>
        <v>土地使用年限（年）</v>
      </c>
      <c r="AA10" s="771">
        <f t="shared" si="3"/>
        <v>0.8</v>
      </c>
      <c r="AB10" s="771">
        <f t="shared" si="4"/>
        <v>0.8</v>
      </c>
      <c r="AC10" s="771">
        <f t="shared" si="5"/>
        <v>0.8</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10"/>
      <c r="Q11" s="1795" t="str">
        <f t="shared" si="6"/>
        <v>容积率</v>
      </c>
      <c r="R11" s="768" t="s">
        <v>17</v>
      </c>
      <c r="S11" s="769" t="e">
        <f t="shared" si="0"/>
        <v>#N/A</v>
      </c>
      <c r="T11" s="768" t="s">
        <v>17</v>
      </c>
      <c r="U11" s="769" t="e">
        <f t="shared" si="1"/>
        <v>#N/A</v>
      </c>
      <c r="V11" s="768" t="s">
        <v>17</v>
      </c>
      <c r="W11" s="769" t="e">
        <f t="shared" si="2"/>
        <v>#N/A</v>
      </c>
      <c r="X11" s="770"/>
      <c r="Y11" s="3065"/>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0"/>
      <c r="Q12" s="1795">
        <f t="shared" si="6"/>
        <v>111</v>
      </c>
      <c r="R12" s="768" t="s">
        <v>17</v>
      </c>
      <c r="S12" s="769">
        <f t="shared" si="0"/>
        <v>100</v>
      </c>
      <c r="T12" s="768" t="s">
        <v>17</v>
      </c>
      <c r="U12" s="769">
        <f t="shared" si="1"/>
        <v>100</v>
      </c>
      <c r="V12" s="768" t="s">
        <v>17</v>
      </c>
      <c r="W12" s="769">
        <f t="shared" si="2"/>
        <v>100</v>
      </c>
      <c r="X12" s="770"/>
      <c r="Y12" s="3065"/>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0"/>
      <c r="Q13" s="1795">
        <f t="shared" si="6"/>
        <v>111</v>
      </c>
      <c r="R13" s="768" t="s">
        <v>17</v>
      </c>
      <c r="S13" s="769">
        <f t="shared" si="0"/>
        <v>100</v>
      </c>
      <c r="T13" s="768" t="s">
        <v>17</v>
      </c>
      <c r="U13" s="769">
        <f t="shared" si="1"/>
        <v>100</v>
      </c>
      <c r="V13" s="768" t="s">
        <v>17</v>
      </c>
      <c r="W13" s="769">
        <f t="shared" si="2"/>
        <v>100</v>
      </c>
      <c r="X13" s="770"/>
      <c r="Y13" s="3065"/>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0"/>
      <c r="Q14" s="1795">
        <f t="shared" si="6"/>
        <v>111</v>
      </c>
      <c r="R14" s="768" t="s">
        <v>17</v>
      </c>
      <c r="S14" s="769">
        <f t="shared" si="0"/>
        <v>100</v>
      </c>
      <c r="T14" s="768" t="s">
        <v>17</v>
      </c>
      <c r="U14" s="769">
        <f t="shared" si="1"/>
        <v>100</v>
      </c>
      <c r="V14" s="768" t="s">
        <v>17</v>
      </c>
      <c r="W14" s="769">
        <f t="shared" si="2"/>
        <v>100</v>
      </c>
      <c r="X14" s="770"/>
      <c r="Y14" s="3065"/>
      <c r="Z14" s="54">
        <f t="shared" si="7"/>
        <v>111</v>
      </c>
      <c r="AA14" s="771">
        <f t="shared" si="3"/>
        <v>1</v>
      </c>
      <c r="AB14" s="771">
        <f t="shared" si="4"/>
        <v>1</v>
      </c>
      <c r="AC14" s="771">
        <f t="shared" si="5"/>
        <v>1</v>
      </c>
    </row>
    <row r="15" spans="1:29" ht="15">
      <c r="A15" s="439" t="s">
        <v>2546</v>
      </c>
      <c r="B15" s="628" t="s">
        <v>2785</v>
      </c>
      <c r="C15" s="269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7" t="s">
        <v>2547</v>
      </c>
      <c r="Q15" s="1810" t="str">
        <f t="shared" si="6"/>
        <v>产业集聚程度</v>
      </c>
      <c r="R15" s="772" t="s">
        <v>17</v>
      </c>
      <c r="S15" s="773">
        <f t="shared" si="0"/>
        <v>100</v>
      </c>
      <c r="T15" s="772" t="s">
        <v>17</v>
      </c>
      <c r="U15" s="773">
        <f t="shared" si="1"/>
        <v>100</v>
      </c>
      <c r="V15" s="772" t="s">
        <v>17</v>
      </c>
      <c r="W15" s="773">
        <f t="shared" si="2"/>
        <v>100</v>
      </c>
      <c r="X15" s="1813"/>
      <c r="Y15" s="3217" t="s">
        <v>2547</v>
      </c>
      <c r="Z15" s="1814" t="str">
        <f t="shared" si="7"/>
        <v>产业集聚程度</v>
      </c>
      <c r="AA15" s="1811">
        <f t="shared" si="3"/>
        <v>1</v>
      </c>
      <c r="AB15" s="1811">
        <f t="shared" si="4"/>
        <v>1</v>
      </c>
      <c r="AC15" s="1811">
        <f t="shared" si="5"/>
        <v>1</v>
      </c>
    </row>
    <row r="16" spans="1:29" ht="15">
      <c r="A16" s="427"/>
      <c r="B16" s="629"/>
      <c r="C16" s="446"/>
      <c r="D16" s="447"/>
      <c r="E16" s="2611"/>
      <c r="F16" s="447"/>
      <c r="G16" s="2611"/>
      <c r="H16" s="449"/>
      <c r="I16" s="2611"/>
      <c r="J16" s="447"/>
      <c r="K16" s="671"/>
      <c r="L16" s="1141"/>
      <c r="M16" s="1132"/>
      <c r="N16" s="1132"/>
      <c r="O16" s="1140"/>
      <c r="P16" s="3218"/>
      <c r="Q16" s="1810"/>
      <c r="R16" s="772"/>
      <c r="S16" s="773"/>
      <c r="T16" s="772"/>
      <c r="U16" s="773"/>
      <c r="V16" s="772"/>
      <c r="W16" s="773"/>
      <c r="X16" s="1813"/>
      <c r="Y16" s="3218"/>
      <c r="Z16" s="1814"/>
      <c r="AA16" s="1811">
        <v>1</v>
      </c>
      <c r="AB16" s="1811">
        <v>1</v>
      </c>
      <c r="AC16" s="1811">
        <v>1</v>
      </c>
    </row>
    <row r="17" spans="1:29" ht="15">
      <c r="A17" s="427"/>
      <c r="B17" s="630" t="s">
        <v>2696</v>
      </c>
      <c r="C17" s="260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8"/>
      <c r="Q17" s="1810" t="str">
        <f>B17</f>
        <v>交通便捷度</v>
      </c>
      <c r="R17" s="772" t="s">
        <v>17</v>
      </c>
      <c r="S17" s="773">
        <f>F17</f>
        <v>100</v>
      </c>
      <c r="T17" s="772" t="s">
        <v>17</v>
      </c>
      <c r="U17" s="773">
        <f>H17</f>
        <v>100</v>
      </c>
      <c r="V17" s="772" t="s">
        <v>17</v>
      </c>
      <c r="W17" s="773">
        <f>J17</f>
        <v>100</v>
      </c>
      <c r="X17" s="1813"/>
      <c r="Y17" s="3218"/>
      <c r="Z17" s="1814" t="str">
        <f>Q17</f>
        <v>交通便捷度</v>
      </c>
      <c r="AA17" s="1811">
        <f t="shared" si="3"/>
        <v>1</v>
      </c>
      <c r="AB17" s="1811">
        <f t="shared" si="4"/>
        <v>1</v>
      </c>
      <c r="AC17" s="1811">
        <f t="shared" si="5"/>
        <v>1</v>
      </c>
    </row>
    <row r="18" spans="1:29" ht="15">
      <c r="A18" s="427"/>
      <c r="B18" s="631"/>
      <c r="C18" s="446"/>
      <c r="D18" s="447"/>
      <c r="E18" s="2605"/>
      <c r="F18" s="447"/>
      <c r="G18" s="2605"/>
      <c r="H18" s="447"/>
      <c r="I18" s="2604"/>
      <c r="J18" s="447"/>
      <c r="K18" s="671"/>
      <c r="L18" s="1141"/>
      <c r="M18" s="1132"/>
      <c r="N18" s="1132"/>
      <c r="O18" s="1140"/>
      <c r="P18" s="3218"/>
      <c r="Q18" s="1810"/>
      <c r="R18" s="772"/>
      <c r="S18" s="773"/>
      <c r="T18" s="772"/>
      <c r="U18" s="773"/>
      <c r="V18" s="772"/>
      <c r="W18" s="773"/>
      <c r="X18" s="1813"/>
      <c r="Y18" s="3218"/>
      <c r="Z18" s="1814"/>
      <c r="AA18" s="1811">
        <v>1</v>
      </c>
      <c r="AB18" s="1811">
        <v>1</v>
      </c>
      <c r="AC18" s="1811">
        <v>1</v>
      </c>
    </row>
    <row r="19" spans="1:29" ht="15">
      <c r="A19" s="427"/>
      <c r="B19" s="630" t="s">
        <v>2735</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8"/>
      <c r="Q19" s="1810" t="str">
        <f t="shared" ref="Q19:Q33" si="8">B19</f>
        <v>区域土地利用方向</v>
      </c>
      <c r="R19" s="772" t="s">
        <v>17</v>
      </c>
      <c r="S19" s="773">
        <f>F19</f>
        <v>100</v>
      </c>
      <c r="T19" s="772" t="s">
        <v>17</v>
      </c>
      <c r="U19" s="773">
        <f>H19</f>
        <v>100</v>
      </c>
      <c r="V19" s="772" t="s">
        <v>17</v>
      </c>
      <c r="W19" s="773">
        <f>J19</f>
        <v>100</v>
      </c>
      <c r="X19" s="1813"/>
      <c r="Y19" s="3218"/>
      <c r="Z19" s="1814" t="str">
        <f>Q19</f>
        <v>区域土地利用方向</v>
      </c>
      <c r="AA19" s="1811">
        <f t="shared" si="3"/>
        <v>1</v>
      </c>
      <c r="AB19" s="1811">
        <f t="shared" si="4"/>
        <v>1</v>
      </c>
      <c r="AC19" s="1811">
        <f t="shared" si="5"/>
        <v>1</v>
      </c>
    </row>
    <row r="20" spans="1:29" ht="15">
      <c r="A20" s="403"/>
      <c r="B20" s="631"/>
      <c r="C20" s="446"/>
      <c r="D20" s="447"/>
      <c r="E20" s="2605"/>
      <c r="F20" s="447"/>
      <c r="G20" s="2605"/>
      <c r="H20" s="447"/>
      <c r="I20" s="2605"/>
      <c r="J20" s="447"/>
      <c r="K20" s="810"/>
      <c r="L20" s="1141"/>
      <c r="M20" s="1132"/>
      <c r="N20" s="1132"/>
      <c r="O20" s="1140"/>
      <c r="P20" s="3218"/>
      <c r="Q20" s="1810"/>
      <c r="R20" s="772"/>
      <c r="S20" s="773"/>
      <c r="T20" s="772"/>
      <c r="U20" s="773"/>
      <c r="V20" s="772"/>
      <c r="W20" s="773"/>
      <c r="X20" s="1813"/>
      <c r="Y20" s="3218"/>
      <c r="Z20" s="1814"/>
      <c r="AA20" s="1811"/>
      <c r="AB20" s="1811"/>
      <c r="AC20" s="1811"/>
    </row>
    <row r="21" spans="1:29" ht="15">
      <c r="A21" s="403"/>
      <c r="B21" s="630" t="s">
        <v>2786</v>
      </c>
      <c r="C21" s="260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8"/>
      <c r="Q21" s="1810" t="str">
        <f t="shared" si="8"/>
        <v>环境状况</v>
      </c>
      <c r="R21" s="772" t="s">
        <v>17</v>
      </c>
      <c r="S21" s="773">
        <f>F21</f>
        <v>100</v>
      </c>
      <c r="T21" s="772" t="s">
        <v>17</v>
      </c>
      <c r="U21" s="773">
        <f>H21</f>
        <v>100</v>
      </c>
      <c r="V21" s="772" t="s">
        <v>17</v>
      </c>
      <c r="W21" s="773">
        <f>J21</f>
        <v>100</v>
      </c>
      <c r="X21" s="1813"/>
      <c r="Y21" s="3218"/>
      <c r="Z21" s="1814" t="str">
        <f>Q21</f>
        <v>环境状况</v>
      </c>
      <c r="AA21" s="1811">
        <f t="shared" si="3"/>
        <v>1</v>
      </c>
      <c r="AB21" s="1811">
        <f t="shared" si="4"/>
        <v>1</v>
      </c>
      <c r="AC21" s="1811">
        <f t="shared" si="5"/>
        <v>1</v>
      </c>
    </row>
    <row r="22" spans="1:29" ht="15">
      <c r="A22" s="403"/>
      <c r="B22" s="631"/>
      <c r="C22" s="446"/>
      <c r="D22" s="447"/>
      <c r="E22" s="2611"/>
      <c r="F22" s="447"/>
      <c r="G22" s="2611"/>
      <c r="H22" s="447"/>
      <c r="I22" s="446"/>
      <c r="J22" s="447"/>
      <c r="K22" s="671"/>
      <c r="L22" s="1141"/>
      <c r="M22" s="1132"/>
      <c r="N22" s="1132"/>
      <c r="O22" s="1140"/>
      <c r="P22" s="3218"/>
      <c r="Q22" s="1810"/>
      <c r="R22" s="772"/>
      <c r="S22" s="773"/>
      <c r="T22" s="772"/>
      <c r="U22" s="773"/>
      <c r="V22" s="772"/>
      <c r="W22" s="773"/>
      <c r="X22" s="1813"/>
      <c r="Y22" s="3218"/>
      <c r="Z22" s="1814"/>
      <c r="AA22" s="1811">
        <v>1</v>
      </c>
      <c r="AB22" s="1811">
        <v>1</v>
      </c>
      <c r="AC22" s="1811">
        <v>1</v>
      </c>
    </row>
    <row r="23" spans="1:29" s="116" customFormat="1" ht="15">
      <c r="A23" s="648"/>
      <c r="B23" s="632" t="s">
        <v>2641</v>
      </c>
      <c r="C23" s="260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8"/>
      <c r="Q23" s="1795" t="str">
        <f t="shared" si="8"/>
        <v>公共配套设施</v>
      </c>
      <c r="R23" s="768" t="s">
        <v>17</v>
      </c>
      <c r="S23" s="769">
        <f>F23</f>
        <v>100</v>
      </c>
      <c r="T23" s="768" t="s">
        <v>17</v>
      </c>
      <c r="U23" s="769">
        <f>H23</f>
        <v>100</v>
      </c>
      <c r="V23" s="768" t="s">
        <v>17</v>
      </c>
      <c r="W23" s="769">
        <f>J23</f>
        <v>100</v>
      </c>
      <c r="X23" s="770"/>
      <c r="Y23" s="3218"/>
      <c r="Z23" s="54" t="str">
        <f>Q23</f>
        <v>公共配套设施</v>
      </c>
      <c r="AA23" s="1811">
        <f>D23/F23</f>
        <v>1</v>
      </c>
      <c r="AB23" s="1811">
        <f>D23/H23</f>
        <v>1</v>
      </c>
      <c r="AC23" s="1811">
        <f>D23/J23</f>
        <v>1</v>
      </c>
    </row>
    <row r="24" spans="1:29" s="116" customFormat="1" ht="15">
      <c r="A24" s="648"/>
      <c r="B24" s="631"/>
      <c r="C24" s="2700"/>
      <c r="D24" s="447"/>
      <c r="E24" s="2611"/>
      <c r="F24" s="447"/>
      <c r="G24" s="2611"/>
      <c r="H24" s="447"/>
      <c r="I24" s="446"/>
      <c r="J24" s="447"/>
      <c r="K24" s="671"/>
      <c r="L24" s="1133"/>
      <c r="M24" s="1134"/>
      <c r="N24" s="1134"/>
      <c r="O24" s="1135"/>
      <c r="P24" s="3218"/>
      <c r="Q24" s="1795"/>
      <c r="R24" s="768"/>
      <c r="S24" s="769"/>
      <c r="T24" s="768"/>
      <c r="U24" s="769"/>
      <c r="V24" s="768"/>
      <c r="W24" s="769"/>
      <c r="X24" s="770"/>
      <c r="Y24" s="3218"/>
      <c r="Z24" s="54"/>
      <c r="AA24" s="771">
        <v>1</v>
      </c>
      <c r="AB24" s="771">
        <v>1</v>
      </c>
      <c r="AC24" s="771">
        <v>1</v>
      </c>
    </row>
    <row r="25" spans="1:29" s="116" customFormat="1" ht="15">
      <c r="A25" s="648"/>
      <c r="B25" s="632" t="s">
        <v>2642</v>
      </c>
      <c r="C25" s="260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8"/>
      <c r="Q25" s="1795" t="str">
        <f t="shared" ref="Q25" si="9">B25</f>
        <v>基础设施水平</v>
      </c>
      <c r="R25" s="768" t="s">
        <v>17</v>
      </c>
      <c r="S25" s="769">
        <f>F25</f>
        <v>100</v>
      </c>
      <c r="T25" s="768" t="s">
        <v>17</v>
      </c>
      <c r="U25" s="769">
        <f>H25</f>
        <v>100</v>
      </c>
      <c r="V25" s="768" t="s">
        <v>17</v>
      </c>
      <c r="W25" s="769">
        <f>J25</f>
        <v>100</v>
      </c>
      <c r="X25" s="770"/>
      <c r="Y25" s="3218"/>
      <c r="Z25" s="54" t="str">
        <f>Q25</f>
        <v>基础设施水平</v>
      </c>
      <c r="AA25" s="1811">
        <f>D25/F25</f>
        <v>1</v>
      </c>
      <c r="AB25" s="1811">
        <f>D25/H25</f>
        <v>1</v>
      </c>
      <c r="AC25" s="1811">
        <f>D25/J25</f>
        <v>1</v>
      </c>
    </row>
    <row r="26" spans="1:29" s="116" customFormat="1" ht="15">
      <c r="A26" s="648"/>
      <c r="B26" s="631"/>
      <c r="C26" s="2700"/>
      <c r="D26" s="447"/>
      <c r="E26" s="2701"/>
      <c r="F26" s="447"/>
      <c r="G26" s="2701"/>
      <c r="H26" s="447"/>
      <c r="I26" s="2701"/>
      <c r="J26" s="447"/>
      <c r="K26" s="671"/>
      <c r="L26" s="1133"/>
      <c r="M26" s="1134"/>
      <c r="N26" s="1134"/>
      <c r="O26" s="1135"/>
      <c r="P26" s="3218"/>
      <c r="Q26" s="1795"/>
      <c r="R26" s="768"/>
      <c r="S26" s="769"/>
      <c r="T26" s="768"/>
      <c r="U26" s="769"/>
      <c r="V26" s="768"/>
      <c r="W26" s="769"/>
      <c r="X26" s="770"/>
      <c r="Y26" s="3218"/>
      <c r="Z26" s="54"/>
      <c r="AA26" s="771">
        <v>1</v>
      </c>
      <c r="AB26" s="771">
        <v>1</v>
      </c>
      <c r="AC26" s="771">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8"/>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18"/>
      <c r="Z27" s="1814" t="str">
        <f t="shared" ref="Z27:Z40" si="13">Q27</f>
        <v>临街状况</v>
      </c>
      <c r="AA27" s="1811">
        <f t="shared" si="3"/>
        <v>1</v>
      </c>
      <c r="AB27" s="1811">
        <f t="shared" si="4"/>
        <v>1</v>
      </c>
      <c r="AC27" s="1811">
        <f t="shared" si="5"/>
        <v>1</v>
      </c>
    </row>
    <row r="28" spans="1:29" ht="27">
      <c r="A28" s="427"/>
      <c r="B28" s="632" t="s">
        <v>2678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8"/>
      <c r="Q28" s="1810" t="str">
        <f t="shared" si="8"/>
        <v>毗邻道路的类型与等级</v>
      </c>
      <c r="R28" s="772" t="s">
        <v>17</v>
      </c>
      <c r="S28" s="773">
        <f t="shared" si="10"/>
        <v>100</v>
      </c>
      <c r="T28" s="772" t="s">
        <v>17</v>
      </c>
      <c r="U28" s="773">
        <f t="shared" si="11"/>
        <v>100</v>
      </c>
      <c r="V28" s="772" t="s">
        <v>17</v>
      </c>
      <c r="W28" s="773">
        <f t="shared" si="12"/>
        <v>100</v>
      </c>
      <c r="X28" s="1813"/>
      <c r="Y28" s="3218"/>
      <c r="Z28" s="1814" t="str">
        <f t="shared" si="13"/>
        <v>毗邻道路的类型与等级</v>
      </c>
      <c r="AA28" s="1811">
        <f t="shared" si="3"/>
        <v>1</v>
      </c>
      <c r="AB28" s="1811">
        <f t="shared" si="4"/>
        <v>1</v>
      </c>
      <c r="AC28" s="1811">
        <f t="shared" si="5"/>
        <v>1</v>
      </c>
    </row>
    <row r="29" spans="1:29" ht="15">
      <c r="A29" s="427"/>
      <c r="B29" s="631"/>
      <c r="C29" s="446"/>
      <c r="D29" s="447"/>
      <c r="E29" s="2611"/>
      <c r="F29" s="447"/>
      <c r="G29" s="2611"/>
      <c r="H29" s="447"/>
      <c r="I29" s="2611"/>
      <c r="J29" s="447"/>
      <c r="K29" s="612"/>
      <c r="L29" s="1141"/>
      <c r="M29" s="1132"/>
      <c r="N29" s="1132"/>
      <c r="O29" s="1140"/>
      <c r="P29" s="3218"/>
      <c r="Q29" s="1810"/>
      <c r="R29" s="772"/>
      <c r="S29" s="773"/>
      <c r="T29" s="772"/>
      <c r="U29" s="773"/>
      <c r="V29" s="772"/>
      <c r="W29" s="773"/>
      <c r="X29" s="1813"/>
      <c r="Y29" s="3218"/>
      <c r="Z29" s="1814"/>
      <c r="AA29" s="1811">
        <v>1</v>
      </c>
      <c r="AB29" s="1811">
        <v>1</v>
      </c>
      <c r="AC29" s="1811">
        <v>1</v>
      </c>
    </row>
    <row r="30" spans="1:29" ht="15">
      <c r="A30" s="427"/>
      <c r="B30" s="653" t="s">
        <v>2737</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8"/>
      <c r="Q30" s="1810" t="str">
        <f t="shared" si="8"/>
        <v>土地级别</v>
      </c>
      <c r="R30" s="772" t="s">
        <v>17</v>
      </c>
      <c r="S30" s="773">
        <f t="shared" si="10"/>
        <v>100</v>
      </c>
      <c r="T30" s="772" t="s">
        <v>17</v>
      </c>
      <c r="U30" s="773">
        <f t="shared" si="11"/>
        <v>100</v>
      </c>
      <c r="V30" s="772" t="s">
        <v>17</v>
      </c>
      <c r="W30" s="773">
        <f t="shared" si="12"/>
        <v>100</v>
      </c>
      <c r="X30" s="1813"/>
      <c r="Y30" s="3218"/>
      <c r="Z30" s="1814" t="str">
        <f t="shared" si="13"/>
        <v>土地级别</v>
      </c>
      <c r="AA30" s="1811">
        <f t="shared" si="3"/>
        <v>1</v>
      </c>
      <c r="AB30" s="1811">
        <f t="shared" si="4"/>
        <v>1</v>
      </c>
      <c r="AC30" s="1811">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8"/>
      <c r="Q31" s="1810">
        <f t="shared" si="8"/>
        <v>111</v>
      </c>
      <c r="R31" s="772" t="s">
        <v>17</v>
      </c>
      <c r="S31" s="773">
        <f t="shared" si="10"/>
        <v>100</v>
      </c>
      <c r="T31" s="772" t="s">
        <v>17</v>
      </c>
      <c r="U31" s="773">
        <f t="shared" si="11"/>
        <v>100</v>
      </c>
      <c r="V31" s="772" t="s">
        <v>17</v>
      </c>
      <c r="W31" s="773">
        <f t="shared" si="12"/>
        <v>100</v>
      </c>
      <c r="X31" s="1813"/>
      <c r="Y31" s="3218"/>
      <c r="Z31" s="1814">
        <f t="shared" si="13"/>
        <v>111</v>
      </c>
      <c r="AA31" s="1811">
        <f t="shared" si="3"/>
        <v>1</v>
      </c>
      <c r="AB31" s="1811">
        <f t="shared" si="4"/>
        <v>1</v>
      </c>
      <c r="AC31" s="1811">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4" t="s">
        <v>2552</v>
      </c>
      <c r="Q32" s="1810">
        <f t="shared" si="8"/>
        <v>111</v>
      </c>
      <c r="R32" s="772" t="s">
        <v>17</v>
      </c>
      <c r="S32" s="773">
        <f t="shared" si="10"/>
        <v>100</v>
      </c>
      <c r="T32" s="772" t="s">
        <v>17</v>
      </c>
      <c r="U32" s="773">
        <f t="shared" si="11"/>
        <v>100</v>
      </c>
      <c r="V32" s="772" t="s">
        <v>17</v>
      </c>
      <c r="W32" s="773">
        <f t="shared" si="12"/>
        <v>100</v>
      </c>
      <c r="X32" s="1813"/>
      <c r="Y32" s="3222" t="s">
        <v>2552</v>
      </c>
      <c r="Z32" s="1814">
        <f t="shared" si="13"/>
        <v>111</v>
      </c>
      <c r="AA32" s="1811">
        <f t="shared" si="3"/>
        <v>1</v>
      </c>
      <c r="AB32" s="1811">
        <f t="shared" si="4"/>
        <v>1</v>
      </c>
      <c r="AC32" s="1811">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2"/>
      <c r="Q33" s="1810">
        <f t="shared" si="8"/>
        <v>111</v>
      </c>
      <c r="R33" s="775" t="s">
        <v>17</v>
      </c>
      <c r="S33" s="776">
        <f t="shared" si="10"/>
        <v>100</v>
      </c>
      <c r="T33" s="775" t="s">
        <v>17</v>
      </c>
      <c r="U33" s="776">
        <f t="shared" si="11"/>
        <v>100</v>
      </c>
      <c r="V33" s="775" t="s">
        <v>17</v>
      </c>
      <c r="W33" s="776">
        <f t="shared" si="12"/>
        <v>100</v>
      </c>
      <c r="X33" s="777"/>
      <c r="Y33" s="3222"/>
      <c r="Z33" s="778">
        <f t="shared" si="13"/>
        <v>111</v>
      </c>
      <c r="AA33" s="1811">
        <f t="shared" si="3"/>
        <v>1</v>
      </c>
      <c r="AB33" s="1811">
        <f t="shared" si="4"/>
        <v>1</v>
      </c>
      <c r="AC33" s="1811">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2"/>
      <c r="Q34" s="1810" t="str">
        <f>B34</f>
        <v>宗地面积</v>
      </c>
      <c r="R34" s="772" t="s">
        <v>17</v>
      </c>
      <c r="S34" s="773" t="e">
        <f t="shared" si="10"/>
        <v>#N/A</v>
      </c>
      <c r="T34" s="772" t="s">
        <v>17</v>
      </c>
      <c r="U34" s="773" t="e">
        <f t="shared" si="11"/>
        <v>#N/A</v>
      </c>
      <c r="V34" s="772" t="s">
        <v>17</v>
      </c>
      <c r="W34" s="773" t="e">
        <f t="shared" si="12"/>
        <v>#N/A</v>
      </c>
      <c r="X34" s="1813"/>
      <c r="Y34" s="3222"/>
      <c r="Z34" s="1814" t="str">
        <f t="shared" si="13"/>
        <v>宗地面积</v>
      </c>
      <c r="AA34" s="1811" t="e">
        <f t="shared" si="3"/>
        <v>#N/A</v>
      </c>
      <c r="AB34" s="1811" t="e">
        <f t="shared" si="4"/>
        <v>#N/A</v>
      </c>
      <c r="AC34" s="1811" t="e">
        <f t="shared" si="5"/>
        <v>#N/A</v>
      </c>
    </row>
    <row r="35" spans="1:29" ht="15">
      <c r="A35" s="471"/>
      <c r="B35" s="421" t="s">
        <v>2739</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222"/>
      <c r="Q35" s="1810" t="str">
        <f t="shared" ref="Q35:Q40" si="14">B35</f>
        <v>宗地形状</v>
      </c>
      <c r="R35" s="772" t="s">
        <v>17</v>
      </c>
      <c r="S35" s="773">
        <f t="shared" si="10"/>
        <v>100</v>
      </c>
      <c r="T35" s="772" t="s">
        <v>17</v>
      </c>
      <c r="U35" s="773">
        <f t="shared" si="11"/>
        <v>100</v>
      </c>
      <c r="V35" s="772" t="s">
        <v>17</v>
      </c>
      <c r="W35" s="773">
        <f t="shared" si="12"/>
        <v>100</v>
      </c>
      <c r="X35" s="1813"/>
      <c r="Y35" s="3222"/>
      <c r="Z35" s="1814" t="str">
        <f t="shared" si="13"/>
        <v>宗地形状</v>
      </c>
      <c r="AA35" s="1811">
        <f t="shared" si="3"/>
        <v>1</v>
      </c>
      <c r="AB35" s="1811">
        <f t="shared" si="4"/>
        <v>1</v>
      </c>
      <c r="AC35" s="1811">
        <f t="shared" si="5"/>
        <v>1</v>
      </c>
    </row>
    <row r="36" spans="1:29" s="116" customFormat="1" ht="15">
      <c r="A36" s="472"/>
      <c r="B36" s="421" t="s">
        <v>2741</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3"/>
      <c r="M36" s="1134"/>
      <c r="N36" s="1134"/>
      <c r="O36" s="1135"/>
      <c r="P36" s="3222"/>
      <c r="Q36" s="1810" t="str">
        <f t="shared" si="14"/>
        <v>宗地开发程度</v>
      </c>
      <c r="R36" s="768" t="s">
        <v>17</v>
      </c>
      <c r="S36" s="769">
        <f t="shared" si="10"/>
        <v>100</v>
      </c>
      <c r="T36" s="768" t="s">
        <v>17</v>
      </c>
      <c r="U36" s="769">
        <f t="shared" si="11"/>
        <v>100</v>
      </c>
      <c r="V36" s="768" t="s">
        <v>17</v>
      </c>
      <c r="W36" s="769">
        <f t="shared" si="12"/>
        <v>100</v>
      </c>
      <c r="X36" s="770"/>
      <c r="Y36" s="3222"/>
      <c r="Z36" s="54" t="str">
        <f t="shared" si="13"/>
        <v>宗地开发程度</v>
      </c>
      <c r="AA36" s="771">
        <f t="shared" si="3"/>
        <v>1</v>
      </c>
      <c r="AB36" s="771">
        <f t="shared" si="4"/>
        <v>1</v>
      </c>
      <c r="AC36" s="771">
        <f t="shared" si="5"/>
        <v>1</v>
      </c>
    </row>
    <row r="37" spans="1:29" ht="15">
      <c r="A37" s="471"/>
      <c r="B37" s="421" t="s">
        <v>2742</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222" t="s">
        <v>2552</v>
      </c>
      <c r="Q37" s="1810" t="str">
        <f t="shared" si="14"/>
        <v>工程地质条件</v>
      </c>
      <c r="R37" s="772" t="s">
        <v>17</v>
      </c>
      <c r="S37" s="773">
        <f t="shared" si="10"/>
        <v>100</v>
      </c>
      <c r="T37" s="772" t="s">
        <v>17</v>
      </c>
      <c r="U37" s="773">
        <f t="shared" si="11"/>
        <v>100</v>
      </c>
      <c r="V37" s="772" t="s">
        <v>17</v>
      </c>
      <c r="W37" s="773">
        <f t="shared" si="12"/>
        <v>100</v>
      </c>
      <c r="X37" s="1813"/>
      <c r="Y37" s="3222" t="s">
        <v>2552</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2"/>
      <c r="Q38" s="1810">
        <f t="shared" si="14"/>
        <v>111</v>
      </c>
      <c r="R38" s="772" t="s">
        <v>17</v>
      </c>
      <c r="S38" s="773">
        <f t="shared" si="10"/>
        <v>100</v>
      </c>
      <c r="T38" s="772" t="s">
        <v>17</v>
      </c>
      <c r="U38" s="773">
        <f t="shared" si="11"/>
        <v>100</v>
      </c>
      <c r="V38" s="772" t="s">
        <v>17</v>
      </c>
      <c r="W38" s="773">
        <f t="shared" si="12"/>
        <v>100</v>
      </c>
      <c r="X38" s="1813"/>
      <c r="Y38" s="3222"/>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2"/>
      <c r="Q39" s="1810">
        <f t="shared" si="14"/>
        <v>111</v>
      </c>
      <c r="R39" s="772" t="s">
        <v>17</v>
      </c>
      <c r="S39" s="773">
        <f t="shared" si="10"/>
        <v>100</v>
      </c>
      <c r="T39" s="772" t="s">
        <v>17</v>
      </c>
      <c r="U39" s="773">
        <f t="shared" si="11"/>
        <v>100</v>
      </c>
      <c r="V39" s="772" t="s">
        <v>17</v>
      </c>
      <c r="W39" s="773">
        <f t="shared" si="12"/>
        <v>100</v>
      </c>
      <c r="X39" s="1813"/>
      <c r="Y39" s="3222"/>
      <c r="Z39" s="1814">
        <f t="shared" si="13"/>
        <v>111</v>
      </c>
      <c r="AA39" s="1811">
        <f t="shared" si="3"/>
        <v>1</v>
      </c>
      <c r="AB39" s="1811">
        <f t="shared" si="4"/>
        <v>1</v>
      </c>
      <c r="AC39" s="1811">
        <f t="shared" si="5"/>
        <v>1</v>
      </c>
    </row>
    <row r="40" spans="1:29" s="470" customFormat="1" ht="15.75" thickBot="1">
      <c r="A40" s="467"/>
      <c r="B40" s="1388">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2"/>
      <c r="Q40" s="1810">
        <f t="shared" si="14"/>
        <v>111</v>
      </c>
      <c r="R40" s="775" t="s">
        <v>17</v>
      </c>
      <c r="S40" s="776">
        <f t="shared" si="10"/>
        <v>100</v>
      </c>
      <c r="T40" s="775" t="s">
        <v>17</v>
      </c>
      <c r="U40" s="776">
        <f t="shared" si="11"/>
        <v>100</v>
      </c>
      <c r="V40" s="775" t="s">
        <v>17</v>
      </c>
      <c r="W40" s="776">
        <f t="shared" si="12"/>
        <v>100</v>
      </c>
      <c r="X40" s="777"/>
      <c r="Y40" s="3222"/>
      <c r="Z40" s="778">
        <f t="shared" si="13"/>
        <v>111</v>
      </c>
      <c r="AA40" s="1811">
        <f t="shared" si="3"/>
        <v>1</v>
      </c>
      <c r="AB40" s="1811">
        <f t="shared" si="4"/>
        <v>1</v>
      </c>
      <c r="AC40" s="1811">
        <f t="shared" si="5"/>
        <v>1</v>
      </c>
    </row>
    <row r="41" spans="1:29" ht="15">
      <c r="A41" s="478" t="s">
        <v>2707</v>
      </c>
      <c r="B41" s="2704" t="s">
        <v>2787</v>
      </c>
      <c r="C41" s="681" t="s">
        <v>1</v>
      </c>
      <c r="D41" s="480"/>
      <c r="E41" s="481"/>
      <c r="F41" s="482"/>
      <c r="G41" s="483"/>
      <c r="H41" s="484"/>
      <c r="I41" s="481"/>
      <c r="J41" s="484"/>
      <c r="K41" s="781"/>
      <c r="L41" s="1144"/>
      <c r="M41" s="1132"/>
      <c r="N41" s="1132"/>
      <c r="O41" s="1145"/>
      <c r="P41" s="3210" t="str">
        <f>A41</f>
        <v>成交单价</v>
      </c>
      <c r="Q41" s="3210"/>
      <c r="R41" s="3224">
        <f>E41</f>
        <v>0</v>
      </c>
      <c r="S41" s="3224"/>
      <c r="T41" s="3224">
        <f>G41</f>
        <v>0</v>
      </c>
      <c r="U41" s="3224"/>
      <c r="V41" s="3224">
        <f>I41</f>
        <v>0</v>
      </c>
      <c r="W41" s="3224"/>
      <c r="X41" s="757"/>
      <c r="Y41" s="779"/>
      <c r="Z41" s="757"/>
      <c r="AA41" s="757"/>
      <c r="AB41" s="757"/>
      <c r="AC41" s="757"/>
    </row>
    <row r="42" spans="1:29" ht="15.75" thickBot="1">
      <c r="A42" s="485" t="s">
        <v>2656</v>
      </c>
      <c r="B42" s="682"/>
      <c r="C42" s="489" t="e">
        <f>R43</f>
        <v>#DIV/0!</v>
      </c>
      <c r="D42" s="488"/>
      <c r="E42" s="489" t="e">
        <f>R42</f>
        <v>#DIV/0!</v>
      </c>
      <c r="F42" s="490"/>
      <c r="G42" s="487" t="e">
        <f>T42</f>
        <v>#DIV/0!</v>
      </c>
      <c r="H42" s="488"/>
      <c r="I42" s="489" t="e">
        <f>V42</f>
        <v>#DIV/0!</v>
      </c>
      <c r="J42" s="488"/>
      <c r="K42" s="782"/>
      <c r="L42" s="1144"/>
      <c r="M42" s="1132"/>
      <c r="N42" s="1132"/>
      <c r="O42" s="1145"/>
      <c r="P42" s="3210" t="str">
        <f>A42</f>
        <v>比较价值（元/平方米）</v>
      </c>
      <c r="Q42" s="3210"/>
      <c r="R42" s="3307" t="e">
        <f>ROUND(PRODUCT(R41,AA7:AA40),0)</f>
        <v>#DIV/0!</v>
      </c>
      <c r="S42" s="3307"/>
      <c r="T42" s="3307" t="e">
        <f>ROUND(PRODUCT(T41,AB7:AB40),0)</f>
        <v>#DIV/0!</v>
      </c>
      <c r="U42" s="3307"/>
      <c r="V42" s="3307" t="e">
        <f>ROUND(PRODUCT(V41,AC7:AC40),0)</f>
        <v>#DIV/0!</v>
      </c>
      <c r="W42" s="3307"/>
      <c r="X42" s="757"/>
      <c r="Y42" s="757"/>
      <c r="Z42" s="757"/>
      <c r="AA42" s="757"/>
      <c r="AB42" s="757"/>
      <c r="AC42" s="757"/>
    </row>
    <row r="43" spans="1:29" ht="15.75" thickBot="1">
      <c r="A43" s="491" t="s">
        <v>2657</v>
      </c>
      <c r="B43" s="492"/>
      <c r="C43" s="493" t="e">
        <f>R43</f>
        <v>#DIV/0!</v>
      </c>
      <c r="D43" s="493"/>
      <c r="E43" s="493"/>
      <c r="F43" s="493"/>
      <c r="G43" s="493"/>
      <c r="H43" s="493"/>
      <c r="I43" s="493"/>
      <c r="J43" s="493"/>
      <c r="K43" s="783"/>
      <c r="L43" s="1144"/>
      <c r="M43" s="1132"/>
      <c r="N43" s="1132"/>
      <c r="O43" s="1145"/>
      <c r="P43" s="3212" t="str">
        <f>A43</f>
        <v>估价对象XX用房的比较价值（楼面单价，元/平方米）</v>
      </c>
      <c r="Q43" s="3213"/>
      <c r="R43" s="3308" t="e">
        <f>ROUND(AVERAGE(R42:V42),0)</f>
        <v>#DIV/0!</v>
      </c>
      <c r="S43" s="3308"/>
      <c r="T43" s="3308"/>
      <c r="U43" s="3308"/>
      <c r="V43" s="3308"/>
      <c r="W43" s="330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2745</v>
      </c>
      <c r="B50" s="684" t="s">
        <v>2746</v>
      </c>
      <c r="C50" s="2705" t="s">
        <v>2747</v>
      </c>
      <c r="D50" s="2706" t="s">
        <v>2748</v>
      </c>
      <c r="E50" s="685" t="s">
        <v>2749</v>
      </c>
      <c r="F50" s="686" t="s">
        <v>2750</v>
      </c>
      <c r="G50" s="3229" t="s">
        <v>2751</v>
      </c>
      <c r="H50" s="3309"/>
      <c r="I50" s="1814" t="s">
        <v>2788</v>
      </c>
      <c r="J50" s="1814" t="str">
        <f>项目基本情况!F35</f>
        <v>上海市</v>
      </c>
      <c r="K50" s="2708" t="s">
        <v>2753</v>
      </c>
      <c r="L50" s="1107"/>
      <c r="M50" s="1145"/>
      <c r="N50" s="1145"/>
      <c r="O50" s="1145"/>
    </row>
    <row r="51" spans="1:17" s="691" customFormat="1">
      <c r="A51" s="687" t="s">
        <v>2754</v>
      </c>
      <c r="B51" s="688" t="e">
        <f>C43</f>
        <v>#DIV/0!</v>
      </c>
      <c r="C51" s="689">
        <v>1</v>
      </c>
      <c r="D51" s="1164">
        <v>1</v>
      </c>
      <c r="E51" s="689">
        <f>'数据-汇总表'!E8+'数据-汇总表'!E9</f>
        <v>13115.18</v>
      </c>
      <c r="F51" s="690" t="e">
        <f t="shared" ref="F51:F60" si="15">ROUND(B51*E51/10000,0)</f>
        <v>#DIV/0!</v>
      </c>
      <c r="G51" s="3225"/>
      <c r="H51" s="3210"/>
      <c r="I51" s="943">
        <v>1</v>
      </c>
      <c r="J51" s="943">
        <v>1</v>
      </c>
      <c r="K51" s="1146"/>
      <c r="L51" s="942"/>
      <c r="M51" s="942"/>
      <c r="N51" s="942"/>
      <c r="O51" s="942"/>
    </row>
    <row r="52" spans="1:17" s="691" customFormat="1">
      <c r="A52" s="692" t="s">
        <v>2755</v>
      </c>
      <c r="B52" s="261" t="e">
        <f>ROUND($C$43*C52*D52,0)</f>
        <v>#DIV/0!</v>
      </c>
      <c r="C52" s="199">
        <f t="shared" ref="C52:C60" si="16">IF($C$50="北京市系数",I52,J52)</f>
        <v>0</v>
      </c>
      <c r="D52" s="1165">
        <v>0.25</v>
      </c>
      <c r="E52" s="693"/>
      <c r="F52" s="690" t="e">
        <f t="shared" si="15"/>
        <v>#DIV/0!</v>
      </c>
      <c r="G52" s="3310" t="s">
        <v>2756</v>
      </c>
      <c r="H52" s="1105">
        <f>项目基本情况!B37</f>
        <v>0</v>
      </c>
      <c r="I52" s="943">
        <f>SUMIF(修正!A45:A56,H52,修正!B45:B56)</f>
        <v>0</v>
      </c>
      <c r="J52" s="944"/>
      <c r="K52" s="1145"/>
      <c r="L52" s="942"/>
      <c r="M52" s="942"/>
      <c r="N52" s="942"/>
      <c r="O52" s="942"/>
    </row>
    <row r="53" spans="1:17" s="691" customFormat="1">
      <c r="A53" s="692" t="s">
        <v>2757</v>
      </c>
      <c r="B53" s="261" t="e">
        <f t="shared" ref="B53:B60" si="17">ROUND($C$43*C53*D53,0)</f>
        <v>#DIV/0!</v>
      </c>
      <c r="C53" s="199">
        <f t="shared" si="16"/>
        <v>0</v>
      </c>
      <c r="D53" s="1165">
        <v>0.25</v>
      </c>
      <c r="E53" s="693"/>
      <c r="F53" s="690" t="e">
        <f t="shared" si="15"/>
        <v>#DIV/0!</v>
      </c>
      <c r="G53" s="3310"/>
      <c r="H53" s="1105">
        <f>项目基本情况!B37</f>
        <v>0</v>
      </c>
      <c r="I53" s="943">
        <f>SUMIF(修正!A45:A56,H53,修正!C45:C56)</f>
        <v>0</v>
      </c>
      <c r="J53" s="944"/>
      <c r="K53" s="1146"/>
      <c r="L53" s="942"/>
      <c r="M53" s="942"/>
      <c r="N53" s="942"/>
      <c r="O53" s="942"/>
    </row>
    <row r="54" spans="1:17" s="691" customFormat="1">
      <c r="A54" s="692" t="s">
        <v>2758</v>
      </c>
      <c r="B54" s="261" t="e">
        <f t="shared" si="17"/>
        <v>#DIV/0!</v>
      </c>
      <c r="C54" s="199">
        <f t="shared" si="16"/>
        <v>0</v>
      </c>
      <c r="D54" s="1165">
        <v>0.25</v>
      </c>
      <c r="E54" s="693"/>
      <c r="F54" s="690" t="e">
        <f t="shared" si="15"/>
        <v>#DIV/0!</v>
      </c>
      <c r="G54" s="3310"/>
      <c r="H54" s="1105">
        <f>项目基本情况!B37</f>
        <v>0</v>
      </c>
      <c r="I54" s="943">
        <f>SUMIF(修正!A45:A56,H54,修正!D45:D56)</f>
        <v>0</v>
      </c>
      <c r="J54" s="944"/>
      <c r="K54" s="1145"/>
      <c r="L54" s="942"/>
      <c r="M54" s="942"/>
      <c r="N54" s="942"/>
      <c r="O54" s="942"/>
    </row>
    <row r="55" spans="1:17" s="691" customFormat="1">
      <c r="A55" s="692" t="s">
        <v>2759</v>
      </c>
      <c r="B55" s="261" t="e">
        <f t="shared" si="17"/>
        <v>#DIV/0!</v>
      </c>
      <c r="C55" s="199">
        <f t="shared" si="16"/>
        <v>0</v>
      </c>
      <c r="D55" s="1165">
        <v>0.25</v>
      </c>
      <c r="E55" s="693"/>
      <c r="F55" s="690" t="e">
        <f t="shared" si="15"/>
        <v>#DIV/0!</v>
      </c>
      <c r="G55" s="3310"/>
      <c r="H55" s="1105">
        <f>项目基本情况!B37</f>
        <v>0</v>
      </c>
      <c r="I55" s="943">
        <f>SUMIF(修正!A45:A56,H55,修正!E45:E56)</f>
        <v>0</v>
      </c>
      <c r="J55" s="944"/>
      <c r="K55" s="1146"/>
      <c r="L55" s="942"/>
      <c r="M55" s="942"/>
      <c r="N55" s="942"/>
      <c r="O55" s="942"/>
    </row>
    <row r="56" spans="1:17" s="691" customFormat="1">
      <c r="A56" s="692" t="s">
        <v>2760</v>
      </c>
      <c r="B56" s="261" t="e">
        <f t="shared" si="17"/>
        <v>#DIV/0!</v>
      </c>
      <c r="C56" s="199">
        <f t="shared" si="16"/>
        <v>0</v>
      </c>
      <c r="D56" s="1165">
        <v>0.25</v>
      </c>
      <c r="E56" s="260">
        <f>'数据-汇总表'!E11</f>
        <v>0</v>
      </c>
      <c r="F56" s="690" t="e">
        <f t="shared" si="15"/>
        <v>#DIV/0!</v>
      </c>
      <c r="G56" s="2709" t="s">
        <v>2761</v>
      </c>
      <c r="H56" s="1105">
        <f>项目基本情况!C37</f>
        <v>0</v>
      </c>
      <c r="I56" s="943">
        <f>SUMIF(修正!A45:A56,H56,修正!F45:F56)</f>
        <v>0</v>
      </c>
      <c r="J56" s="944"/>
      <c r="K56" s="1145"/>
      <c r="L56" s="942"/>
      <c r="M56" s="942"/>
      <c r="N56" s="942"/>
      <c r="O56" s="942"/>
    </row>
    <row r="57" spans="1:17" s="691" customFormat="1">
      <c r="A57" s="692" t="s">
        <v>2762</v>
      </c>
      <c r="B57" s="261" t="e">
        <f t="shared" si="17"/>
        <v>#DIV/0!</v>
      </c>
      <c r="C57" s="199">
        <f t="shared" si="16"/>
        <v>0</v>
      </c>
      <c r="D57" s="1165">
        <v>0.25</v>
      </c>
      <c r="E57" s="260">
        <f>'数据-汇总表'!E12</f>
        <v>0</v>
      </c>
      <c r="F57" s="690" t="e">
        <f t="shared" si="15"/>
        <v>#DIV/0!</v>
      </c>
      <c r="G57" s="1110" t="s">
        <v>2763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2764</v>
      </c>
      <c r="B58" s="261" t="e">
        <f t="shared" si="17"/>
        <v>#DIV/0!</v>
      </c>
      <c r="C58" s="199">
        <f t="shared" si="16"/>
        <v>0</v>
      </c>
      <c r="D58" s="1165">
        <v>0.25</v>
      </c>
      <c r="E58" s="260">
        <f>'数据-汇总表'!E13</f>
        <v>3250</v>
      </c>
      <c r="F58" s="690" t="e">
        <f t="shared" si="15"/>
        <v>#DIV/0!</v>
      </c>
      <c r="G58" s="1110" t="s">
        <v>2765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2766</v>
      </c>
      <c r="B59" s="261" t="e">
        <f t="shared" si="17"/>
        <v>#DIV/0!</v>
      </c>
      <c r="C59" s="199">
        <f t="shared" si="16"/>
        <v>0</v>
      </c>
      <c r="D59" s="1165">
        <v>0.25</v>
      </c>
      <c r="E59" s="260">
        <f>'数据-汇总表'!E14</f>
        <v>0</v>
      </c>
      <c r="F59" s="690" t="e">
        <f t="shared" si="15"/>
        <v>#DIV/0!</v>
      </c>
      <c r="G59" s="2709" t="s">
        <v>2756</v>
      </c>
      <c r="H59" s="1105">
        <f>项目基本情况!B37</f>
        <v>0</v>
      </c>
      <c r="I59" s="943">
        <f>SUMIF(修正!A45:A56,H59,修正!H45:H56)</f>
        <v>0</v>
      </c>
      <c r="J59" s="944"/>
      <c r="K59" s="1146"/>
      <c r="L59" s="942"/>
      <c r="M59" s="942"/>
      <c r="N59" s="942"/>
      <c r="O59" s="942"/>
    </row>
    <row r="60" spans="1:17" s="691" customFormat="1" ht="15" thickBot="1">
      <c r="A60" s="692" t="s">
        <v>2767</v>
      </c>
      <c r="B60" s="261" t="e">
        <f t="shared" si="17"/>
        <v>#DIV/0!</v>
      </c>
      <c r="C60" s="199">
        <f t="shared" si="16"/>
        <v>0</v>
      </c>
      <c r="D60" s="1165">
        <v>0.25</v>
      </c>
      <c r="E60" s="260">
        <f>'数据-汇总表'!E15</f>
        <v>0</v>
      </c>
      <c r="F60" s="690" t="e">
        <f t="shared" si="15"/>
        <v>#DIV/0!</v>
      </c>
      <c r="G60" s="2710" t="s">
        <v>2761</v>
      </c>
      <c r="H60" s="1115">
        <f>项目基本情况!C37</f>
        <v>0</v>
      </c>
      <c r="I60" s="943">
        <f>SUMIF(修正!A45:A56,H60,修正!H45:H56)</f>
        <v>0</v>
      </c>
      <c r="J60" s="944"/>
      <c r="K60" s="1145"/>
      <c r="L60" s="942"/>
      <c r="M60" s="942"/>
      <c r="N60" s="942"/>
      <c r="O60" s="942"/>
    </row>
    <row r="61" spans="1:17" s="691" customFormat="1" ht="15" thickBot="1">
      <c r="A61" s="694" t="s">
        <v>2768</v>
      </c>
      <c r="B61" s="695" t="s">
        <v>28</v>
      </c>
      <c r="C61" s="695" t="s">
        <v>29</v>
      </c>
      <c r="D61" s="695" t="s">
        <v>1029</v>
      </c>
      <c r="E61" s="695">
        <f>IF(B41="楼面地价",SUM(E51:E60),'数据-汇总表'!D3)</f>
        <v>13637.65</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1.75" thickBot="1">
      <c r="A64" s="761" t="s">
        <v>2661</v>
      </c>
      <c r="B64" s="757"/>
      <c r="C64" s="762"/>
      <c r="D64" s="762"/>
      <c r="E64" s="762"/>
      <c r="F64" s="763"/>
      <c r="G64" s="763"/>
      <c r="H64" s="762"/>
      <c r="I64" s="762"/>
      <c r="J64" s="762"/>
      <c r="K64" s="764"/>
      <c r="L64" s="765"/>
      <c r="M64" s="762"/>
      <c r="N64" s="762"/>
      <c r="O64" s="1160"/>
      <c r="P64" s="502"/>
      <c r="Q64" s="503"/>
    </row>
    <row r="65" spans="1:17" s="507" customFormat="1" ht="15">
      <c r="A65" s="2711" t="s">
        <v>2769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6" customFormat="1" ht="30.75" customHeight="1">
      <c r="A66" s="2716" t="s">
        <v>2789</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2544</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2678</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2737</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2779</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39" t="s">
        <v>2791</v>
      </c>
      <c r="B1" s="240"/>
      <c r="C1" s="244" t="s">
        <v>2792</v>
      </c>
      <c r="D1" s="387">
        <f>SUM(D29:D30,D33:D39)</f>
        <v>0</v>
      </c>
      <c r="E1" s="2717"/>
      <c r="F1" s="2717"/>
      <c r="G1" s="2717"/>
      <c r="H1" s="2717"/>
      <c r="I1" s="2717"/>
      <c r="J1" s="2717"/>
      <c r="K1" s="1371"/>
      <c r="L1" s="2718" t="s">
        <v>2793</v>
      </c>
      <c r="M1" s="1081">
        <f>SUMPRODUCT((区片价!B5:B9=I2)*(区片价!C3:F3=E2)*(区片价!C5:F9))</f>
        <v>0</v>
      </c>
      <c r="N1" s="1084">
        <f>SUMPRODUCT((因素修正幅度!B5:B9=I2)*(因素修正幅度!C3:F3=E2)*(因素修正幅度!C5:F9))</f>
        <v>0</v>
      </c>
      <c r="O1" s="2719"/>
      <c r="P1" s="2719"/>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1"/>
      <c r="L2" s="2726"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2805</v>
      </c>
      <c r="B3" s="247" t="e">
        <f>ROUND(B2*10000/D1,0)</f>
        <v>#DIV/0!</v>
      </c>
      <c r="C3" s="2721" t="s">
        <v>2806</v>
      </c>
      <c r="D3" s="2722" t="s">
        <v>2807</v>
      </c>
      <c r="E3" s="2727"/>
      <c r="F3" s="2728" t="s">
        <v>2808</v>
      </c>
      <c r="G3" s="914">
        <f>IF(F3="宗地容积率",'数据-汇总表'!I4,IF(F3="估价对象容积率",'数据-汇总表'!I6,'数据-汇总表'!I7))</f>
        <v>0.96</v>
      </c>
      <c r="H3" s="197" t="s">
        <v>2809</v>
      </c>
      <c r="I3" s="945"/>
      <c r="J3" s="2725" t="s">
        <v>2810</v>
      </c>
      <c r="K3" s="1371"/>
      <c r="L3" s="2726"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8"/>
      <c r="B4" s="3319"/>
      <c r="C4" s="3319"/>
      <c r="D4" s="3320"/>
      <c r="E4" s="3320"/>
      <c r="F4" s="3320"/>
      <c r="G4" s="3320"/>
      <c r="H4" s="3320"/>
      <c r="I4" s="3320"/>
      <c r="J4" s="3321"/>
      <c r="K4" s="1371"/>
      <c r="L4" s="2726"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2813</v>
      </c>
      <c r="C5" s="915" t="e">
        <f>ROUND(IF(E2="商业",IF(F16="增加",C6*C7+C16,C6*C7-C16),IF(E2="住宅",IF(F16="增加",C6*C12+C16,C6*C12-C16),IF(F16="增加",C6+C16,C6-C16))),0)</f>
        <v>#DIV/0!</v>
      </c>
      <c r="D5" s="1787">
        <f>ROUND(IF(E2="商业",IF(F16="增加",C6+C16,C6-C16)),0)</f>
        <v>0</v>
      </c>
      <c r="E5" s="2731"/>
      <c r="F5" s="2731"/>
      <c r="G5" s="2732"/>
      <c r="H5" s="2732"/>
      <c r="I5" s="2732"/>
      <c r="J5" s="2733"/>
      <c r="K5" s="2734"/>
      <c r="L5" s="2726"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5"/>
      <c r="AD5" s="2736"/>
      <c r="AE5" s="2736"/>
      <c r="AF5" s="2736"/>
      <c r="AG5" s="2736"/>
      <c r="AH5" s="2736"/>
      <c r="AI5" s="2736"/>
      <c r="AJ5" s="2737"/>
    </row>
    <row r="6" spans="1:36" ht="15.75" thickBot="1">
      <c r="A6" s="2739" t="s">
        <v>2815</v>
      </c>
      <c r="B6" s="2740" t="s">
        <v>2816</v>
      </c>
      <c r="C6" s="916">
        <f>SUMIF(L1:L12,G2,M1:M12)</f>
        <v>0</v>
      </c>
      <c r="D6" s="2741" t="s">
        <v>2817</v>
      </c>
      <c r="E6" s="2742"/>
      <c r="F6" s="2742"/>
      <c r="G6" s="2743"/>
      <c r="H6" s="2743"/>
      <c r="I6" s="2743"/>
      <c r="J6" s="2744"/>
      <c r="K6" s="1842"/>
      <c r="L6" s="2726"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5"/>
      <c r="AD6" s="2736"/>
      <c r="AE6" s="2736"/>
      <c r="AF6" s="2736"/>
      <c r="AG6" s="2736"/>
      <c r="AH6" s="2736"/>
      <c r="AI6" s="2736"/>
      <c r="AJ6" s="2737"/>
    </row>
    <row r="7" spans="1:36" ht="24">
      <c r="A7" s="3322" t="str">
        <f>IF(E2="商业",IF(C8="不临58条商业街","",2),"")</f>
        <v/>
      </c>
      <c r="B7" s="2745" t="s">
        <v>2819</v>
      </c>
      <c r="C7" s="917" t="e">
        <f>IF(C8="不临58条商业街",1,ROUND(1+(1.6*E8+1.2*E9+0.8*E10+0.4*E11)*C9,4))</f>
        <v>#DIV/0!</v>
      </c>
      <c r="D7" s="2746" t="s">
        <v>2820</v>
      </c>
      <c r="E7" s="946"/>
      <c r="F7" s="2747"/>
      <c r="G7" s="2748"/>
      <c r="H7" s="2748"/>
      <c r="I7" s="2748"/>
      <c r="J7" s="2749"/>
      <c r="K7" s="1842"/>
      <c r="L7" s="2726" t="s">
        <v>2821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2822</v>
      </c>
      <c r="X7" s="1605">
        <f>G2</f>
        <v>0</v>
      </c>
      <c r="Y7" s="1605" t="s">
        <v>2823</v>
      </c>
      <c r="Z7" s="1606">
        <f>G3</f>
        <v>0.96</v>
      </c>
      <c r="AA7" s="1607"/>
      <c r="AB7" s="1607"/>
      <c r="AC7" s="1608"/>
      <c r="AD7" s="1609"/>
      <c r="AE7" s="1609"/>
      <c r="AF7" s="1609"/>
      <c r="AG7" s="1609"/>
      <c r="AH7" s="1609"/>
      <c r="AI7" s="1609"/>
      <c r="AJ7" s="1610"/>
    </row>
    <row r="8" spans="1:36" ht="15">
      <c r="A8" s="3323"/>
      <c r="B8" s="197" t="s">
        <v>2824</v>
      </c>
      <c r="C8" s="2750"/>
      <c r="D8" s="918" t="s">
        <v>139</v>
      </c>
      <c r="E8" s="919" t="e">
        <f>ROUND(C11/E7,4)</f>
        <v>#DIV/0!</v>
      </c>
      <c r="F8" s="2751" t="s">
        <v>2825</v>
      </c>
      <c r="G8" s="2752"/>
      <c r="H8" s="2752"/>
      <c r="I8" s="2752"/>
      <c r="J8" s="2753"/>
      <c r="K8" s="1371"/>
      <c r="L8" s="2726"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15" t="s">
        <v>2827</v>
      </c>
      <c r="X8" s="3316"/>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323"/>
      <c r="B9" s="197" t="s">
        <v>2840</v>
      </c>
      <c r="C9" s="920">
        <f>SUMIF(修正!C59:C119,C8,修正!E59:E119)</f>
        <v>0</v>
      </c>
      <c r="D9" s="199" t="s">
        <v>140</v>
      </c>
      <c r="E9" s="199" t="e">
        <f>ROUND(C11/E7,4)</f>
        <v>#DIV/0!</v>
      </c>
      <c r="F9" s="2751" t="s">
        <v>2841</v>
      </c>
      <c r="G9" s="2752"/>
      <c r="H9" s="2752"/>
      <c r="I9" s="2752"/>
      <c r="J9" s="2753"/>
      <c r="K9" s="1371"/>
      <c r="L9" s="2726"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17" t="s">
        <v>2843</v>
      </c>
      <c r="X9" s="1612" t="s">
        <v>2844</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3"/>
      <c r="B10" s="197" t="s">
        <v>2845</v>
      </c>
      <c r="C10" s="199">
        <f>SUMIF(修正!C59:C119,C8,修正!F59:F119)</f>
        <v>0</v>
      </c>
      <c r="D10" s="199" t="s">
        <v>141</v>
      </c>
      <c r="E10" s="199" t="e">
        <f>ROUND(C11/E7,4)</f>
        <v>#DIV/0!</v>
      </c>
      <c r="F10" s="2751" t="s">
        <v>2846</v>
      </c>
      <c r="G10" s="2752"/>
      <c r="H10" s="2752"/>
      <c r="I10" s="2752"/>
      <c r="J10" s="2753"/>
      <c r="K10" s="1371"/>
      <c r="L10" s="2726"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1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3"/>
      <c r="B11" s="2754" t="s">
        <v>2848</v>
      </c>
      <c r="C11" s="921">
        <f>C10/4</f>
        <v>0</v>
      </c>
      <c r="D11" s="921" t="s">
        <v>142</v>
      </c>
      <c r="E11" s="921" t="e">
        <f>ROUND(C11/E7,4)</f>
        <v>#DIV/0!</v>
      </c>
      <c r="F11" s="2755" t="s">
        <v>2849</v>
      </c>
      <c r="G11" s="2756"/>
      <c r="H11" s="2756"/>
      <c r="I11" s="2756"/>
      <c r="J11" s="2757"/>
      <c r="K11" s="1371"/>
      <c r="L11" s="2726"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17" t="s">
        <v>2851</v>
      </c>
      <c r="X11" s="1615" t="s">
        <v>2852</v>
      </c>
      <c r="Y11" s="1616">
        <f>$G$3</f>
        <v>0.96</v>
      </c>
      <c r="Z11" s="1616">
        <f t="shared" ref="Z11:AJ11" si="3">$G$3</f>
        <v>0.96</v>
      </c>
      <c r="AA11" s="1616">
        <f t="shared" si="3"/>
        <v>0.96</v>
      </c>
      <c r="AB11" s="1616">
        <f t="shared" si="3"/>
        <v>0.96</v>
      </c>
      <c r="AC11" s="1616">
        <f t="shared" si="3"/>
        <v>0.96</v>
      </c>
      <c r="AD11" s="1616">
        <f t="shared" si="3"/>
        <v>0.96</v>
      </c>
      <c r="AE11" s="1616">
        <f t="shared" si="3"/>
        <v>0.96</v>
      </c>
      <c r="AF11" s="1616">
        <f t="shared" si="3"/>
        <v>0.96</v>
      </c>
      <c r="AG11" s="1616">
        <f t="shared" si="3"/>
        <v>0.96</v>
      </c>
      <c r="AH11" s="1616">
        <f t="shared" si="3"/>
        <v>0.96</v>
      </c>
      <c r="AI11" s="1616">
        <f t="shared" si="3"/>
        <v>0.96</v>
      </c>
      <c r="AJ11" s="1616">
        <f t="shared" si="3"/>
        <v>0.96</v>
      </c>
    </row>
    <row r="12" spans="1:36" ht="25.5" thickBot="1">
      <c r="A12" s="3322" t="s">
        <v>2853</v>
      </c>
      <c r="B12" s="2758" t="s">
        <v>2854</v>
      </c>
      <c r="C12" s="917">
        <f>ROUND(C15*D15*E15*F15*G15*H15*I15*J15,4)</f>
        <v>1</v>
      </c>
      <c r="D12" s="2759" t="s">
        <v>2855</v>
      </c>
      <c r="E12" s="2760"/>
      <c r="F12" s="2760"/>
      <c r="G12" s="2761"/>
      <c r="H12" s="2761"/>
      <c r="I12" s="2761"/>
      <c r="J12" s="2762"/>
      <c r="K12" s="1371"/>
      <c r="L12" s="2763"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17"/>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4"/>
      <c r="B13" s="2764" t="s">
        <v>2858</v>
      </c>
      <c r="C13" s="2765" t="s">
        <v>2859</v>
      </c>
      <c r="D13" s="1808" t="s">
        <v>2860</v>
      </c>
      <c r="E13" s="1808" t="s">
        <v>2861</v>
      </c>
      <c r="F13" s="29" t="s">
        <v>2862</v>
      </c>
      <c r="G13" s="2766" t="s">
        <v>2863</v>
      </c>
      <c r="H13" s="2766" t="s">
        <v>2863</v>
      </c>
      <c r="I13" s="2766" t="s">
        <v>2863</v>
      </c>
      <c r="J13" s="2767" t="s">
        <v>2863</v>
      </c>
      <c r="K13" s="1371"/>
      <c r="L13" s="1371"/>
      <c r="M13" s="1371"/>
      <c r="N13" s="1371"/>
      <c r="O13" s="1371"/>
      <c r="P13" s="1371"/>
      <c r="Q13" s="1371"/>
      <c r="R13" s="1603">
        <v>12</v>
      </c>
      <c r="S13" s="1604"/>
      <c r="T13" s="1603" t="e">
        <f t="shared" si="0"/>
        <v>#DIV/0!</v>
      </c>
      <c r="U13" s="1604"/>
      <c r="V13" s="1603" t="e">
        <f t="shared" si="1"/>
        <v>#DIV/0!</v>
      </c>
      <c r="W13" s="3317"/>
      <c r="X13" s="1617"/>
      <c r="Y13" s="1614">
        <f>(-0.163*(Y12^2)-0.59*Y12+7617)*(10^(-4))/Y11</f>
        <v>0.79343750000000013</v>
      </c>
      <c r="Z13" s="1614">
        <f t="shared" ref="Z13:AJ13" si="5">(-0.163*(Z12^2)-0.59*Z12+7617)*(10^(-4))/Z11</f>
        <v>0.79343750000000013</v>
      </c>
      <c r="AA13" s="1614">
        <f t="shared" si="5"/>
        <v>0.79343750000000013</v>
      </c>
      <c r="AB13" s="1614">
        <f t="shared" si="5"/>
        <v>0.79343750000000013</v>
      </c>
      <c r="AC13" s="1614">
        <f t="shared" si="5"/>
        <v>0.79343750000000013</v>
      </c>
      <c r="AD13" s="1614">
        <f t="shared" si="5"/>
        <v>0.79343750000000013</v>
      </c>
      <c r="AE13" s="1614">
        <f t="shared" si="5"/>
        <v>0.79343750000000013</v>
      </c>
      <c r="AF13" s="1614">
        <f t="shared" si="5"/>
        <v>0.79343750000000013</v>
      </c>
      <c r="AG13" s="1614">
        <f t="shared" si="5"/>
        <v>0.79343750000000013</v>
      </c>
      <c r="AH13" s="1614">
        <f t="shared" si="5"/>
        <v>0.79343750000000013</v>
      </c>
      <c r="AI13" s="1614">
        <f t="shared" si="5"/>
        <v>0.79343750000000013</v>
      </c>
      <c r="AJ13" s="1614">
        <f t="shared" si="5"/>
        <v>0.79343750000000013</v>
      </c>
    </row>
    <row r="14" spans="1:36" ht="15">
      <c r="A14" s="3324"/>
      <c r="B14" s="2768"/>
      <c r="C14" s="2769"/>
      <c r="D14" s="2770"/>
      <c r="E14" s="2770"/>
      <c r="F14" s="2771"/>
      <c r="G14" s="2772" t="s">
        <v>2864</v>
      </c>
      <c r="H14" s="2773"/>
      <c r="I14" s="2774"/>
      <c r="J14" s="2775"/>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5"/>
      <c r="B15" s="2776" t="s">
        <v>2865</v>
      </c>
      <c r="C15" s="228">
        <f>IF(C14="有",1.1,1)</f>
        <v>1</v>
      </c>
      <c r="D15" s="228">
        <f>IF(D14="有",1.1,1)</f>
        <v>1</v>
      </c>
      <c r="E15" s="228">
        <f>IF(E14="有",1.1,1)</f>
        <v>1</v>
      </c>
      <c r="F15" s="228">
        <f>IF(F14="500米范围内",1.2,IF(F14="500-1000米",1.1,1))</f>
        <v>1</v>
      </c>
      <c r="G15" s="947">
        <v>1</v>
      </c>
      <c r="H15" s="947">
        <v>1</v>
      </c>
      <c r="I15" s="947">
        <v>1</v>
      </c>
      <c r="J15" s="948">
        <v>1</v>
      </c>
      <c r="K15" s="1371"/>
      <c r="L15" s="2777" t="s">
        <v>2801</v>
      </c>
      <c r="M15" s="918" t="s">
        <v>2866</v>
      </c>
      <c r="N15" s="918" t="s">
        <v>2867</v>
      </c>
      <c r="O15" s="918" t="s">
        <v>2868</v>
      </c>
      <c r="P15" s="2778" t="s">
        <v>2869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22" t="s">
        <v>2870</v>
      </c>
      <c r="B16" s="2745" t="s">
        <v>2871</v>
      </c>
      <c r="C16" s="1801" t="e">
        <f>ROUND(SUM(G17:J17)/C17,0)</f>
        <v>#DIV/0!</v>
      </c>
      <c r="D16" s="2779" t="s">
        <v>2872</v>
      </c>
      <c r="E16" s="2780"/>
      <c r="F16" s="2781"/>
      <c r="G16" s="2782"/>
      <c r="H16" s="2782"/>
      <c r="I16" s="2782"/>
      <c r="J16" s="2783"/>
      <c r="K16" s="1371"/>
      <c r="L16" s="2784" t="s">
        <v>2873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23"/>
      <c r="B17" s="2785" t="s">
        <v>2874</v>
      </c>
      <c r="C17" s="922">
        <f>SUMPRODUCT((修正!A2:A5=E2)*(修正!B1:M1=G2)*(修正!B2:M5))</f>
        <v>0</v>
      </c>
      <c r="D17" s="2786" t="s">
        <v>2875</v>
      </c>
      <c r="E17" s="921" t="str">
        <f>IF(OR(G2="八级",G2="九级",G2="十级",G2="十一级",G2="十二级"),"五通一平","七通一平")</f>
        <v>七通一平</v>
      </c>
      <c r="F17" s="922" t="s">
        <v>2876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7"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2878</v>
      </c>
      <c r="C18" s="924">
        <f>SUMIF(修正!C18:C39,E3,修正!E18:E39)</f>
        <v>0</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2879</v>
      </c>
      <c r="C19" s="925" t="e">
        <f>ROUND(IF(H19="按公示增长率计算",SUMPRODUCT((地价!A3:A23=YEAR(G19)&amp;"-"&amp;ROUNDUP(MONTH(G19)/3,0))*(地价!X2:AB2=E2)*(地价!X3:AB23)),IF(H19="地价指数",M20/M19,(1+I19)^O19)),4)</f>
        <v>#DIV/0!</v>
      </c>
      <c r="D19" s="2797" t="s">
        <v>2880</v>
      </c>
      <c r="E19" s="926">
        <v>41640</v>
      </c>
      <c r="F19" s="2797" t="s">
        <v>2881</v>
      </c>
      <c r="G19" s="927">
        <f>'数据-取费表'!B2</f>
        <v>43344</v>
      </c>
      <c r="H19" s="2798" t="s">
        <v>2882</v>
      </c>
      <c r="I19" s="928" t="str">
        <f>IF(H19="季度增幅（自定义）",SUMIF(N21:N24,E2,O21:O24),"")</f>
        <v/>
      </c>
      <c r="J19" s="2795"/>
      <c r="K19" s="1378"/>
      <c r="L19" s="2799" t="s">
        <v>2883</v>
      </c>
      <c r="M19" s="1734">
        <f>ROUND(SUMIF(地价!B2:F2,E2,地价!B23:F23),0)</f>
        <v>0</v>
      </c>
      <c r="N19" s="2800" t="s">
        <v>2884</v>
      </c>
      <c r="O19" s="929">
        <f>ROUNDDOWN(DATEDIF(E19,G19,"M")/3,0)</f>
        <v>18</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2885</v>
      </c>
      <c r="C20" s="930" t="e">
        <f>ROUND(POWER(1+G20,J20-I20)*(POWER(1+G20,I20)-1)/(POWER(1+G20,J20)-1),4)</f>
        <v>#DIV/0!</v>
      </c>
      <c r="D20" s="2806" t="s">
        <v>2886</v>
      </c>
      <c r="E20" s="1768">
        <f ca="1">存贷款利率!D4/100</f>
        <v>4.3499999999999997E-2</v>
      </c>
      <c r="F20" s="2806" t="s">
        <v>2877</v>
      </c>
      <c r="G20" s="935">
        <f>SUMIF(M15:P15,E2,M17:P17)</f>
        <v>0</v>
      </c>
      <c r="H20" s="2806" t="s">
        <v>2887</v>
      </c>
      <c r="I20" s="936" t="e">
        <f>SUMIF('数据-取费表'!C6:C15,E2,'数据-取费表'!F6:F15)/COUNTIF('数据-取费表'!C6:C15,E2)</f>
        <v>#DIV/0!</v>
      </c>
      <c r="J20" s="937">
        <f>IF(E2="住宅",70,IF(E2="商业",40,50))</f>
        <v>50</v>
      </c>
      <c r="K20" s="1378"/>
      <c r="L20" s="2807" t="s">
        <v>2888</v>
      </c>
      <c r="M20" s="1735">
        <f>ROUND(SUMPRODUCT((地价!A4:A23=YEAR(G19)&amp;"-"&amp;ROUNDUP(MONTH(G19)/3,0))*(地价!B2:F2=E2)*(地价!B4:F23)),0)</f>
        <v>0</v>
      </c>
      <c r="N20" s="2808" t="s">
        <v>2889</v>
      </c>
      <c r="O20" s="2809" t="s">
        <v>2890</v>
      </c>
      <c r="P20" s="2810" t="s">
        <v>2891</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2892</v>
      </c>
      <c r="C21" s="938">
        <f>IF(B21="容积率修正",IF(G3&lt;=10,D22,J22),C23)</f>
        <v>0</v>
      </c>
      <c r="D21" s="2813"/>
      <c r="E21" s="2813"/>
      <c r="F21" s="2813"/>
      <c r="G21" s="2813"/>
      <c r="H21" s="2813"/>
      <c r="I21" s="2813"/>
      <c r="J21" s="2814"/>
      <c r="K21" s="1378"/>
      <c r="N21" s="2815" t="s">
        <v>2893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8" customFormat="1" ht="14.25">
      <c r="A22" s="2664" t="s">
        <v>2894</v>
      </c>
      <c r="B22" s="2816" t="s">
        <v>2895</v>
      </c>
      <c r="C22" s="1810" t="s">
        <v>2896</v>
      </c>
      <c r="D22" s="1810">
        <f>IF(E22=G22,F22,IF(G3&lt;=10,ROUND(F22+(H22-F22)*(G3-E22)/(G22-E22),4),"——"))</f>
        <v>0</v>
      </c>
      <c r="E22" s="914">
        <f>ROUNDDOWN(G3,1)</f>
        <v>0.9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5" t="s">
        <v>2897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4" t="s">
        <v>2898</v>
      </c>
      <c r="B23" s="2817" t="s">
        <v>2899</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2901</v>
      </c>
      <c r="C24" s="925">
        <f>SUMIF(A45:A88,E2,B45:B88)</f>
        <v>0</v>
      </c>
      <c r="D24" s="2793"/>
      <c r="E24" s="2823"/>
      <c r="F24" s="2823"/>
      <c r="G24" s="2823"/>
      <c r="H24" s="2823"/>
      <c r="I24" s="2823"/>
      <c r="J24" s="2824"/>
      <c r="K24" s="1378"/>
      <c r="N24" s="2825" t="s">
        <v>2902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2903</v>
      </c>
      <c r="C25" s="931"/>
      <c r="D25" s="2748"/>
      <c r="E25" s="2748"/>
      <c r="F25" s="2827"/>
      <c r="G25" s="2748"/>
      <c r="H25" s="2748"/>
      <c r="I25" s="2748"/>
      <c r="J25" s="2749"/>
      <c r="K25" s="1371"/>
      <c r="N25" s="2828" t="s">
        <v>2904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9"/>
      <c r="B26" s="2816" t="s">
        <v>2905</v>
      </c>
      <c r="C26" s="205" t="e">
        <f>E29+SUM(E33:E39)</f>
        <v>#DIV/0!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2906</v>
      </c>
      <c r="C27" s="932" t="e">
        <f>E30+SUM(I33:I39)</f>
        <v>#DIV/0!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2907</v>
      </c>
      <c r="C28" s="2840" t="s">
        <v>2908</v>
      </c>
      <c r="D28" s="2840" t="s">
        <v>2909</v>
      </c>
      <c r="E28" s="2841" t="s">
        <v>2910</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2911</v>
      </c>
      <c r="C29" s="205" t="e">
        <f>ROUND(C5*C18*C19*C20*C21*C24,0)</f>
        <v>#DIV/0!</v>
      </c>
      <c r="D29" s="2845"/>
      <c r="E29" s="943" t="e">
        <f>ROUND(C29*D29/10000,0)</f>
        <v>#DIV/0!</v>
      </c>
      <c r="F29" s="2846" t="s">
        <v>2912</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2913</v>
      </c>
      <c r="C30" s="228" t="e">
        <f>ROUND(IF(E2="工业",C29*M39,C29*M38),0)</f>
        <v>#DIV/0!</v>
      </c>
      <c r="D30" s="2851"/>
      <c r="E30" s="943" t="e">
        <f>ROUND(C30*D30/10000,0)</f>
        <v>#DIV/0!</v>
      </c>
      <c r="F30" s="2852" t="s">
        <v>2914</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0" t="s">
        <v>2908</v>
      </c>
      <c r="D32" s="497" t="s">
        <v>2909</v>
      </c>
      <c r="E32" s="497" t="s">
        <v>2910</v>
      </c>
      <c r="F32" s="387" t="s">
        <v>2918</v>
      </c>
      <c r="G32" s="2860" t="s">
        <v>2908</v>
      </c>
      <c r="H32" s="2860" t="s">
        <v>2909</v>
      </c>
      <c r="I32" s="2860" t="s">
        <v>2910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2" t="s">
        <v>2919</v>
      </c>
      <c r="B33" s="2861" t="s">
        <v>2920</v>
      </c>
      <c r="C33" s="205" t="e">
        <f>ROUND(D5*C19*C20*C24*F33,0)</f>
        <v>#DIV/0!</v>
      </c>
      <c r="D33" s="2845"/>
      <c r="E33" s="199" t="e">
        <f>ROUND(C33*D33/10000,0)</f>
        <v>#DIV/0!</v>
      </c>
      <c r="F33" s="199">
        <f>SUMIF(修正!A45:A56,G2,修正!B45:B56)</f>
        <v>0</v>
      </c>
      <c r="G33" s="199" t="e">
        <f t="shared" ref="G33" si="6">ROUND(IF(E2="工业",C33*$M$39,C33*$M$38),0)</f>
        <v>#DIV/0!</v>
      </c>
      <c r="H33" s="199">
        <f>D33</f>
        <v>0</v>
      </c>
      <c r="I33" s="199" t="e">
        <f>ROUND(G33*H33/10000,0)</f>
        <v>#DIV/0!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3"/>
      <c r="B34" s="2765" t="s">
        <v>2921</v>
      </c>
      <c r="C34" s="205" t="e">
        <f>ROUND(D5*C19*C20*C24*F34,0)</f>
        <v>#DIV/0!</v>
      </c>
      <c r="D34" s="284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3"/>
      <c r="B35" s="2765" t="s">
        <v>2922</v>
      </c>
      <c r="C35" s="205" t="e">
        <f>ROUND(D5*C19*C20*C24*F35,0)</f>
        <v>#DIV/0!</v>
      </c>
      <c r="D35" s="2845"/>
      <c r="E35" s="199" t="e">
        <f t="shared" si="7"/>
        <v>#DIV/0!</v>
      </c>
      <c r="F35" s="199">
        <f>SUMIF(修正!A45:A56,G2,修正!D45:D56)</f>
        <v>0</v>
      </c>
      <c r="G35" s="199" t="e">
        <f>ROUND(IF(E2="工业",C35*$M$39,C35*$M$38),0)</f>
        <v>#DIV/0!</v>
      </c>
      <c r="H35" s="199">
        <f t="shared" si="8"/>
        <v>0</v>
      </c>
      <c r="I35" s="199" t="e">
        <f t="shared" si="9"/>
        <v>#DIV/0!</v>
      </c>
      <c r="J35" s="2862"/>
      <c r="K35" s="1371"/>
      <c r="L35" s="1371"/>
      <c r="M35" s="1371"/>
      <c r="N35" s="1371"/>
      <c r="O35" s="1371"/>
      <c r="P35" s="1371"/>
      <c r="Q35" s="1371"/>
      <c r="R35" s="1371"/>
      <c r="S35" s="1371"/>
      <c r="T35" s="1371"/>
      <c r="U35" s="1371"/>
      <c r="V35" s="1371"/>
      <c r="W35" s="1371"/>
      <c r="X35" s="1371"/>
      <c r="Y35" s="1371"/>
      <c r="Z35" s="1372"/>
    </row>
    <row r="36" spans="1:37" ht="13.5" thickBot="1">
      <c r="A36" s="3334"/>
      <c r="B36" s="2765" t="s">
        <v>2923</v>
      </c>
      <c r="C36" s="205" t="e">
        <f>ROUND(D5*C19*C20*C24*F36,0)</f>
        <v>#DIV/0!</v>
      </c>
      <c r="D36" s="2845"/>
      <c r="E36" s="199" t="e">
        <f t="shared" si="7"/>
        <v>#DIV/0!</v>
      </c>
      <c r="F36" s="199">
        <f>SUMIF(修正!A45:A56,G2,修正!E45:E56)</f>
        <v>0</v>
      </c>
      <c r="G36" s="199" t="e">
        <f>ROUND(IF(E2="工业",C36*$M$39,C36*$M$38),0)</f>
        <v>#DIV/0!</v>
      </c>
      <c r="H36" s="199">
        <f t="shared" si="8"/>
        <v>0</v>
      </c>
      <c r="I36" s="199" t="e">
        <f t="shared" si="9"/>
        <v>#DIV/0!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2924</v>
      </c>
      <c r="C37" s="199" t="e">
        <f>ROUND(C5*C19*C20*C24*F37,0)</f>
        <v>#DIV/0!</v>
      </c>
      <c r="D37" s="2845"/>
      <c r="E37" s="199" t="e">
        <f t="shared" si="7"/>
        <v>#DIV/0!</v>
      </c>
      <c r="F37" s="205">
        <f>SUMIF(修正!A45:A56,G2,修正!F45:F56)</f>
        <v>0</v>
      </c>
      <c r="G37" s="199" t="e">
        <f>ROUND(IF(E2="工业",C37*$M$39,C37*$M$38),0)</f>
        <v>#DIV/0!</v>
      </c>
      <c r="H37" s="199">
        <f t="shared" si="8"/>
        <v>0</v>
      </c>
      <c r="I37" s="199" t="e">
        <f t="shared" si="9"/>
        <v>#DIV/0!</v>
      </c>
      <c r="J37" s="2862"/>
      <c r="K37" s="1371"/>
      <c r="L37" s="2864" t="s">
        <v>2925</v>
      </c>
      <c r="M37" s="2865"/>
      <c r="N37" s="1371"/>
      <c r="O37" s="1371"/>
      <c r="P37" s="1371"/>
      <c r="Q37" s="1371"/>
      <c r="R37" s="1371"/>
      <c r="S37" s="1371"/>
      <c r="T37" s="1371"/>
      <c r="U37" s="1371"/>
      <c r="V37" s="1371"/>
      <c r="W37" s="1371"/>
      <c r="X37" s="1371"/>
      <c r="Y37" s="1371"/>
      <c r="Z37" s="1372"/>
    </row>
    <row r="38" spans="1:37">
      <c r="A38" s="2863"/>
      <c r="B38" s="2765" t="s">
        <v>2926</v>
      </c>
      <c r="C38" s="199" t="e">
        <f>ROUND(C5*C19*C20*C24*F38,0)</f>
        <v>#DIV/0!</v>
      </c>
      <c r="D38" s="2845"/>
      <c r="E38" s="199" t="e">
        <f t="shared" si="7"/>
        <v>#DIV/0!</v>
      </c>
      <c r="F38" s="205">
        <f>SUMIF(修正!A45:A56,G2,修正!G45:G56)</f>
        <v>0</v>
      </c>
      <c r="G38" s="199" t="e">
        <f>ROUND(IF(E2="工业",C38*$M$39,C38*$M$38),0)</f>
        <v>#DIV/0!</v>
      </c>
      <c r="H38" s="199">
        <f t="shared" si="8"/>
        <v>0</v>
      </c>
      <c r="I38" s="199" t="e">
        <f t="shared" si="9"/>
        <v>#DIV/0!</v>
      </c>
      <c r="J38" s="2862"/>
      <c r="K38" s="1371"/>
      <c r="L38" s="1887" t="s">
        <v>2927</v>
      </c>
      <c r="M38" s="2866">
        <v>0.25</v>
      </c>
      <c r="N38" s="1371"/>
      <c r="O38" s="1371"/>
      <c r="P38" s="1371"/>
      <c r="Q38" s="1371"/>
      <c r="R38" s="1371"/>
      <c r="S38" s="1371"/>
      <c r="T38" s="1371"/>
      <c r="U38" s="1371"/>
      <c r="V38" s="1371"/>
      <c r="W38" s="1371"/>
      <c r="X38" s="1371"/>
      <c r="Y38" s="1371"/>
      <c r="Z38" s="1372"/>
    </row>
    <row r="39" spans="1:37" ht="13.5" thickBot="1">
      <c r="A39" s="2849"/>
      <c r="B39" s="2867" t="s">
        <v>2928</v>
      </c>
      <c r="C39" s="228" t="e">
        <f>ROUND(C5*C19*C20*C24*F39,0)</f>
        <v>#DIV/0!</v>
      </c>
      <c r="D39" s="2851"/>
      <c r="E39" s="228" t="e">
        <f t="shared" si="7"/>
        <v>#DIV/0!</v>
      </c>
      <c r="F39" s="933">
        <f>SUMIF(修正!A45:A56,G2,修正!H45:H56)</f>
        <v>0</v>
      </c>
      <c r="G39" s="228" t="e">
        <f>ROUND(IF(E2="工业",C39*$M$39,C39*$M$38),0)</f>
        <v>#DIV/0!</v>
      </c>
      <c r="H39" s="228">
        <f t="shared" si="8"/>
        <v>0</v>
      </c>
      <c r="I39" s="228" t="e">
        <f t="shared" si="9"/>
        <v>#DIV/0!</v>
      </c>
      <c r="J39" s="2868"/>
      <c r="K39" s="1371"/>
      <c r="L39" s="2869" t="s">
        <v>2869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2929</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2930</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2931</v>
      </c>
      <c r="B47" s="1809" t="s">
        <v>2932</v>
      </c>
      <c r="C47" s="1809" t="s">
        <v>2933</v>
      </c>
      <c r="D47" s="1809" t="s">
        <v>2934</v>
      </c>
      <c r="E47" s="817" t="s">
        <v>2935</v>
      </c>
      <c r="F47" s="2879" t="s">
        <v>2936</v>
      </c>
      <c r="G47" s="1809" t="s">
        <v>754</v>
      </c>
      <c r="H47" s="2880" t="s">
        <v>2937</v>
      </c>
      <c r="I47" s="1809" t="s">
        <v>2938</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c r="A48" s="2878" t="s">
        <v>2939</v>
      </c>
      <c r="B48" s="2881">
        <f>估价对象房地状况!C4</f>
        <v>0</v>
      </c>
      <c r="C48" s="2770"/>
      <c r="D48" s="1287">
        <f t="shared" ref="D48:D56" si="10">SUMIF($J$47:$N$47,C48,J48:N48)</f>
        <v>0</v>
      </c>
      <c r="E48" s="819">
        <f>ROUND(SUM(D48:D56),4)</f>
        <v>0</v>
      </c>
      <c r="F48" s="2501"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8" t="s">
        <v>2940</v>
      </c>
      <c r="B49" s="2882">
        <f>估价对象房地状况!C18</f>
        <v>0</v>
      </c>
      <c r="C49" s="2770"/>
      <c r="D49" s="1287">
        <f t="shared" si="10"/>
        <v>0</v>
      </c>
      <c r="E49" s="820"/>
      <c r="F49" s="2501"/>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2941</v>
      </c>
      <c r="B50" s="2882">
        <f>估价对象房地状况!C19</f>
        <v>0</v>
      </c>
      <c r="C50" s="2770"/>
      <c r="D50" s="1287">
        <f t="shared" si="10"/>
        <v>0</v>
      </c>
      <c r="E50" s="820"/>
      <c r="F50" s="2501"/>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2942</v>
      </c>
      <c r="B51" s="2883" t="s">
        <v>2943</v>
      </c>
      <c r="C51" s="2770"/>
      <c r="D51" s="1287">
        <f t="shared" si="10"/>
        <v>0</v>
      </c>
      <c r="E51" s="820"/>
      <c r="F51" s="2501"/>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2944</v>
      </c>
      <c r="B52" s="2882">
        <f>估价对象房地状况!C24</f>
        <v>0</v>
      </c>
      <c r="C52" s="2770"/>
      <c r="D52" s="1287">
        <f t="shared" si="10"/>
        <v>0</v>
      </c>
      <c r="E52" s="820"/>
      <c r="F52" s="2501"/>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2945</v>
      </c>
      <c r="B53" s="2884" t="s">
        <v>2946</v>
      </c>
      <c r="C53" s="2770"/>
      <c r="D53" s="1287">
        <f t="shared" si="10"/>
        <v>0</v>
      </c>
      <c r="E53" s="820"/>
      <c r="F53" s="2501"/>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5" t="s">
        <v>2947</v>
      </c>
      <c r="B54" s="1725">
        <f>估价对象房地状况!C21</f>
        <v>0</v>
      </c>
      <c r="C54" s="2770"/>
      <c r="D54" s="1287">
        <f t="shared" si="10"/>
        <v>0</v>
      </c>
      <c r="E54" s="820"/>
      <c r="F54" s="2501"/>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5" t="s">
        <v>2948</v>
      </c>
      <c r="B55" s="2882">
        <f>估价对象房地状况!C22</f>
        <v>0</v>
      </c>
      <c r="C55" s="2770"/>
      <c r="D55" s="1287">
        <f t="shared" si="10"/>
        <v>0</v>
      </c>
      <c r="E55" s="820"/>
      <c r="F55" s="2501"/>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6" t="s">
        <v>2949</v>
      </c>
      <c r="B56" s="2887">
        <f>估价对象房地状况!C20</f>
        <v>0</v>
      </c>
      <c r="C56" s="2770"/>
      <c r="D56" s="1287">
        <f t="shared" si="10"/>
        <v>0</v>
      </c>
      <c r="E56" s="823"/>
      <c r="F56" s="2501"/>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2950</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2931</v>
      </c>
      <c r="B58" s="1809"/>
      <c r="C58" s="1809" t="s">
        <v>2933</v>
      </c>
      <c r="D58" s="1809" t="s">
        <v>2934</v>
      </c>
      <c r="E58" s="817" t="s">
        <v>2935</v>
      </c>
      <c r="F58" s="2879" t="s">
        <v>2951</v>
      </c>
      <c r="G58" s="1809" t="s">
        <v>754</v>
      </c>
      <c r="H58" s="2880" t="s">
        <v>2937</v>
      </c>
      <c r="I58" s="1809" t="s">
        <v>2938</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c r="A59" s="2878" t="s">
        <v>2952</v>
      </c>
      <c r="B59" s="2881">
        <f>估价对象房地状况!C17</f>
        <v>0</v>
      </c>
      <c r="C59" s="2770"/>
      <c r="D59" s="1287">
        <f t="shared" ref="D59:D67" si="15">SUMIF($J$58:$N$58,C59,J59:N59)</f>
        <v>0</v>
      </c>
      <c r="E59" s="819">
        <f>ROUND(SUM(D59:D67),4)</f>
        <v>0</v>
      </c>
      <c r="F59" s="2501"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8" t="s">
        <v>2940</v>
      </c>
      <c r="B60" s="2882">
        <f>估价对象房地状况!C18</f>
        <v>0</v>
      </c>
      <c r="C60" s="2770"/>
      <c r="D60" s="1287">
        <f t="shared" si="15"/>
        <v>0</v>
      </c>
      <c r="E60" s="820"/>
      <c r="F60" s="2501"/>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8" t="s">
        <v>2941</v>
      </c>
      <c r="B61" s="2882">
        <f>估价对象房地状况!C19</f>
        <v>0</v>
      </c>
      <c r="C61" s="2770"/>
      <c r="D61" s="1287">
        <f t="shared" si="15"/>
        <v>0</v>
      </c>
      <c r="E61" s="820"/>
      <c r="F61" s="2501"/>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8" t="s">
        <v>2942</v>
      </c>
      <c r="B62" s="2883" t="s">
        <v>2943</v>
      </c>
      <c r="C62" s="2770"/>
      <c r="D62" s="1287">
        <f t="shared" si="15"/>
        <v>0</v>
      </c>
      <c r="E62" s="820"/>
      <c r="F62" s="2501"/>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8" t="s">
        <v>2944</v>
      </c>
      <c r="B63" s="2882">
        <f>估价对象房地状况!C24</f>
        <v>0</v>
      </c>
      <c r="C63" s="2770"/>
      <c r="D63" s="1287">
        <f t="shared" si="15"/>
        <v>0</v>
      </c>
      <c r="E63" s="820"/>
      <c r="F63" s="2501"/>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8" t="s">
        <v>2945</v>
      </c>
      <c r="B64" s="2884" t="s">
        <v>2946</v>
      </c>
      <c r="C64" s="2770"/>
      <c r="D64" s="1287">
        <f t="shared" si="15"/>
        <v>0</v>
      </c>
      <c r="E64" s="820"/>
      <c r="F64" s="2501"/>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8" t="s">
        <v>2947</v>
      </c>
      <c r="B65" s="1725">
        <f>估价对象房地状况!C21</f>
        <v>0</v>
      </c>
      <c r="C65" s="2770"/>
      <c r="D65" s="1287">
        <f t="shared" si="15"/>
        <v>0</v>
      </c>
      <c r="E65" s="820"/>
      <c r="F65" s="2501"/>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8" t="s">
        <v>2948</v>
      </c>
      <c r="B66" s="1725">
        <f>估价对象房地状况!C22</f>
        <v>0</v>
      </c>
      <c r="C66" s="2770"/>
      <c r="D66" s="1287">
        <f t="shared" si="15"/>
        <v>0</v>
      </c>
      <c r="E66" s="820"/>
      <c r="F66" s="2501"/>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6" t="s">
        <v>2949</v>
      </c>
      <c r="B67" s="2888">
        <f>估价对象房地状况!C20</f>
        <v>0</v>
      </c>
      <c r="C67" s="2770"/>
      <c r="D67" s="1287">
        <f t="shared" si="15"/>
        <v>0</v>
      </c>
      <c r="E67" s="823"/>
      <c r="F67" s="2501"/>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4" t="s">
        <v>2953</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2931</v>
      </c>
      <c r="B69" s="1809"/>
      <c r="C69" s="1809" t="s">
        <v>2933</v>
      </c>
      <c r="D69" s="1809" t="s">
        <v>2934</v>
      </c>
      <c r="E69" s="817" t="s">
        <v>2935</v>
      </c>
      <c r="F69" s="2879" t="s">
        <v>2951</v>
      </c>
      <c r="G69" s="1809" t="s">
        <v>754</v>
      </c>
      <c r="H69" s="2880" t="s">
        <v>2937</v>
      </c>
      <c r="I69" s="1809" t="s">
        <v>2938</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24">
      <c r="A70" s="2878" t="s">
        <v>2954</v>
      </c>
      <c r="B70" s="2881">
        <f>估价对象房地状况!C15</f>
        <v>0</v>
      </c>
      <c r="C70" s="2770"/>
      <c r="D70" s="1287">
        <f t="shared" ref="D70:D78" si="20">SUMIF($J$69:$N$69,C70,J70:N70)</f>
        <v>0</v>
      </c>
      <c r="E70" s="819">
        <f>ROUND(SUM(D70:D78),4)</f>
        <v>0</v>
      </c>
      <c r="F70" s="2501"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8" t="s">
        <v>2940</v>
      </c>
      <c r="B71" s="2882">
        <f>估价对象房地状况!C18</f>
        <v>0</v>
      </c>
      <c r="C71" s="2770"/>
      <c r="D71" s="1287">
        <f t="shared" si="20"/>
        <v>0</v>
      </c>
      <c r="E71" s="824"/>
      <c r="F71" s="2501"/>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8" t="s">
        <v>2941</v>
      </c>
      <c r="B72" s="2882">
        <f>估价对象房地状况!C19</f>
        <v>0</v>
      </c>
      <c r="C72" s="2770"/>
      <c r="D72" s="1287">
        <f t="shared" si="20"/>
        <v>0</v>
      </c>
      <c r="E72" s="824"/>
      <c r="F72" s="2501"/>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8" t="s">
        <v>2955</v>
      </c>
      <c r="B73" s="2882">
        <f>估价对象房地状况!C24</f>
        <v>0</v>
      </c>
      <c r="C73" s="2770"/>
      <c r="D73" s="1287">
        <f t="shared" si="20"/>
        <v>0</v>
      </c>
      <c r="E73" s="824"/>
      <c r="F73" s="2501"/>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8" t="s">
        <v>2947</v>
      </c>
      <c r="B74" s="1725">
        <f>估价对象房地状况!C21</f>
        <v>0</v>
      </c>
      <c r="C74" s="2770"/>
      <c r="D74" s="1287">
        <f t="shared" si="20"/>
        <v>0</v>
      </c>
      <c r="E74" s="824"/>
      <c r="F74" s="2501"/>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8" t="s">
        <v>2948</v>
      </c>
      <c r="B75" s="1725">
        <f>估价对象房地状况!C22</f>
        <v>0</v>
      </c>
      <c r="C75" s="2770"/>
      <c r="D75" s="1287">
        <f t="shared" si="20"/>
        <v>0</v>
      </c>
      <c r="E75" s="824"/>
      <c r="F75" s="2501"/>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24">
      <c r="A76" s="2878" t="s">
        <v>2945</v>
      </c>
      <c r="B76" s="2884" t="s">
        <v>2946</v>
      </c>
      <c r="C76" s="2770"/>
      <c r="D76" s="1287">
        <f t="shared" si="20"/>
        <v>0</v>
      </c>
      <c r="E76" s="824"/>
      <c r="F76" s="2501"/>
      <c r="G76" s="1285"/>
      <c r="H76" s="1289" t="str">
        <f t="shared" si="21"/>
        <v>——</v>
      </c>
      <c r="I76" s="818">
        <v>0.05</v>
      </c>
      <c r="J76" s="1286">
        <f t="shared" si="22"/>
        <v>0</v>
      </c>
      <c r="K76" s="1286">
        <f t="shared" si="23"/>
        <v>0</v>
      </c>
      <c r="L76" s="1286">
        <v>0</v>
      </c>
      <c r="M76" s="1286">
        <f t="shared" si="24"/>
        <v>0</v>
      </c>
      <c r="N76" s="1286">
        <f t="shared" si="24"/>
        <v>0</v>
      </c>
      <c r="AA76" s="2889"/>
      <c r="AB76" s="1372"/>
      <c r="AC76" s="1372"/>
      <c r="AD76" s="1372"/>
      <c r="AE76" s="1372"/>
      <c r="AF76" s="1372"/>
      <c r="AG76" s="1372"/>
      <c r="AH76" s="2889"/>
      <c r="AI76" s="2889"/>
      <c r="AJ76" s="2889"/>
      <c r="AK76" s="2889"/>
    </row>
    <row r="77" spans="1:37" ht="24">
      <c r="A77" s="2878" t="s">
        <v>2949</v>
      </c>
      <c r="B77" s="2881">
        <f>估价对象房地状况!C20</f>
        <v>0</v>
      </c>
      <c r="C77" s="2770"/>
      <c r="D77" s="1287">
        <f t="shared" si="20"/>
        <v>0</v>
      </c>
      <c r="E77" s="824"/>
      <c r="F77" s="2501"/>
      <c r="G77" s="1285"/>
      <c r="H77" s="1289" t="str">
        <f t="shared" si="21"/>
        <v>——</v>
      </c>
      <c r="I77" s="818">
        <v>0.15</v>
      </c>
      <c r="J77" s="1286">
        <f t="shared" si="22"/>
        <v>0</v>
      </c>
      <c r="K77" s="1286">
        <f t="shared" si="23"/>
        <v>0</v>
      </c>
      <c r="L77" s="1286">
        <v>0</v>
      </c>
      <c r="M77" s="1286">
        <f t="shared" si="24"/>
        <v>0</v>
      </c>
      <c r="N77" s="1286">
        <f t="shared" si="24"/>
        <v>0</v>
      </c>
      <c r="Z77" s="2720"/>
      <c r="AA77" s="2796"/>
      <c r="AG77" s="1373"/>
      <c r="AK77" s="2796"/>
    </row>
    <row r="78" spans="1:37" ht="24.75" thickBot="1">
      <c r="A78" s="2886" t="s">
        <v>2956</v>
      </c>
      <c r="B78" s="2890"/>
      <c r="C78" s="2770"/>
      <c r="D78" s="1287">
        <f t="shared" si="20"/>
        <v>0</v>
      </c>
      <c r="E78" s="825"/>
      <c r="F78" s="2501"/>
      <c r="G78" s="1285"/>
      <c r="H78" s="1289" t="str">
        <f t="shared" si="21"/>
        <v>——</v>
      </c>
      <c r="I78" s="822">
        <v>0.04</v>
      </c>
      <c r="J78" s="1286">
        <f t="shared" si="22"/>
        <v>0</v>
      </c>
      <c r="K78" s="1286">
        <f t="shared" si="23"/>
        <v>0</v>
      </c>
      <c r="L78" s="1286">
        <v>0</v>
      </c>
      <c r="M78" s="1286">
        <f t="shared" si="24"/>
        <v>0</v>
      </c>
      <c r="N78" s="1286">
        <f t="shared" si="24"/>
        <v>0</v>
      </c>
      <c r="Z78" s="2720"/>
      <c r="AA78" s="2796"/>
      <c r="AG78" s="1373"/>
      <c r="AK78" s="2796"/>
    </row>
    <row r="79" spans="1:37" ht="15">
      <c r="A79" s="2874" t="s">
        <v>2957</v>
      </c>
      <c r="B79" s="2875">
        <f>1+E81</f>
        <v>1</v>
      </c>
      <c r="C79" s="812"/>
      <c r="D79" s="812"/>
      <c r="E79" s="813"/>
      <c r="F79" s="2877"/>
      <c r="G79" s="6"/>
      <c r="H79" s="6"/>
      <c r="I79" s="6"/>
      <c r="J79" s="7"/>
      <c r="K79" s="7"/>
      <c r="L79" s="7"/>
      <c r="M79" s="7"/>
      <c r="N79" s="7"/>
      <c r="Z79" s="2720"/>
      <c r="AA79" s="2796"/>
      <c r="AG79" s="1373"/>
      <c r="AK79" s="2796"/>
    </row>
    <row r="80" spans="1:37" ht="24.75">
      <c r="A80" s="2878" t="s">
        <v>2931</v>
      </c>
      <c r="B80" s="1809"/>
      <c r="C80" s="1809" t="s">
        <v>2933</v>
      </c>
      <c r="D80" s="1809" t="s">
        <v>2934</v>
      </c>
      <c r="E80" s="817" t="s">
        <v>2935</v>
      </c>
      <c r="F80" s="2879" t="s">
        <v>2951</v>
      </c>
      <c r="G80" s="1809" t="s">
        <v>754</v>
      </c>
      <c r="H80" s="2880" t="s">
        <v>2937</v>
      </c>
      <c r="I80" s="1809" t="s">
        <v>2938</v>
      </c>
      <c r="J80" s="602" t="s">
        <v>2584</v>
      </c>
      <c r="K80" s="602" t="s">
        <v>2585</v>
      </c>
      <c r="L80" s="602" t="s">
        <v>2586</v>
      </c>
      <c r="M80" s="602" t="s">
        <v>2587</v>
      </c>
      <c r="N80" s="602" t="s">
        <v>2588</v>
      </c>
      <c r="Z80" s="2720"/>
      <c r="AA80" s="2796"/>
      <c r="AG80" s="1373"/>
      <c r="AK80" s="2796"/>
    </row>
    <row r="81" spans="1:37" ht="24">
      <c r="A81" s="2878" t="s">
        <v>2958</v>
      </c>
      <c r="B81" s="2882">
        <f>估价对象房地状况!G15</f>
        <v>0</v>
      </c>
      <c r="C81" s="2770"/>
      <c r="D81" s="1287">
        <f t="shared" ref="D81:D88" si="25">SUMIF($J$80:$N$80,C81,J81:N81)</f>
        <v>0</v>
      </c>
      <c r="E81" s="819">
        <f>ROUND(SUM(D81:D88),4)</f>
        <v>0</v>
      </c>
      <c r="F81" s="2501"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0"/>
      <c r="AA81" s="2796"/>
      <c r="AG81" s="1373"/>
      <c r="AK81" s="2796"/>
    </row>
    <row r="82" spans="1:37" ht="14.25">
      <c r="A82" s="2878" t="s">
        <v>2940</v>
      </c>
      <c r="B82" s="2882">
        <f>估价对象房地状况!G16</f>
        <v>0</v>
      </c>
      <c r="C82" s="2770"/>
      <c r="D82" s="1287">
        <f t="shared" si="25"/>
        <v>0</v>
      </c>
      <c r="E82" s="824"/>
      <c r="F82" s="2501"/>
      <c r="G82" s="1285"/>
      <c r="H82" s="1289" t="str">
        <f t="shared" si="26"/>
        <v>——</v>
      </c>
      <c r="I82" s="818">
        <v>0.33</v>
      </c>
      <c r="J82" s="1286">
        <f t="shared" si="27"/>
        <v>0</v>
      </c>
      <c r="K82" s="1286">
        <f t="shared" si="28"/>
        <v>0</v>
      </c>
      <c r="L82" s="1286">
        <v>0</v>
      </c>
      <c r="M82" s="1286">
        <f t="shared" si="29"/>
        <v>0</v>
      </c>
      <c r="N82" s="1286">
        <f t="shared" si="29"/>
        <v>0</v>
      </c>
      <c r="Z82" s="2720"/>
      <c r="AA82" s="2796"/>
      <c r="AG82" s="1373"/>
      <c r="AK82" s="2796"/>
    </row>
    <row r="83" spans="1:37" ht="24">
      <c r="A83" s="2878" t="s">
        <v>2941</v>
      </c>
      <c r="B83" s="2882">
        <f>估价对象房地状况!G17</f>
        <v>0</v>
      </c>
      <c r="C83" s="2770"/>
      <c r="D83" s="1287">
        <f t="shared" si="25"/>
        <v>0</v>
      </c>
      <c r="E83" s="824"/>
      <c r="F83" s="2501"/>
      <c r="G83" s="1285"/>
      <c r="H83" s="1289" t="str">
        <f t="shared" si="26"/>
        <v>——</v>
      </c>
      <c r="I83" s="818">
        <v>0.05</v>
      </c>
      <c r="J83" s="1286">
        <f t="shared" si="27"/>
        <v>0</v>
      </c>
      <c r="K83" s="1286">
        <f t="shared" si="28"/>
        <v>0</v>
      </c>
      <c r="L83" s="1286">
        <v>0</v>
      </c>
      <c r="M83" s="1286">
        <f t="shared" si="29"/>
        <v>0</v>
      </c>
      <c r="N83" s="1286">
        <f t="shared" si="29"/>
        <v>0</v>
      </c>
      <c r="Z83" s="2720"/>
      <c r="AA83" s="2796"/>
      <c r="AG83" s="1373"/>
      <c r="AK83" s="2796"/>
    </row>
    <row r="84" spans="1:37" ht="14.25">
      <c r="A84" s="2878" t="s">
        <v>2955</v>
      </c>
      <c r="B84" s="2882">
        <f>估价对象房地状况!G22</f>
        <v>0</v>
      </c>
      <c r="C84" s="2770"/>
      <c r="D84" s="1287">
        <f t="shared" si="25"/>
        <v>0</v>
      </c>
      <c r="E84" s="824"/>
      <c r="F84" s="2501"/>
      <c r="G84" s="1285"/>
      <c r="H84" s="1289" t="str">
        <f t="shared" si="26"/>
        <v>——</v>
      </c>
      <c r="I84" s="818">
        <v>0.04</v>
      </c>
      <c r="J84" s="1286">
        <f t="shared" si="27"/>
        <v>0</v>
      </c>
      <c r="K84" s="1286">
        <f t="shared" si="28"/>
        <v>0</v>
      </c>
      <c r="L84" s="1286">
        <v>0</v>
      </c>
      <c r="M84" s="1286">
        <f t="shared" si="29"/>
        <v>0</v>
      </c>
      <c r="N84" s="1286">
        <f t="shared" si="29"/>
        <v>0</v>
      </c>
      <c r="Z84" s="2720"/>
      <c r="AA84" s="2796"/>
      <c r="AG84" s="1373"/>
      <c r="AK84" s="2796"/>
    </row>
    <row r="85" spans="1:37" ht="24">
      <c r="A85" s="2878" t="s">
        <v>2947</v>
      </c>
      <c r="B85" s="1725">
        <f>估价对象房地状况!G19</f>
        <v>0</v>
      </c>
      <c r="C85" s="2770"/>
      <c r="D85" s="1287">
        <f t="shared" si="25"/>
        <v>0</v>
      </c>
      <c r="E85" s="824"/>
      <c r="F85" s="2501"/>
      <c r="G85" s="1285"/>
      <c r="H85" s="1289" t="str">
        <f t="shared" si="26"/>
        <v>——</v>
      </c>
      <c r="I85" s="818">
        <v>0.06</v>
      </c>
      <c r="J85" s="1286">
        <f t="shared" si="27"/>
        <v>0</v>
      </c>
      <c r="K85" s="1286">
        <f t="shared" si="28"/>
        <v>0</v>
      </c>
      <c r="L85" s="1286">
        <v>0</v>
      </c>
      <c r="M85" s="1286">
        <f t="shared" si="29"/>
        <v>0</v>
      </c>
      <c r="N85" s="1286">
        <f t="shared" si="29"/>
        <v>0</v>
      </c>
      <c r="Z85" s="2720"/>
      <c r="AA85" s="2796"/>
      <c r="AG85" s="1373"/>
      <c r="AK85" s="2796"/>
    </row>
    <row r="86" spans="1:37" ht="24">
      <c r="A86" s="2878" t="s">
        <v>2948</v>
      </c>
      <c r="B86" s="1725">
        <f>估价对象房地状况!G20</f>
        <v>0</v>
      </c>
      <c r="C86" s="2770"/>
      <c r="D86" s="1287">
        <f t="shared" si="25"/>
        <v>0</v>
      </c>
      <c r="E86" s="824"/>
      <c r="F86" s="2501"/>
      <c r="G86" s="1285"/>
      <c r="H86" s="1289" t="str">
        <f t="shared" si="26"/>
        <v>——</v>
      </c>
      <c r="I86" s="818">
        <v>0.15</v>
      </c>
      <c r="J86" s="1286">
        <f t="shared" si="27"/>
        <v>0</v>
      </c>
      <c r="K86" s="1286">
        <f t="shared" si="28"/>
        <v>0</v>
      </c>
      <c r="L86" s="1286">
        <v>0</v>
      </c>
      <c r="M86" s="1286">
        <f t="shared" si="29"/>
        <v>0</v>
      </c>
      <c r="N86" s="1286">
        <f t="shared" si="29"/>
        <v>0</v>
      </c>
      <c r="Z86" s="2720"/>
      <c r="AA86" s="2796"/>
      <c r="AG86" s="1373"/>
      <c r="AK86" s="2796"/>
    </row>
    <row r="87" spans="1:37" ht="24">
      <c r="A87" s="2878" t="s">
        <v>2945</v>
      </c>
      <c r="B87" s="2884" t="s">
        <v>2959</v>
      </c>
      <c r="C87" s="2770"/>
      <c r="D87" s="1287">
        <f t="shared" si="25"/>
        <v>0</v>
      </c>
      <c r="E87" s="824"/>
      <c r="F87" s="2501"/>
      <c r="G87" s="1285"/>
      <c r="H87" s="1289" t="str">
        <f t="shared" si="26"/>
        <v>——</v>
      </c>
      <c r="I87" s="818">
        <v>0.05</v>
      </c>
      <c r="J87" s="1286">
        <f t="shared" si="27"/>
        <v>0</v>
      </c>
      <c r="K87" s="1286">
        <f t="shared" si="28"/>
        <v>0</v>
      </c>
      <c r="L87" s="1286">
        <v>0</v>
      </c>
      <c r="M87" s="1286">
        <f t="shared" si="29"/>
        <v>0</v>
      </c>
      <c r="N87" s="1286">
        <f t="shared" si="29"/>
        <v>0</v>
      </c>
      <c r="Z87" s="2720"/>
      <c r="AA87" s="2796"/>
      <c r="AG87" s="1373"/>
      <c r="AK87" s="2796"/>
    </row>
    <row r="88" spans="1:37" ht="15" thickBot="1">
      <c r="A88" s="2886" t="s">
        <v>2960</v>
      </c>
      <c r="B88" s="2891">
        <f>估价对象房地状况!G18</f>
        <v>0</v>
      </c>
      <c r="C88" s="2770"/>
      <c r="D88" s="1287">
        <f t="shared" si="25"/>
        <v>0</v>
      </c>
      <c r="E88" s="825"/>
      <c r="F88" s="2501"/>
      <c r="G88" s="1285"/>
      <c r="H88" s="1289" t="str">
        <f t="shared" si="26"/>
        <v>——</v>
      </c>
      <c r="I88" s="822">
        <v>0.06</v>
      </c>
      <c r="J88" s="1286">
        <f t="shared" si="27"/>
        <v>0</v>
      </c>
      <c r="K88" s="1286">
        <f t="shared" si="28"/>
        <v>0</v>
      </c>
      <c r="L88" s="1286">
        <v>0</v>
      </c>
      <c r="M88" s="1286">
        <f t="shared" si="29"/>
        <v>0</v>
      </c>
      <c r="N88" s="1286">
        <f t="shared" si="29"/>
        <v>0</v>
      </c>
      <c r="Z88" s="2720"/>
      <c r="AA88" s="2796"/>
      <c r="AG88" s="1373"/>
      <c r="AK88" s="2796"/>
    </row>
    <row r="90" spans="1:37">
      <c r="A90" s="3326" t="s">
        <v>2961</v>
      </c>
      <c r="B90" s="3326"/>
      <c r="C90" s="3326"/>
      <c r="D90" s="3326"/>
      <c r="E90" s="3326"/>
      <c r="F90" s="3326"/>
      <c r="G90" s="3326"/>
      <c r="H90" s="3326"/>
      <c r="I90" s="3326"/>
      <c r="J90" s="3326"/>
      <c r="K90" s="2892"/>
      <c r="L90" s="2892"/>
      <c r="M90" s="2892"/>
      <c r="N90" s="2892"/>
    </row>
    <row r="91" spans="1:37">
      <c r="A91" s="3328" t="s">
        <v>2962</v>
      </c>
      <c r="B91" s="3328" t="s">
        <v>2963</v>
      </c>
      <c r="C91" s="2846" t="s">
        <v>2964</v>
      </c>
      <c r="D91" s="2847"/>
      <c r="E91" s="2847"/>
      <c r="F91" s="2847"/>
      <c r="G91" s="2847"/>
      <c r="H91" s="2847"/>
      <c r="I91" s="2847"/>
      <c r="J91" s="2893"/>
      <c r="K91" s="2894"/>
      <c r="L91" s="2894"/>
      <c r="M91" s="2894"/>
      <c r="N91" s="2894"/>
    </row>
    <row r="92" spans="1:37">
      <c r="A92" s="3328"/>
      <c r="B92" s="3328"/>
      <c r="C92" s="943" t="s">
        <v>2828</v>
      </c>
      <c r="D92" s="943" t="s">
        <v>2829</v>
      </c>
      <c r="E92" s="943" t="s">
        <v>2830</v>
      </c>
      <c r="F92" s="943" t="s">
        <v>2831</v>
      </c>
      <c r="G92" s="943" t="s">
        <v>2832</v>
      </c>
      <c r="H92" s="943" t="s">
        <v>2833</v>
      </c>
      <c r="I92" s="943" t="s">
        <v>2834</v>
      </c>
      <c r="J92" s="943" t="s">
        <v>2835</v>
      </c>
      <c r="K92" s="943" t="s">
        <v>2836</v>
      </c>
      <c r="L92" s="943" t="s">
        <v>2837</v>
      </c>
      <c r="M92" s="943" t="s">
        <v>2838</v>
      </c>
      <c r="N92" s="943" t="s">
        <v>2839</v>
      </c>
    </row>
    <row r="93" spans="1:37">
      <c r="A93" s="3329"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0"/>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9" t="s">
        <v>2966</v>
      </c>
      <c r="B101" s="2899" t="s">
        <v>2967</v>
      </c>
      <c r="C101" s="2900">
        <f>$G$3</f>
        <v>0.96</v>
      </c>
      <c r="D101" s="2900">
        <f t="shared" ref="D101:N101" si="31">$G$3</f>
        <v>0.96</v>
      </c>
      <c r="E101" s="2900">
        <f t="shared" si="31"/>
        <v>0.96</v>
      </c>
      <c r="F101" s="2900">
        <f t="shared" si="31"/>
        <v>0.96</v>
      </c>
      <c r="G101" s="2900">
        <f t="shared" si="31"/>
        <v>0.96</v>
      </c>
      <c r="H101" s="2900">
        <f t="shared" si="31"/>
        <v>0.96</v>
      </c>
      <c r="I101" s="2900">
        <f t="shared" si="31"/>
        <v>0.96</v>
      </c>
      <c r="J101" s="2900">
        <f t="shared" si="31"/>
        <v>0.96</v>
      </c>
      <c r="K101" s="2900">
        <f t="shared" si="31"/>
        <v>0.96</v>
      </c>
      <c r="L101" s="2900">
        <f t="shared" si="31"/>
        <v>0.96</v>
      </c>
      <c r="M101" s="2900">
        <f t="shared" si="31"/>
        <v>0.96</v>
      </c>
      <c r="N101" s="2900">
        <f t="shared" si="31"/>
        <v>0.96</v>
      </c>
    </row>
    <row r="102" spans="1:14">
      <c r="A102" s="3330"/>
      <c r="B102" s="2895">
        <v>1</v>
      </c>
      <c r="C102" s="2896">
        <f>1.9362/C101</f>
        <v>2.0168750000000002</v>
      </c>
      <c r="D102" s="2896">
        <f>1.9362/D101</f>
        <v>2.0168750000000002</v>
      </c>
      <c r="E102" s="2896">
        <f>1.8629/E101</f>
        <v>1.9405208333333335</v>
      </c>
      <c r="F102" s="2896">
        <f>1.8629/F101</f>
        <v>1.9405208333333335</v>
      </c>
      <c r="G102" s="2896">
        <f>1.8629/G101</f>
        <v>1.9405208333333335</v>
      </c>
      <c r="H102" s="2896">
        <f>1.8629/H101</f>
        <v>1.9405208333333335</v>
      </c>
      <c r="I102" s="2896">
        <f>1.8629/I101</f>
        <v>1.9405208333333335</v>
      </c>
      <c r="J102" s="2896">
        <f>1.942/J101</f>
        <v>2.0229166666666667</v>
      </c>
      <c r="K102" s="2896">
        <f>1.942/K101</f>
        <v>2.0229166666666667</v>
      </c>
      <c r="L102" s="2896">
        <f>1.942/L101</f>
        <v>2.0229166666666667</v>
      </c>
      <c r="M102" s="2896">
        <f>1.942/M101</f>
        <v>2.0229166666666667</v>
      </c>
      <c r="N102" s="2896">
        <f>1.942/N101</f>
        <v>2.0229166666666667</v>
      </c>
    </row>
    <row r="103" spans="1:14">
      <c r="A103" s="3330"/>
      <c r="B103" s="2895">
        <v>2</v>
      </c>
      <c r="C103" s="2896">
        <f>1.4198/C101</f>
        <v>1.4789583333333334</v>
      </c>
      <c r="D103" s="2896">
        <f>1.4198/D101</f>
        <v>1.4789583333333334</v>
      </c>
      <c r="E103" s="2896">
        <f>1.3372/E101</f>
        <v>1.3929166666666666</v>
      </c>
      <c r="F103" s="2896">
        <f>1.3372/F101</f>
        <v>1.3929166666666666</v>
      </c>
      <c r="G103" s="2896">
        <f>1.3372/G101</f>
        <v>1.3929166666666666</v>
      </c>
      <c r="H103" s="2896">
        <f>1.3372/H101</f>
        <v>1.3929166666666666</v>
      </c>
      <c r="I103" s="2896">
        <f>1.3372/I101</f>
        <v>1.3929166666666666</v>
      </c>
      <c r="J103" s="2896">
        <f>1.2799/J101</f>
        <v>1.3332291666666667</v>
      </c>
      <c r="K103" s="2896">
        <f>1.2799/K101</f>
        <v>1.3332291666666667</v>
      </c>
      <c r="L103" s="2896">
        <f>1.2799/L101</f>
        <v>1.3332291666666667</v>
      </c>
      <c r="M103" s="2896">
        <f>1.2799/M101</f>
        <v>1.3332291666666667</v>
      </c>
      <c r="N103" s="2896">
        <f>1.2799/N101</f>
        <v>1.3332291666666667</v>
      </c>
    </row>
    <row r="104" spans="1:14">
      <c r="A104" s="3330"/>
      <c r="B104" s="2895">
        <v>3</v>
      </c>
      <c r="C104" s="2896">
        <f>1.1594/C101</f>
        <v>1.2077083333333334</v>
      </c>
      <c r="D104" s="2896">
        <f>1.1594/D101</f>
        <v>1.2077083333333334</v>
      </c>
      <c r="E104" s="2896">
        <f>1.0788/E101</f>
        <v>1.12375</v>
      </c>
      <c r="F104" s="2896">
        <f>1.0788/F101</f>
        <v>1.12375</v>
      </c>
      <c r="G104" s="2896">
        <f>1.0788/G101</f>
        <v>1.12375</v>
      </c>
      <c r="H104" s="2896">
        <f>1.0788/H101</f>
        <v>1.12375</v>
      </c>
      <c r="I104" s="2896">
        <f>1.0788/I101</f>
        <v>1.12375</v>
      </c>
      <c r="J104" s="2896">
        <f>1.0072/J101</f>
        <v>1.0491666666666668</v>
      </c>
      <c r="K104" s="2896">
        <f>1.0072/K101</f>
        <v>1.0491666666666668</v>
      </c>
      <c r="L104" s="2896">
        <f>1.0072/L101</f>
        <v>1.0491666666666668</v>
      </c>
      <c r="M104" s="2896">
        <f>1.0072/M101</f>
        <v>1.0491666666666668</v>
      </c>
      <c r="N104" s="2896">
        <f>1.0072/N101</f>
        <v>1.0491666666666668</v>
      </c>
    </row>
    <row r="105" spans="1:14">
      <c r="A105" s="3330"/>
      <c r="B105" s="2895">
        <v>4</v>
      </c>
      <c r="C105" s="2896">
        <f>0.9622/C101</f>
        <v>1.0022916666666668</v>
      </c>
      <c r="D105" s="2896">
        <f>0.9622/D101</f>
        <v>1.0022916666666668</v>
      </c>
      <c r="E105" s="2896">
        <f>0.8656/E101</f>
        <v>0.90166666666666673</v>
      </c>
      <c r="F105" s="2896">
        <f>0.8656/F101</f>
        <v>0.90166666666666673</v>
      </c>
      <c r="G105" s="2896">
        <f>0.8656/G101</f>
        <v>0.90166666666666673</v>
      </c>
      <c r="H105" s="2896">
        <f>0.8656/H101</f>
        <v>0.90166666666666673</v>
      </c>
      <c r="I105" s="2896">
        <f>0.8656/I101</f>
        <v>0.90166666666666673</v>
      </c>
      <c r="J105" s="2896">
        <f>0.7525/J101</f>
        <v>0.78385416666666663</v>
      </c>
      <c r="K105" s="2896">
        <f>0.7525/K101</f>
        <v>0.78385416666666663</v>
      </c>
      <c r="L105" s="2896">
        <f>0.7525/L101</f>
        <v>0.78385416666666663</v>
      </c>
      <c r="M105" s="2896">
        <f>0.7525/M101</f>
        <v>0.78385416666666663</v>
      </c>
      <c r="N105" s="2896">
        <f>0.7525/N101</f>
        <v>0.78385416666666663</v>
      </c>
    </row>
    <row r="106" spans="1:14">
      <c r="A106" s="3330"/>
      <c r="B106" s="2895">
        <v>5</v>
      </c>
      <c r="C106" s="2896">
        <f>0.8417/C101</f>
        <v>0.87677083333333339</v>
      </c>
      <c r="D106" s="2896">
        <f>0.8417/D101</f>
        <v>0.87677083333333339</v>
      </c>
      <c r="E106" s="2896">
        <f>0.7371/E101</f>
        <v>0.76781250000000001</v>
      </c>
      <c r="F106" s="2896">
        <f>0.7371/F101</f>
        <v>0.76781250000000001</v>
      </c>
      <c r="G106" s="2896">
        <f>0.7371/G101</f>
        <v>0.76781250000000001</v>
      </c>
      <c r="H106" s="2896">
        <f>0.7371/H101</f>
        <v>0.76781250000000001</v>
      </c>
      <c r="I106" s="2896">
        <f>0.7371/I101</f>
        <v>0.76781250000000001</v>
      </c>
      <c r="J106" s="2896">
        <f>0.5659/J101</f>
        <v>0.58947916666666667</v>
      </c>
      <c r="K106" s="2896">
        <f>0.5659/K101</f>
        <v>0.58947916666666667</v>
      </c>
      <c r="L106" s="2896">
        <f>0.5659/L101</f>
        <v>0.58947916666666667</v>
      </c>
      <c r="M106" s="2896">
        <f>0.5659/M101</f>
        <v>0.58947916666666667</v>
      </c>
      <c r="N106" s="2896">
        <f>0.5659/N101</f>
        <v>0.58947916666666667</v>
      </c>
    </row>
    <row r="107" spans="1:14">
      <c r="A107" s="3330"/>
      <c r="B107" s="2895">
        <v>6</v>
      </c>
      <c r="C107" s="2896">
        <f>0.7608/C101</f>
        <v>0.79250000000000009</v>
      </c>
      <c r="D107" s="2896">
        <f>0.7608/D101</f>
        <v>0.79250000000000009</v>
      </c>
      <c r="E107" s="2896">
        <f>0.6482/E101</f>
        <v>0.67520833333333341</v>
      </c>
      <c r="F107" s="2896">
        <f>0.6482/F101</f>
        <v>0.67520833333333341</v>
      </c>
      <c r="G107" s="2896">
        <f>0.6482/G101</f>
        <v>0.67520833333333341</v>
      </c>
      <c r="H107" s="2896">
        <f>0.6482/H101</f>
        <v>0.67520833333333341</v>
      </c>
      <c r="I107" s="2896">
        <f>0.6482/I101</f>
        <v>0.67520833333333341</v>
      </c>
      <c r="J107" s="2896">
        <f>0.4525/J101</f>
        <v>0.47135416666666669</v>
      </c>
      <c r="K107" s="2896">
        <f>0.4525/K101</f>
        <v>0.47135416666666669</v>
      </c>
      <c r="L107" s="2896">
        <f>0.4525/L101</f>
        <v>0.47135416666666669</v>
      </c>
      <c r="M107" s="2896">
        <f>0.4525/M101</f>
        <v>0.47135416666666669</v>
      </c>
      <c r="N107" s="2896">
        <f>0.4525/N101</f>
        <v>0.47135416666666669</v>
      </c>
    </row>
    <row r="108" spans="1:14">
      <c r="A108" s="3330"/>
      <c r="B108" s="3180"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1"/>
      <c r="B109" s="3181"/>
      <c r="C109" s="2898">
        <f>(-0.163*(C108^2)-0.59*C108+7617)*(10^(-4))/C101</f>
        <v>0.79343750000000013</v>
      </c>
      <c r="D109" s="2898">
        <f>(-0.163*(D108^2)-0.59*D108+7617)*(10^(-4))/D101</f>
        <v>0.79343750000000013</v>
      </c>
      <c r="E109" s="2898">
        <f>(-0.161*(E108^2)-7.509*E108+6533)*(10^(-4))/E101</f>
        <v>0.68052083333333335</v>
      </c>
      <c r="F109" s="2898">
        <f>(-0.161*(F108^2)-7.509*F108+6533)*(10^(-4))/F101</f>
        <v>0.68052083333333335</v>
      </c>
      <c r="G109" s="2898">
        <f>(-0.161*(G108^2)-7.509*G108+6533)*(10^(-4))/G101</f>
        <v>0.68052083333333335</v>
      </c>
      <c r="H109" s="2898">
        <f>(-0.161*(H108^2)-7.509*H108+6533)*(10^(-4))/H101</f>
        <v>0.68052083333333335</v>
      </c>
      <c r="I109" s="2898">
        <f>(-0.161*(I108^2)-7.509*I108+6533)*(10^(-4))/I101</f>
        <v>0.68052083333333335</v>
      </c>
      <c r="J109" s="2898">
        <f>(-0.214*(J108^2)-21.991*J108+4665)*(10^(-4))/J101</f>
        <v>0.48593750000000002</v>
      </c>
      <c r="K109" s="2898">
        <f>(-0.214*(K108^2)-21.991*K108+4665)*(10^(-4))/K101</f>
        <v>0.48593750000000002</v>
      </c>
      <c r="L109" s="2898">
        <f>(-0.214*(L108^2)-21.991*L108+4665)*(10^(-4))/L101</f>
        <v>0.48593750000000002</v>
      </c>
      <c r="M109" s="2898">
        <f>(-0.214*(M108^2)-21.991*M108+4665)*(10^(-4))/M101</f>
        <v>0.48593750000000002</v>
      </c>
      <c r="N109" s="2898">
        <f>(-0.214*(N108^2)-21.991*N108+4665)*(10^(-4))/N101</f>
        <v>0.48593750000000002</v>
      </c>
    </row>
    <row r="110" spans="1:14">
      <c r="A110" s="3327" t="s">
        <v>2969</v>
      </c>
      <c r="B110" s="3327"/>
      <c r="C110" s="3327"/>
      <c r="D110" s="3327"/>
      <c r="E110" s="3327"/>
      <c r="F110" s="3327"/>
      <c r="G110" s="3327"/>
      <c r="H110" s="3327"/>
      <c r="I110" s="3327"/>
      <c r="J110" s="3327"/>
      <c r="K110" s="2901"/>
      <c r="L110" s="2901"/>
      <c r="M110" s="2901"/>
      <c r="N110" s="2901"/>
    </row>
    <row r="112" spans="1:14" ht="13.5" thickBot="1"/>
    <row r="113" spans="1:13" ht="25.5" thickBot="1">
      <c r="A113" s="901" t="s">
        <v>2970</v>
      </c>
      <c r="B113" s="1288">
        <f>G3</f>
        <v>0.96</v>
      </c>
      <c r="C113" s="902" t="s">
        <v>2971</v>
      </c>
      <c r="D113" s="903">
        <f>SUMPRODUCT((A115:A118=F113)*(B114:M114=H113)*B115:M118)</f>
        <v>0</v>
      </c>
      <c r="E113" s="2724" t="s">
        <v>2801</v>
      </c>
      <c r="F113" s="2903">
        <f>E2</f>
        <v>0</v>
      </c>
      <c r="G113" s="2724" t="s">
        <v>2802</v>
      </c>
      <c r="H113" s="2903">
        <f>G2</f>
        <v>0</v>
      </c>
      <c r="I113" s="2724"/>
      <c r="J113" s="2904"/>
      <c r="K113" s="2904"/>
      <c r="L113" s="2904"/>
      <c r="M113" s="2904"/>
    </row>
    <row r="114" spans="1:13">
      <c r="A114" s="906"/>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7" t="s">
        <v>2866</v>
      </c>
      <c r="B115" s="908">
        <f>ROUND(0.9335-0.0094*B113,4)</f>
        <v>0.92449999999999999</v>
      </c>
      <c r="C115" s="908">
        <f>B115</f>
        <v>0.92449999999999999</v>
      </c>
      <c r="D115" s="908">
        <f>ROUND(0.8331-0.0109*B113,4)</f>
        <v>0.8226</v>
      </c>
      <c r="E115" s="908">
        <f>D115</f>
        <v>0.8226</v>
      </c>
      <c r="F115" s="908">
        <f>E115</f>
        <v>0.8226</v>
      </c>
      <c r="G115" s="908">
        <f>F115</f>
        <v>0.8226</v>
      </c>
      <c r="H115" s="908">
        <f>G115</f>
        <v>0.8226</v>
      </c>
      <c r="I115" s="908">
        <f>ROUND(0.689-0.0155*B113,4)</f>
        <v>0.67410000000000003</v>
      </c>
      <c r="J115" s="908">
        <f t="shared" ref="J115:M118" si="33">I115</f>
        <v>0.67410000000000003</v>
      </c>
      <c r="K115" s="908">
        <f t="shared" si="33"/>
        <v>0.67410000000000003</v>
      </c>
      <c r="L115" s="908">
        <f t="shared" si="33"/>
        <v>0.67410000000000003</v>
      </c>
      <c r="M115" s="909">
        <f t="shared" si="33"/>
        <v>0.67410000000000003</v>
      </c>
    </row>
    <row r="116" spans="1:13">
      <c r="A116" s="907" t="s">
        <v>2867</v>
      </c>
      <c r="B116" s="908">
        <f>ROUND(0.949-0.012*B113,4)</f>
        <v>0.9375</v>
      </c>
      <c r="C116" s="908">
        <f>B116</f>
        <v>0.9375</v>
      </c>
      <c r="D116" s="908">
        <f>ROUND(0.8567-0.013*B113,4)</f>
        <v>0.84419999999999995</v>
      </c>
      <c r="E116" s="908">
        <f t="shared" ref="E116:H117" si="34">D116</f>
        <v>0.84419999999999995</v>
      </c>
      <c r="F116" s="908">
        <f t="shared" si="34"/>
        <v>0.84419999999999995</v>
      </c>
      <c r="G116" s="908">
        <f t="shared" si="34"/>
        <v>0.84419999999999995</v>
      </c>
      <c r="H116" s="908">
        <f t="shared" si="34"/>
        <v>0.84419999999999995</v>
      </c>
      <c r="I116" s="908">
        <f>ROUND(0.7694-0.014*B113,4)</f>
        <v>0.75600000000000001</v>
      </c>
      <c r="J116" s="908">
        <f t="shared" si="33"/>
        <v>0.75600000000000001</v>
      </c>
      <c r="K116" s="908">
        <f t="shared" si="33"/>
        <v>0.75600000000000001</v>
      </c>
      <c r="L116" s="908">
        <f t="shared" si="33"/>
        <v>0.75600000000000001</v>
      </c>
      <c r="M116" s="909">
        <f t="shared" si="33"/>
        <v>0.75600000000000001</v>
      </c>
    </row>
    <row r="117" spans="1:13">
      <c r="A117" s="907" t="s">
        <v>2868</v>
      </c>
      <c r="B117" s="908">
        <f>ROUND(0.8808-0.006*B113,4)</f>
        <v>0.875</v>
      </c>
      <c r="C117" s="908">
        <f>B117</f>
        <v>0.875</v>
      </c>
      <c r="D117" s="908">
        <f>ROUND(0.8748-0.008*B113,4)</f>
        <v>0.86709999999999998</v>
      </c>
      <c r="E117" s="908">
        <f t="shared" si="34"/>
        <v>0.86709999999999998</v>
      </c>
      <c r="F117" s="908">
        <f t="shared" si="34"/>
        <v>0.86709999999999998</v>
      </c>
      <c r="G117" s="908">
        <f t="shared" si="34"/>
        <v>0.86709999999999998</v>
      </c>
      <c r="H117" s="908">
        <f t="shared" si="34"/>
        <v>0.86709999999999998</v>
      </c>
      <c r="I117" s="908">
        <f>ROUND(0.7412-0.0095*B113,4)</f>
        <v>0.73209999999999997</v>
      </c>
      <c r="J117" s="908">
        <f t="shared" si="33"/>
        <v>0.73209999999999997</v>
      </c>
      <c r="K117" s="908">
        <f t="shared" si="33"/>
        <v>0.73209999999999997</v>
      </c>
      <c r="L117" s="908">
        <f t="shared" si="33"/>
        <v>0.73209999999999997</v>
      </c>
      <c r="M117" s="909">
        <f t="shared" si="33"/>
        <v>0.73209999999999997</v>
      </c>
    </row>
    <row r="118" spans="1:13" ht="13.5" thickBot="1">
      <c r="A118" s="712" t="s">
        <v>2869</v>
      </c>
      <c r="B118" s="910">
        <f>ROUND(0.7275-0.01*B113,4)</f>
        <v>0.71789999999999998</v>
      </c>
      <c r="C118" s="910">
        <f>B118</f>
        <v>0.71789999999999998</v>
      </c>
      <c r="D118" s="910">
        <f>ROUND(0.7043-0.012*B113,4)</f>
        <v>0.69279999999999997</v>
      </c>
      <c r="E118" s="910">
        <f>D118</f>
        <v>0.69279999999999997</v>
      </c>
      <c r="F118" s="910">
        <f>E118</f>
        <v>0.69279999999999997</v>
      </c>
      <c r="G118" s="910">
        <f>ROUND(0.6299-0.0122*B113,4)</f>
        <v>0.61819999999999997</v>
      </c>
      <c r="H118" s="910">
        <f>G118</f>
        <v>0.61819999999999997</v>
      </c>
      <c r="I118" s="910">
        <f>ROUND(0.5667-0.0136*B113,4)</f>
        <v>0.55359999999999998</v>
      </c>
      <c r="J118" s="910">
        <f t="shared" si="33"/>
        <v>0.55359999999999998</v>
      </c>
      <c r="K118" s="910">
        <f t="shared" si="33"/>
        <v>0.55359999999999998</v>
      </c>
      <c r="L118" s="910">
        <f t="shared" si="33"/>
        <v>0.55359999999999998</v>
      </c>
      <c r="M118" s="911">
        <f t="shared" si="33"/>
        <v>0.55359999999999998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5" t="s">
        <v>183</v>
      </c>
      <c r="B18" s="880" t="s">
        <v>560</v>
      </c>
      <c r="C18" s="881" t="s">
        <v>561</v>
      </c>
      <c r="D18" s="882"/>
      <c r="E18" s="880">
        <v>1</v>
      </c>
      <c r="F18" s="883" t="s">
        <v>562</v>
      </c>
      <c r="G18" s="884"/>
      <c r="H18" s="876"/>
      <c r="I18" s="876"/>
    </row>
    <row r="19" spans="1:9" s="885" customFormat="1" ht="19.5" customHeight="1">
      <c r="A19" s="3335"/>
      <c r="B19" s="3335" t="s">
        <v>563</v>
      </c>
      <c r="C19" s="881" t="s">
        <v>564</v>
      </c>
      <c r="D19" s="882"/>
      <c r="E19" s="880">
        <v>0.9</v>
      </c>
      <c r="F19" s="883" t="s">
        <v>565</v>
      </c>
      <c r="G19" s="884"/>
      <c r="H19" s="876"/>
      <c r="I19" s="876"/>
    </row>
    <row r="20" spans="1:9" s="885" customFormat="1" ht="19.5" customHeight="1">
      <c r="A20" s="3335"/>
      <c r="B20" s="3335"/>
      <c r="C20" s="881" t="s">
        <v>566</v>
      </c>
      <c r="D20" s="882"/>
      <c r="E20" s="880">
        <v>1.1000000000000001</v>
      </c>
      <c r="F20" s="883" t="s">
        <v>567</v>
      </c>
      <c r="G20" s="884"/>
      <c r="H20" s="876"/>
      <c r="I20" s="876"/>
    </row>
    <row r="21" spans="1:9" s="885" customFormat="1" ht="19.5" customHeight="1">
      <c r="A21" s="3335"/>
      <c r="B21" s="3335"/>
      <c r="C21" s="881" t="s">
        <v>568</v>
      </c>
      <c r="D21" s="882"/>
      <c r="E21" s="880">
        <v>0.8</v>
      </c>
      <c r="F21" s="883" t="s">
        <v>569</v>
      </c>
      <c r="G21" s="884"/>
      <c r="H21" s="876"/>
      <c r="I21" s="876"/>
    </row>
    <row r="22" spans="1:9" s="885" customFormat="1" ht="19.5" customHeight="1">
      <c r="A22" s="3335"/>
      <c r="B22" s="3335"/>
      <c r="C22" s="881" t="s">
        <v>570</v>
      </c>
      <c r="D22" s="882"/>
      <c r="E22" s="880">
        <v>0.5</v>
      </c>
      <c r="F22" s="883"/>
      <c r="G22" s="884"/>
      <c r="H22" s="876"/>
      <c r="I22" s="876"/>
    </row>
    <row r="23" spans="1:9" s="885" customFormat="1" ht="19.5" customHeight="1">
      <c r="A23" s="3335" t="s">
        <v>184</v>
      </c>
      <c r="B23" s="880" t="s">
        <v>560</v>
      </c>
      <c r="C23" s="881" t="s">
        <v>571</v>
      </c>
      <c r="D23" s="882"/>
      <c r="E23" s="880">
        <v>1</v>
      </c>
      <c r="F23" s="883" t="s">
        <v>572</v>
      </c>
      <c r="G23" s="884"/>
      <c r="H23" s="876"/>
      <c r="I23" s="876"/>
    </row>
    <row r="24" spans="1:9" s="885" customFormat="1" ht="19.5" customHeight="1">
      <c r="A24" s="3335"/>
      <c r="B24" s="3335" t="s">
        <v>563</v>
      </c>
      <c r="C24" s="881" t="s">
        <v>573</v>
      </c>
      <c r="D24" s="882"/>
      <c r="E24" s="880">
        <v>0.5</v>
      </c>
      <c r="F24" s="883"/>
      <c r="G24" s="884"/>
      <c r="H24" s="876"/>
      <c r="I24" s="876"/>
    </row>
    <row r="25" spans="1:9" s="885" customFormat="1" ht="19.5" customHeight="1">
      <c r="A25" s="3335"/>
      <c r="B25" s="3335"/>
      <c r="C25" s="881" t="s">
        <v>574</v>
      </c>
      <c r="D25" s="882"/>
      <c r="E25" s="880">
        <v>1.1000000000000001</v>
      </c>
      <c r="F25" s="883"/>
      <c r="G25" s="884"/>
      <c r="H25" s="876"/>
      <c r="I25" s="876"/>
    </row>
    <row r="26" spans="1:9" s="885" customFormat="1" ht="19.5" customHeight="1">
      <c r="A26" s="3335"/>
      <c r="B26" s="3335"/>
      <c r="C26" s="881" t="s">
        <v>575</v>
      </c>
      <c r="D26" s="882"/>
      <c r="E26" s="880">
        <v>1.1000000000000001</v>
      </c>
      <c r="F26" s="883"/>
      <c r="G26" s="884"/>
      <c r="H26" s="876"/>
      <c r="I26" s="876"/>
    </row>
    <row r="27" spans="1:9" s="885" customFormat="1" ht="19.5" customHeight="1">
      <c r="A27" s="3335"/>
      <c r="B27" s="3335"/>
      <c r="C27" s="881" t="s">
        <v>576</v>
      </c>
      <c r="D27" s="882"/>
      <c r="E27" s="880">
        <v>0.9</v>
      </c>
      <c r="F27" s="883" t="s">
        <v>577</v>
      </c>
      <c r="G27" s="884"/>
      <c r="H27" s="876"/>
      <c r="I27" s="876"/>
    </row>
    <row r="28" spans="1:9" s="885" customFormat="1" ht="19.5" customHeight="1">
      <c r="A28" s="3335"/>
      <c r="B28" s="3335"/>
      <c r="C28" s="881" t="s">
        <v>578</v>
      </c>
      <c r="D28" s="882"/>
      <c r="E28" s="880">
        <v>0.9</v>
      </c>
      <c r="F28" s="883" t="s">
        <v>579</v>
      </c>
      <c r="G28" s="884"/>
      <c r="H28" s="876"/>
      <c r="I28" s="876"/>
    </row>
    <row r="29" spans="1:9" s="885" customFormat="1" ht="19.5" customHeight="1">
      <c r="A29" s="3335"/>
      <c r="B29" s="3335"/>
      <c r="C29" s="881" t="s">
        <v>580</v>
      </c>
      <c r="D29" s="882"/>
      <c r="E29" s="880">
        <v>0.9</v>
      </c>
      <c r="F29" s="883" t="s">
        <v>581</v>
      </c>
      <c r="G29" s="884"/>
      <c r="H29" s="876"/>
      <c r="I29" s="876"/>
    </row>
    <row r="30" spans="1:9" s="885" customFormat="1" ht="19.5" customHeight="1">
      <c r="A30" s="3335"/>
      <c r="B30" s="3335"/>
      <c r="C30" s="881" t="s">
        <v>582</v>
      </c>
      <c r="D30" s="882"/>
      <c r="E30" s="880">
        <v>0.9</v>
      </c>
      <c r="F30" s="883" t="s">
        <v>583</v>
      </c>
      <c r="G30" s="884"/>
      <c r="H30" s="876"/>
      <c r="I30" s="876"/>
    </row>
    <row r="31" spans="1:9" s="885" customFormat="1" ht="19.5" customHeight="1">
      <c r="A31" s="3335"/>
      <c r="B31" s="3335"/>
      <c r="C31" s="881" t="s">
        <v>584</v>
      </c>
      <c r="D31" s="882"/>
      <c r="E31" s="880">
        <v>0.8</v>
      </c>
      <c r="F31" s="883" t="s">
        <v>585</v>
      </c>
      <c r="G31" s="884"/>
      <c r="H31" s="876"/>
      <c r="I31" s="876"/>
    </row>
    <row r="32" spans="1:9" s="885" customFormat="1" ht="19.5" customHeight="1">
      <c r="A32" s="3335"/>
      <c r="B32" s="3335"/>
      <c r="C32" s="881" t="s">
        <v>586</v>
      </c>
      <c r="D32" s="882"/>
      <c r="E32" s="880">
        <v>0.8</v>
      </c>
      <c r="F32" s="883" t="s">
        <v>587</v>
      </c>
      <c r="G32" s="884"/>
      <c r="H32" s="876"/>
      <c r="I32" s="876"/>
    </row>
    <row r="33" spans="1:9" s="885" customFormat="1" ht="19.5" customHeight="1">
      <c r="A33" s="3335" t="s">
        <v>185</v>
      </c>
      <c r="B33" s="880" t="s">
        <v>560</v>
      </c>
      <c r="C33" s="881" t="s">
        <v>588</v>
      </c>
      <c r="D33" s="882"/>
      <c r="E33" s="880">
        <v>1</v>
      </c>
      <c r="F33" s="883" t="s">
        <v>589</v>
      </c>
      <c r="G33" s="884"/>
      <c r="H33" s="876"/>
      <c r="I33" s="876"/>
    </row>
    <row r="34" spans="1:9" s="885" customFormat="1" ht="19.5" customHeight="1">
      <c r="A34" s="3335"/>
      <c r="B34" s="880" t="s">
        <v>563</v>
      </c>
      <c r="C34" s="881" t="s">
        <v>590</v>
      </c>
      <c r="D34" s="882"/>
      <c r="E34" s="880">
        <v>1.5</v>
      </c>
      <c r="F34" s="883" t="s">
        <v>591</v>
      </c>
      <c r="G34" s="884"/>
      <c r="H34" s="876"/>
      <c r="I34" s="876"/>
    </row>
    <row r="35" spans="1:9" s="885" customFormat="1" ht="19.5" customHeight="1">
      <c r="A35" s="3335" t="s">
        <v>186</v>
      </c>
      <c r="B35" s="880" t="s">
        <v>560</v>
      </c>
      <c r="C35" s="881" t="s">
        <v>592</v>
      </c>
      <c r="D35" s="882"/>
      <c r="E35" s="880">
        <v>1</v>
      </c>
      <c r="F35" s="883" t="s">
        <v>593</v>
      </c>
      <c r="G35" s="884"/>
      <c r="H35" s="876"/>
      <c r="I35" s="876"/>
    </row>
    <row r="36" spans="1:9" s="885" customFormat="1" ht="19.5" customHeight="1">
      <c r="A36" s="3335"/>
      <c r="B36" s="3335" t="s">
        <v>563</v>
      </c>
      <c r="C36" s="881" t="s">
        <v>594</v>
      </c>
      <c r="D36" s="882"/>
      <c r="E36" s="880">
        <v>1</v>
      </c>
      <c r="F36" s="883" t="s">
        <v>595</v>
      </c>
      <c r="G36" s="884"/>
      <c r="H36" s="876"/>
      <c r="I36" s="876"/>
    </row>
    <row r="37" spans="1:9" s="885" customFormat="1" ht="19.5" customHeight="1">
      <c r="A37" s="3335"/>
      <c r="B37" s="3335"/>
      <c r="C37" s="881" t="s">
        <v>596</v>
      </c>
      <c r="D37" s="882"/>
      <c r="E37" s="880">
        <v>1.5</v>
      </c>
      <c r="F37" s="883" t="s">
        <v>597</v>
      </c>
      <c r="G37" s="884"/>
      <c r="H37" s="876"/>
      <c r="I37" s="876"/>
    </row>
    <row r="38" spans="1:9" s="885" customFormat="1" ht="19.5" customHeight="1">
      <c r="A38" s="3335"/>
      <c r="B38" s="3335"/>
      <c r="C38" s="881" t="s">
        <v>598</v>
      </c>
      <c r="D38" s="882"/>
      <c r="E38" s="880">
        <v>1</v>
      </c>
      <c r="F38" s="883" t="s">
        <v>599</v>
      </c>
      <c r="G38" s="884"/>
      <c r="H38" s="876"/>
      <c r="I38" s="876"/>
    </row>
    <row r="39" spans="1:9" s="885" customFormat="1" ht="19.5" customHeight="1">
      <c r="A39" s="3335"/>
      <c r="B39" s="333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5" t="s">
        <v>614</v>
      </c>
      <c r="C61" s="816" t="s">
        <v>615</v>
      </c>
      <c r="D61" s="816" t="s">
        <v>616</v>
      </c>
      <c r="E61" s="893">
        <v>0.5</v>
      </c>
      <c r="F61" s="880">
        <v>80</v>
      </c>
    </row>
    <row r="62" spans="1:8" s="876" customFormat="1" ht="24">
      <c r="A62" s="880">
        <v>2</v>
      </c>
      <c r="B62" s="3335"/>
      <c r="C62" s="816" t="s">
        <v>617</v>
      </c>
      <c r="D62" s="816" t="s">
        <v>618</v>
      </c>
      <c r="E62" s="893">
        <v>0.5</v>
      </c>
      <c r="F62" s="880">
        <v>80</v>
      </c>
    </row>
    <row r="63" spans="1:8" s="876" customFormat="1" ht="36">
      <c r="A63" s="880">
        <v>3</v>
      </c>
      <c r="B63" s="3335"/>
      <c r="C63" s="816" t="s">
        <v>619</v>
      </c>
      <c r="D63" s="816" t="s">
        <v>620</v>
      </c>
      <c r="E63" s="893">
        <v>0.5</v>
      </c>
      <c r="F63" s="880">
        <v>80</v>
      </c>
    </row>
    <row r="64" spans="1:8" s="876" customFormat="1" ht="36">
      <c r="A64" s="880">
        <v>4</v>
      </c>
      <c r="B64" s="3335"/>
      <c r="C64" s="816" t="s">
        <v>621</v>
      </c>
      <c r="D64" s="816" t="s">
        <v>622</v>
      </c>
      <c r="E64" s="893">
        <v>0.4</v>
      </c>
      <c r="F64" s="880">
        <v>60</v>
      </c>
    </row>
    <row r="65" spans="1:6" s="876" customFormat="1" ht="36">
      <c r="A65" s="880">
        <v>5</v>
      </c>
      <c r="B65" s="3335"/>
      <c r="C65" s="816" t="s">
        <v>623</v>
      </c>
      <c r="D65" s="816" t="s">
        <v>624</v>
      </c>
      <c r="E65" s="893">
        <v>0.2</v>
      </c>
      <c r="F65" s="880">
        <v>30</v>
      </c>
    </row>
    <row r="66" spans="1:6" s="876" customFormat="1" ht="36">
      <c r="A66" s="880">
        <v>6</v>
      </c>
      <c r="B66" s="3335"/>
      <c r="C66" s="816" t="s">
        <v>625</v>
      </c>
      <c r="D66" s="816" t="s">
        <v>626</v>
      </c>
      <c r="E66" s="893">
        <v>0.3</v>
      </c>
      <c r="F66" s="880">
        <v>50</v>
      </c>
    </row>
    <row r="67" spans="1:6" s="876" customFormat="1" ht="36">
      <c r="A67" s="880">
        <v>7</v>
      </c>
      <c r="B67" s="3335"/>
      <c r="C67" s="816" t="s">
        <v>627</v>
      </c>
      <c r="D67" s="816" t="s">
        <v>628</v>
      </c>
      <c r="E67" s="893">
        <v>0.2</v>
      </c>
      <c r="F67" s="880">
        <v>30</v>
      </c>
    </row>
    <row r="68" spans="1:6" s="876" customFormat="1" ht="36">
      <c r="A68" s="880">
        <v>8</v>
      </c>
      <c r="B68" s="3335"/>
      <c r="C68" s="816" t="s">
        <v>629</v>
      </c>
      <c r="D68" s="816" t="s">
        <v>630</v>
      </c>
      <c r="E68" s="893">
        <v>0.2</v>
      </c>
      <c r="F68" s="880">
        <v>30</v>
      </c>
    </row>
    <row r="69" spans="1:6" s="876" customFormat="1" ht="36">
      <c r="A69" s="880">
        <v>9</v>
      </c>
      <c r="B69" s="3335"/>
      <c r="C69" s="816" t="s">
        <v>631</v>
      </c>
      <c r="D69" s="816" t="s">
        <v>632</v>
      </c>
      <c r="E69" s="893">
        <v>0.2</v>
      </c>
      <c r="F69" s="880">
        <v>30</v>
      </c>
    </row>
    <row r="70" spans="1:6" s="876" customFormat="1" ht="48">
      <c r="A70" s="880">
        <v>10</v>
      </c>
      <c r="B70" s="3335"/>
      <c r="C70" s="816" t="s">
        <v>633</v>
      </c>
      <c r="D70" s="816" t="s">
        <v>634</v>
      </c>
      <c r="E70" s="893">
        <v>0.2</v>
      </c>
      <c r="F70" s="880">
        <v>30</v>
      </c>
    </row>
    <row r="71" spans="1:6" s="876" customFormat="1" ht="48">
      <c r="A71" s="880">
        <v>11</v>
      </c>
      <c r="B71" s="3335"/>
      <c r="C71" s="816" t="s">
        <v>635</v>
      </c>
      <c r="D71" s="816" t="s">
        <v>636</v>
      </c>
      <c r="E71" s="893">
        <v>0.2</v>
      </c>
      <c r="F71" s="880">
        <v>30</v>
      </c>
    </row>
    <row r="72" spans="1:6" s="876" customFormat="1" ht="36">
      <c r="A72" s="880">
        <v>12</v>
      </c>
      <c r="B72" s="3335"/>
      <c r="C72" s="816" t="s">
        <v>637</v>
      </c>
      <c r="D72" s="816" t="s">
        <v>638</v>
      </c>
      <c r="E72" s="893">
        <v>0.5</v>
      </c>
      <c r="F72" s="880">
        <v>80</v>
      </c>
    </row>
    <row r="73" spans="1:6" s="876" customFormat="1" ht="24">
      <c r="A73" s="880">
        <v>13</v>
      </c>
      <c r="B73" s="3335"/>
      <c r="C73" s="816" t="s">
        <v>639</v>
      </c>
      <c r="D73" s="816" t="s">
        <v>640</v>
      </c>
      <c r="E73" s="893">
        <v>0.4</v>
      </c>
      <c r="F73" s="880">
        <v>60</v>
      </c>
    </row>
    <row r="74" spans="1:6" s="876" customFormat="1" ht="24">
      <c r="A74" s="880">
        <v>14</v>
      </c>
      <c r="B74" s="3335"/>
      <c r="C74" s="816" t="s">
        <v>641</v>
      </c>
      <c r="D74" s="816" t="s">
        <v>642</v>
      </c>
      <c r="E74" s="893">
        <v>0.2</v>
      </c>
      <c r="F74" s="880">
        <v>30</v>
      </c>
    </row>
    <row r="75" spans="1:6" s="876" customFormat="1" ht="24">
      <c r="A75" s="880">
        <v>15</v>
      </c>
      <c r="B75" s="3335"/>
      <c r="C75" s="816" t="s">
        <v>643</v>
      </c>
      <c r="D75" s="816" t="s">
        <v>644</v>
      </c>
      <c r="E75" s="893">
        <v>0.2</v>
      </c>
      <c r="F75" s="880">
        <v>30</v>
      </c>
    </row>
    <row r="76" spans="1:6" s="876" customFormat="1" ht="24">
      <c r="A76" s="880">
        <v>16</v>
      </c>
      <c r="B76" s="3335" t="s">
        <v>645</v>
      </c>
      <c r="C76" s="816" t="s">
        <v>646</v>
      </c>
      <c r="D76" s="816" t="s">
        <v>647</v>
      </c>
      <c r="E76" s="893">
        <v>0.5</v>
      </c>
      <c r="F76" s="880">
        <v>80</v>
      </c>
    </row>
    <row r="77" spans="1:6" s="876" customFormat="1" ht="24">
      <c r="A77" s="880">
        <v>17</v>
      </c>
      <c r="B77" s="3335"/>
      <c r="C77" s="816" t="s">
        <v>648</v>
      </c>
      <c r="D77" s="816" t="s">
        <v>649</v>
      </c>
      <c r="E77" s="893">
        <v>0.5</v>
      </c>
      <c r="F77" s="880">
        <v>80</v>
      </c>
    </row>
    <row r="78" spans="1:6" s="876" customFormat="1" ht="24">
      <c r="A78" s="880">
        <v>18</v>
      </c>
      <c r="B78" s="3335"/>
      <c r="C78" s="816" t="s">
        <v>650</v>
      </c>
      <c r="D78" s="816" t="s">
        <v>651</v>
      </c>
      <c r="E78" s="893">
        <v>0.2</v>
      </c>
      <c r="F78" s="880">
        <v>30</v>
      </c>
    </row>
    <row r="79" spans="1:6" s="876" customFormat="1" ht="24">
      <c r="A79" s="880">
        <v>19</v>
      </c>
      <c r="B79" s="3335"/>
      <c r="C79" s="816" t="s">
        <v>652</v>
      </c>
      <c r="D79" s="816" t="s">
        <v>653</v>
      </c>
      <c r="E79" s="893">
        <v>0.5</v>
      </c>
      <c r="F79" s="880">
        <v>80</v>
      </c>
    </row>
    <row r="80" spans="1:6" s="876" customFormat="1" ht="36">
      <c r="A80" s="880">
        <v>20</v>
      </c>
      <c r="B80" s="3335"/>
      <c r="C80" s="816" t="s">
        <v>654</v>
      </c>
      <c r="D80" s="816" t="s">
        <v>655</v>
      </c>
      <c r="E80" s="893">
        <v>0.2</v>
      </c>
      <c r="F80" s="880">
        <v>30</v>
      </c>
    </row>
    <row r="81" spans="1:6" s="876" customFormat="1" ht="36">
      <c r="A81" s="880">
        <v>21</v>
      </c>
      <c r="B81" s="3335"/>
      <c r="C81" s="816" t="s">
        <v>656</v>
      </c>
      <c r="D81" s="816" t="s">
        <v>657</v>
      </c>
      <c r="E81" s="893">
        <v>0.2</v>
      </c>
      <c r="F81" s="880">
        <v>30</v>
      </c>
    </row>
    <row r="82" spans="1:6" s="876" customFormat="1" ht="48">
      <c r="A82" s="880">
        <v>22</v>
      </c>
      <c r="B82" s="3335"/>
      <c r="C82" s="816" t="s">
        <v>658</v>
      </c>
      <c r="D82" s="816" t="s">
        <v>659</v>
      </c>
      <c r="E82" s="893">
        <v>0.2</v>
      </c>
      <c r="F82" s="880">
        <v>30</v>
      </c>
    </row>
    <row r="83" spans="1:6" s="876" customFormat="1" ht="48">
      <c r="A83" s="880">
        <v>23</v>
      </c>
      <c r="B83" s="3335"/>
      <c r="C83" s="816" t="s">
        <v>660</v>
      </c>
      <c r="D83" s="816" t="s">
        <v>661</v>
      </c>
      <c r="E83" s="893">
        <v>0.2</v>
      </c>
      <c r="F83" s="880">
        <v>30</v>
      </c>
    </row>
    <row r="84" spans="1:6" s="876" customFormat="1" ht="36">
      <c r="A84" s="880">
        <v>24</v>
      </c>
      <c r="B84" s="3335"/>
      <c r="C84" s="816" t="s">
        <v>662</v>
      </c>
      <c r="D84" s="816" t="s">
        <v>663</v>
      </c>
      <c r="E84" s="893">
        <v>0.2</v>
      </c>
      <c r="F84" s="880">
        <v>30</v>
      </c>
    </row>
    <row r="85" spans="1:6" s="876" customFormat="1" ht="36">
      <c r="A85" s="880">
        <v>25</v>
      </c>
      <c r="B85" s="3335"/>
      <c r="C85" s="816" t="s">
        <v>664</v>
      </c>
      <c r="D85" s="816" t="s">
        <v>665</v>
      </c>
      <c r="E85" s="893">
        <v>0.5</v>
      </c>
      <c r="F85" s="880">
        <v>80</v>
      </c>
    </row>
    <row r="86" spans="1:6" s="876" customFormat="1" ht="36">
      <c r="A86" s="880">
        <v>26</v>
      </c>
      <c r="B86" s="3335"/>
      <c r="C86" s="816" t="s">
        <v>666</v>
      </c>
      <c r="D86" s="816" t="s">
        <v>667</v>
      </c>
      <c r="E86" s="893">
        <v>0.2</v>
      </c>
      <c r="F86" s="880">
        <v>30</v>
      </c>
    </row>
    <row r="87" spans="1:6" s="876" customFormat="1" ht="36">
      <c r="A87" s="880">
        <v>27</v>
      </c>
      <c r="B87" s="3335"/>
      <c r="C87" s="816" t="s">
        <v>668</v>
      </c>
      <c r="D87" s="816" t="s">
        <v>669</v>
      </c>
      <c r="E87" s="893">
        <v>0.2</v>
      </c>
      <c r="F87" s="880">
        <v>30</v>
      </c>
    </row>
    <row r="88" spans="1:6" s="876" customFormat="1" ht="36">
      <c r="A88" s="880">
        <v>28</v>
      </c>
      <c r="B88" s="3335"/>
      <c r="C88" s="816" t="s">
        <v>670</v>
      </c>
      <c r="D88" s="816" t="s">
        <v>671</v>
      </c>
      <c r="E88" s="893">
        <v>0.2</v>
      </c>
      <c r="F88" s="880">
        <v>30</v>
      </c>
    </row>
    <row r="89" spans="1:6" s="876" customFormat="1" ht="24">
      <c r="A89" s="880">
        <v>29</v>
      </c>
      <c r="B89" s="3335"/>
      <c r="C89" s="816" t="s">
        <v>672</v>
      </c>
      <c r="D89" s="816" t="s">
        <v>673</v>
      </c>
      <c r="E89" s="893">
        <v>0.2</v>
      </c>
      <c r="F89" s="880">
        <v>30</v>
      </c>
    </row>
    <row r="90" spans="1:6" s="876" customFormat="1" ht="24">
      <c r="A90" s="880">
        <v>30</v>
      </c>
      <c r="B90" s="3335"/>
      <c r="C90" s="816" t="s">
        <v>674</v>
      </c>
      <c r="D90" s="816" t="s">
        <v>675</v>
      </c>
      <c r="E90" s="893">
        <v>0.2</v>
      </c>
      <c r="F90" s="880">
        <v>30</v>
      </c>
    </row>
    <row r="91" spans="1:6" s="876" customFormat="1" ht="36">
      <c r="A91" s="880">
        <v>31</v>
      </c>
      <c r="B91" s="3335"/>
      <c r="C91" s="816" t="s">
        <v>676</v>
      </c>
      <c r="D91" s="816" t="s">
        <v>677</v>
      </c>
      <c r="E91" s="893">
        <v>0.2</v>
      </c>
      <c r="F91" s="880">
        <v>30</v>
      </c>
    </row>
    <row r="92" spans="1:6" s="876" customFormat="1" ht="24">
      <c r="A92" s="880">
        <v>32</v>
      </c>
      <c r="B92" s="3335" t="s">
        <v>678</v>
      </c>
      <c r="C92" s="880" t="s">
        <v>679</v>
      </c>
      <c r="D92" s="816" t="s">
        <v>680</v>
      </c>
      <c r="E92" s="893">
        <v>0.2</v>
      </c>
      <c r="F92" s="880">
        <v>30</v>
      </c>
    </row>
    <row r="93" spans="1:6" s="876" customFormat="1" ht="36">
      <c r="A93" s="880">
        <v>33</v>
      </c>
      <c r="B93" s="3335"/>
      <c r="C93" s="880" t="s">
        <v>681</v>
      </c>
      <c r="D93" s="816" t="s">
        <v>682</v>
      </c>
      <c r="E93" s="893">
        <v>0.2</v>
      </c>
      <c r="F93" s="880">
        <v>30</v>
      </c>
    </row>
    <row r="94" spans="1:6" s="876" customFormat="1" ht="48">
      <c r="A94" s="880">
        <v>34</v>
      </c>
      <c r="B94" s="3335"/>
      <c r="C94" s="880" t="s">
        <v>683</v>
      </c>
      <c r="D94" s="816" t="s">
        <v>684</v>
      </c>
      <c r="E94" s="893">
        <v>0.2</v>
      </c>
      <c r="F94" s="880">
        <v>30</v>
      </c>
    </row>
    <row r="95" spans="1:6" s="876" customFormat="1" ht="36">
      <c r="A95" s="880">
        <v>35</v>
      </c>
      <c r="B95" s="3335"/>
      <c r="C95" s="880" t="s">
        <v>685</v>
      </c>
      <c r="D95" s="816" t="s">
        <v>686</v>
      </c>
      <c r="E95" s="893">
        <v>0.2</v>
      </c>
      <c r="F95" s="880">
        <v>30</v>
      </c>
    </row>
    <row r="96" spans="1:6" s="876" customFormat="1" ht="48">
      <c r="A96" s="880">
        <v>36</v>
      </c>
      <c r="B96" s="3335"/>
      <c r="C96" s="816" t="s">
        <v>687</v>
      </c>
      <c r="D96" s="816" t="s">
        <v>688</v>
      </c>
      <c r="E96" s="893">
        <v>0.2</v>
      </c>
      <c r="F96" s="880">
        <v>30</v>
      </c>
    </row>
    <row r="97" spans="1:6" s="876" customFormat="1" ht="36">
      <c r="A97" s="880">
        <v>37</v>
      </c>
      <c r="B97" s="3335"/>
      <c r="C97" s="880" t="s">
        <v>689</v>
      </c>
      <c r="D97" s="816" t="s">
        <v>690</v>
      </c>
      <c r="E97" s="893">
        <v>0.2</v>
      </c>
      <c r="F97" s="880">
        <v>30</v>
      </c>
    </row>
    <row r="98" spans="1:6" s="876" customFormat="1" ht="36">
      <c r="A98" s="880">
        <v>38</v>
      </c>
      <c r="B98" s="3335"/>
      <c r="C98" s="880" t="s">
        <v>691</v>
      </c>
      <c r="D98" s="816" t="s">
        <v>692</v>
      </c>
      <c r="E98" s="893">
        <v>0.2</v>
      </c>
      <c r="F98" s="880">
        <v>30</v>
      </c>
    </row>
    <row r="99" spans="1:6" s="876" customFormat="1" ht="36">
      <c r="A99" s="880">
        <v>39</v>
      </c>
      <c r="B99" s="3335" t="s">
        <v>693</v>
      </c>
      <c r="C99" s="880" t="s">
        <v>694</v>
      </c>
      <c r="D99" s="816" t="s">
        <v>695</v>
      </c>
      <c r="E99" s="893">
        <v>0.3</v>
      </c>
      <c r="F99" s="880">
        <v>50</v>
      </c>
    </row>
    <row r="100" spans="1:6" s="876" customFormat="1" ht="24">
      <c r="A100" s="880">
        <v>40</v>
      </c>
      <c r="B100" s="3335"/>
      <c r="C100" s="880" t="s">
        <v>696</v>
      </c>
      <c r="D100" s="816" t="s">
        <v>697</v>
      </c>
      <c r="E100" s="893">
        <v>0.2</v>
      </c>
      <c r="F100" s="880">
        <v>30</v>
      </c>
    </row>
    <row r="101" spans="1:6" s="876" customFormat="1" ht="36">
      <c r="A101" s="880">
        <v>41</v>
      </c>
      <c r="B101" s="333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5" t="s">
        <v>708</v>
      </c>
      <c r="C105" s="880" t="s">
        <v>709</v>
      </c>
      <c r="D105" s="816" t="s">
        <v>710</v>
      </c>
      <c r="E105" s="893">
        <v>0.2</v>
      </c>
      <c r="F105" s="880">
        <v>30</v>
      </c>
    </row>
    <row r="106" spans="1:6" s="876" customFormat="1" ht="36">
      <c r="A106" s="880">
        <v>46</v>
      </c>
      <c r="B106" s="3335"/>
      <c r="C106" s="880" t="s">
        <v>711</v>
      </c>
      <c r="D106" s="816" t="s">
        <v>712</v>
      </c>
      <c r="E106" s="893">
        <v>0.2</v>
      </c>
      <c r="F106" s="880">
        <v>30</v>
      </c>
    </row>
    <row r="107" spans="1:6" s="876" customFormat="1" ht="36">
      <c r="A107" s="880">
        <v>47</v>
      </c>
      <c r="B107" s="3335" t="s">
        <v>713</v>
      </c>
      <c r="C107" s="880" t="s">
        <v>714</v>
      </c>
      <c r="D107" s="816" t="s">
        <v>715</v>
      </c>
      <c r="E107" s="893">
        <v>0.3</v>
      </c>
      <c r="F107" s="880">
        <v>50</v>
      </c>
    </row>
    <row r="108" spans="1:6" s="876" customFormat="1" ht="36">
      <c r="A108" s="880">
        <v>48</v>
      </c>
      <c r="B108" s="333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5" t="s">
        <v>724</v>
      </c>
      <c r="C111" s="880" t="s">
        <v>725</v>
      </c>
      <c r="D111" s="816" t="s">
        <v>726</v>
      </c>
      <c r="E111" s="893">
        <v>0.2</v>
      </c>
      <c r="F111" s="880">
        <v>30</v>
      </c>
    </row>
    <row r="112" spans="1:6" s="876" customFormat="1" ht="24">
      <c r="A112" s="880">
        <v>52</v>
      </c>
      <c r="B112" s="3335"/>
      <c r="C112" s="880" t="s">
        <v>727</v>
      </c>
      <c r="D112" s="816" t="s">
        <v>728</v>
      </c>
      <c r="E112" s="893">
        <v>0.2</v>
      </c>
      <c r="F112" s="880">
        <v>30</v>
      </c>
    </row>
    <row r="113" spans="1:6" s="876" customFormat="1" ht="24">
      <c r="A113" s="880">
        <v>53</v>
      </c>
      <c r="B113" s="333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5" t="s">
        <v>737</v>
      </c>
      <c r="C116" s="880" t="s">
        <v>738</v>
      </c>
      <c r="D116" s="816" t="s">
        <v>739</v>
      </c>
      <c r="E116" s="893">
        <v>0.2</v>
      </c>
      <c r="F116" s="880">
        <v>30</v>
      </c>
    </row>
    <row r="117" spans="1:6" ht="36">
      <c r="A117" s="880">
        <v>57</v>
      </c>
      <c r="B117" s="333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5">
        <f ca="1">SUMIF(INDIRECT("'"&amp;A6&amp;"'"&amp;"!C:C"),"建筑面积",INDIRECT("'"&amp;A6&amp;"'"&amp;"!D:D"))</f>
        <v>0</v>
      </c>
    </row>
    <row r="7" spans="1:5" ht="15.75">
      <c r="A7" s="2915"/>
      <c r="B7" s="2911" t="e">
        <f ca="1">SUMIF(INDIRECT("'"&amp;A7&amp;"'"&amp;"!A:A"),"总价",INDIRECT("'"&amp;A7&amp;"'"&amp;"!B:B"))</f>
        <v>#REF!</v>
      </c>
      <c r="C7" s="2910" t="s">
        <v>2985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5" t="e">
        <f t="shared" ca="1" si="0"/>
        <v>#REF!</v>
      </c>
    </row>
    <row r="9" spans="1:5" ht="15.75">
      <c r="A9" s="2915"/>
      <c r="B9" s="2911" t="e">
        <f t="shared" ca="1" si="1"/>
        <v>#REF!</v>
      </c>
      <c r="C9" s="2910" t="s">
        <v>2985</v>
      </c>
      <c r="D9" s="2912"/>
      <c r="E9" s="2575" t="e">
        <f t="shared" ca="1" si="0"/>
        <v>#REF!</v>
      </c>
    </row>
    <row r="10" spans="1:5" ht="15.75">
      <c r="A10" s="2915"/>
      <c r="B10" s="2911" t="e">
        <f t="shared" ca="1" si="1"/>
        <v>#REF!</v>
      </c>
      <c r="C10" s="2910" t="s">
        <v>2985</v>
      </c>
      <c r="D10" s="2912"/>
      <c r="E10" s="2575" t="e">
        <f t="shared" ca="1" si="0"/>
        <v>#REF!</v>
      </c>
    </row>
    <row r="11" spans="1:5" ht="15.75">
      <c r="A11" s="2915"/>
      <c r="B11" s="2911" t="e">
        <f t="shared" ca="1" si="1"/>
        <v>#REF!</v>
      </c>
      <c r="C11" s="2910" t="s">
        <v>2985</v>
      </c>
      <c r="D11" s="2912"/>
      <c r="E11" s="2575" t="e">
        <f t="shared" ca="1" si="0"/>
        <v>#REF!</v>
      </c>
    </row>
    <row r="12" spans="1:5" ht="15.75">
      <c r="A12" s="2915"/>
      <c r="B12" s="2911" t="e">
        <f t="shared" ca="1" si="1"/>
        <v>#REF!</v>
      </c>
      <c r="C12" s="2910" t="s">
        <v>2985</v>
      </c>
      <c r="D12" s="2912"/>
      <c r="E12" s="2575" t="e">
        <f t="shared" ca="1" si="0"/>
        <v>#REF!</v>
      </c>
    </row>
    <row r="13" spans="1:5" ht="15.75">
      <c r="A13" s="2915"/>
      <c r="B13" s="2911" t="e">
        <f t="shared" ca="1" si="1"/>
        <v>#REF!</v>
      </c>
      <c r="C13" s="2910" t="s">
        <v>2985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61"/>
      <c r="B4" s="3025" t="s">
        <v>1630</v>
      </c>
      <c r="C4" s="3025"/>
      <c r="D4" s="3025"/>
      <c r="E4" s="1961"/>
    </row>
    <row r="5" spans="1:5" ht="16.5" thickTop="1">
      <c r="A5" s="1959"/>
      <c r="B5" s="3023" t="s">
        <v>1622</v>
      </c>
      <c r="C5" s="1962" t="s">
        <v>1623</v>
      </c>
      <c r="D5" s="1041">
        <f ca="1">结果表!H101</f>
        <v>37430</v>
      </c>
      <c r="E5" s="1959"/>
    </row>
    <row r="6" spans="1:5" ht="15.75">
      <c r="A6" s="1959"/>
      <c r="B6" s="3023"/>
      <c r="C6" s="1962" t="s">
        <v>1624</v>
      </c>
      <c r="D6" s="1041" t="str">
        <f ca="1">NUMBERSTRING(INT(D5*10000),2)&amp;"元整"</f>
        <v>叁亿柒仟肆佰叁拾万元整</v>
      </c>
      <c r="E6" s="1959"/>
    </row>
    <row r="7" spans="1:5" ht="15.75">
      <c r="A7" s="1959"/>
      <c r="B7" s="3028"/>
      <c r="C7" s="1963" t="s">
        <v>1625</v>
      </c>
      <c r="D7" s="1042">
        <f ca="1">结果表!H102</f>
        <v>28539</v>
      </c>
      <c r="E7" s="1959"/>
    </row>
    <row r="8" spans="1:5" ht="15.75">
      <c r="A8" s="1959"/>
      <c r="B8" s="3029" t="str">
        <f>结果表!E103</f>
        <v>2.估价师知悉的法定优先受偿款</v>
      </c>
      <c r="C8" s="1964" t="s">
        <v>1626</v>
      </c>
      <c r="D8" s="1042">
        <f>结果表!H103</f>
        <v>0</v>
      </c>
      <c r="E8" s="1959"/>
    </row>
    <row r="9" spans="1:5" ht="15.75">
      <c r="A9" s="1959"/>
      <c r="B9" s="3031"/>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22" t="str">
        <f>结果表!E107</f>
        <v>3.房地产抵押价值</v>
      </c>
      <c r="C13" s="1967" t="s">
        <v>1623</v>
      </c>
      <c r="D13" s="1044">
        <f ca="1">结果表!H107</f>
        <v>37430</v>
      </c>
      <c r="E13" s="1959"/>
    </row>
    <row r="14" spans="1:5" ht="15.75">
      <c r="A14" s="1959"/>
      <c r="B14" s="3023"/>
      <c r="C14" s="1962" t="s">
        <v>1624</v>
      </c>
      <c r="D14" s="1041" t="str">
        <f ca="1">NUMBERSTRING(INT(D13*10000),2)&amp;"元整"</f>
        <v>叁亿柒仟肆佰叁拾万元整</v>
      </c>
      <c r="E14" s="1959"/>
    </row>
    <row r="15" spans="1:5" ht="15">
      <c r="A15" s="1959"/>
      <c r="B15" s="3028"/>
      <c r="C15" s="1963" t="s">
        <v>1634</v>
      </c>
      <c r="D15" s="1053">
        <f ca="1">结果表!H108</f>
        <v>22872</v>
      </c>
      <c r="E15" s="1959"/>
    </row>
    <row r="16" spans="1:5" ht="15">
      <c r="A16" s="1959"/>
      <c r="B16" s="3029" t="str">
        <f>结果表!E109</f>
        <v>——</v>
      </c>
      <c r="C16" s="1967" t="s">
        <v>1635</v>
      </c>
      <c r="D16" s="1968" t="str">
        <f>结果表!H109</f>
        <v>——</v>
      </c>
      <c r="E16" s="1959"/>
    </row>
    <row r="17" spans="1:5" ht="15.75">
      <c r="A17" s="1959"/>
      <c r="B17" s="3030"/>
      <c r="C17" s="1962" t="s">
        <v>1636</v>
      </c>
      <c r="D17" s="1041" t="e">
        <f>NUMBERSTRING(INT(D16*10000),2)&amp;"元整"</f>
        <v>#VALUE!</v>
      </c>
      <c r="E17" s="1959"/>
    </row>
    <row r="18" spans="1:5" ht="15">
      <c r="A18" s="1959"/>
      <c r="B18" s="3031"/>
      <c r="C18" s="1963" t="s">
        <v>1625</v>
      </c>
      <c r="D18" s="1053" t="str">
        <f>结果表!H110</f>
        <v>——</v>
      </c>
      <c r="E18" s="1959"/>
    </row>
    <row r="19" spans="1:5" ht="15.75">
      <c r="A19" s="1959"/>
      <c r="B19" s="3022" t="str">
        <f>结果表!E111</f>
        <v>——</v>
      </c>
      <c r="C19" s="1967" t="s">
        <v>1623</v>
      </c>
      <c r="D19" s="1042" t="str">
        <f>结果表!H111</f>
        <v>——</v>
      </c>
      <c r="E19" s="1959"/>
    </row>
    <row r="20" spans="1:5" ht="15.75">
      <c r="A20" s="1959"/>
      <c r="B20" s="3023"/>
      <c r="C20" s="1962" t="s">
        <v>1636</v>
      </c>
      <c r="D20" s="1041" t="e">
        <f>NUMBERSTRING(INT(D19*10000),2)&amp;"元整"</f>
        <v>#VALUE!</v>
      </c>
      <c r="E20" s="1959"/>
    </row>
    <row r="21" spans="1:5" ht="15.75" thickBot="1">
      <c r="A21" s="1959"/>
      <c r="B21" s="3024"/>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1" t="s">
        <v>1150</v>
      </c>
      <c r="C1" s="3341"/>
      <c r="D1" s="3341"/>
      <c r="E1" s="3341"/>
      <c r="F1" s="3341"/>
      <c r="G1" s="3340" t="s">
        <v>1151</v>
      </c>
      <c r="H1" s="3340"/>
      <c r="I1" s="3340"/>
      <c r="J1" s="3340"/>
      <c r="K1" s="3340"/>
      <c r="L1" s="3340"/>
      <c r="N1" s="3340" t="s">
        <v>1152</v>
      </c>
      <c r="O1" s="3340"/>
      <c r="P1" s="3340"/>
      <c r="Q1" s="3340"/>
      <c r="R1" s="1447"/>
      <c r="S1" s="3340" t="s">
        <v>1153</v>
      </c>
      <c r="T1" s="3340"/>
      <c r="U1" s="3340"/>
      <c r="V1" s="3340"/>
      <c r="X1" s="3339" t="s">
        <v>1154</v>
      </c>
      <c r="Y1" s="3340"/>
      <c r="Z1" s="3340"/>
      <c r="AA1" s="3340"/>
      <c r="AB1" s="3340"/>
      <c r="AD1" s="3339" t="s">
        <v>1155</v>
      </c>
      <c r="AE1" s="3340"/>
      <c r="AF1" s="3340"/>
      <c r="AG1" s="3340"/>
      <c r="AH1" s="3340"/>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3025</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3032</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1">
        <v>2018</v>
      </c>
      <c r="H5" s="1730">
        <v>3</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8" t="s">
        <v>3026</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3033</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9"/>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5" thickBot="1">
      <c r="A7" s="1462" t="s">
        <v>3024</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9"/>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3021</v>
      </c>
      <c r="B8" s="1470">
        <v>439</v>
      </c>
      <c r="C8" s="1470">
        <v>327</v>
      </c>
      <c r="D8" s="1470">
        <f>C8</f>
        <v>327</v>
      </c>
      <c r="E8" s="1470">
        <v>627</v>
      </c>
      <c r="F8" s="1471">
        <v>283</v>
      </c>
      <c r="G8" s="2926">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3022</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2"/>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1"/>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2"/>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42">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37"/>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37"/>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38"/>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36">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37"/>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37"/>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38"/>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36">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37"/>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37"/>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38"/>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343">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44"/>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44"/>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45"/>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336">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337"/>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337"/>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338"/>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336">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37">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337">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338">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336">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37">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337">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338">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336">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37">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337">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338">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336">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37">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337">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338">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336">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37">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337">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338">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336">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37">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337">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338">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336">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37">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337">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338">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336">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37">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337">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338">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336">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337">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337">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338">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336">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337">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337">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338">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35419</v>
      </c>
      <c r="C2" s="2" t="s">
        <v>133</v>
      </c>
      <c r="D2" s="242"/>
      <c r="E2" s="242"/>
      <c r="F2" s="242"/>
      <c r="G2" s="242"/>
    </row>
    <row r="3" spans="1:7" s="243" customFormat="1" ht="18" customHeight="1" thickBot="1">
      <c r="A3" s="246" t="s">
        <v>85</v>
      </c>
      <c r="B3" s="247">
        <f ca="1">ROUND(B2*10000/'数据-汇总表'!E3,0)</f>
        <v>21643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430</v>
      </c>
      <c r="F9" s="264"/>
      <c r="G9" s="269"/>
    </row>
    <row r="10" spans="1:7" s="257" customFormat="1" ht="13.5" customHeight="1">
      <c r="A10" s="951" t="s">
        <v>801</v>
      </c>
      <c r="B10" s="267" t="s">
        <v>94</v>
      </c>
      <c r="C10" s="268">
        <f>ROUND(D10*E10/10000,0)</f>
        <v>704</v>
      </c>
      <c r="D10" s="1033">
        <f>'数据-汇总表'!E6</f>
        <v>16365.18</v>
      </c>
      <c r="E10" s="268">
        <f>'数据-取费表'!B28</f>
        <v>430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327</v>
      </c>
      <c r="D19" s="1037">
        <f>'数据-汇总表'!E3</f>
        <v>16365.18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1525</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24</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6.9999999999999999E-4</v>
      </c>
      <c r="D26" s="281"/>
      <c r="E26" s="284"/>
      <c r="F26" s="282"/>
      <c r="G26" s="286"/>
    </row>
    <row r="27" spans="1:7" s="257" customFormat="1" ht="24.75">
      <c r="A27" s="949" t="s">
        <v>787</v>
      </c>
      <c r="B27" s="287" t="s">
        <v>112</v>
      </c>
      <c r="C27" s="288">
        <f>C28</f>
        <v>4485</v>
      </c>
      <c r="D27" s="278">
        <f>C29</f>
        <v>4.1999999999999997E-3</v>
      </c>
      <c r="E27" s="279" t="s">
        <v>126</v>
      </c>
      <c r="F27" s="289">
        <f>'数据-取费表'!Q16</f>
        <v>0.21</v>
      </c>
      <c r="G27" s="290" t="s">
        <v>1069</v>
      </c>
    </row>
    <row r="28" spans="1:7" s="257" customFormat="1" ht="13.5" customHeight="1">
      <c r="A28" s="952" t="s">
        <v>794</v>
      </c>
      <c r="B28" s="291" t="s">
        <v>1062</v>
      </c>
      <c r="C28" s="292">
        <f>ROUND((C5+C19+C20)*F27*'数据-取费表'!B21/'数据-取费表'!B20,0)</f>
        <v>4485</v>
      </c>
      <c r="D28" s="278"/>
      <c r="E28" s="279"/>
      <c r="F28" s="289"/>
      <c r="G28" s="290"/>
    </row>
    <row r="29" spans="1:7" s="257" customFormat="1" ht="13.5" customHeight="1">
      <c r="A29" s="952" t="s">
        <v>792</v>
      </c>
      <c r="B29" s="291" t="s">
        <v>1063</v>
      </c>
      <c r="C29" s="281">
        <f>ROUND(C21*F27*'数据-取费表'!B21/'数据-取费表'!B20,4)</f>
        <v>4.1999999999999997E-3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4949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4423</v>
      </c>
      <c r="D34" s="260"/>
      <c r="E34" s="263"/>
      <c r="F34" s="300">
        <f>IF('数据-取费表'!B24=0,1,'数据-取费表'!N16)</f>
        <v>1</v>
      </c>
      <c r="G34" s="262" t="s">
        <v>116</v>
      </c>
    </row>
    <row r="35" spans="1:7" ht="13.5" customHeight="1">
      <c r="A35" s="952" t="s">
        <v>796</v>
      </c>
      <c r="B35" s="258" t="s">
        <v>60</v>
      </c>
      <c r="C35" s="263">
        <f>ROUND(C34*F35,0)</f>
        <v>133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327</v>
      </c>
      <c r="D37" s="260">
        <f>'数据-汇总表'!E3</f>
        <v>16365.18</v>
      </c>
      <c r="E37" s="292">
        <f>'数据-取费表'!B35</f>
        <v>200</v>
      </c>
      <c r="F37" s="302"/>
      <c r="G37" s="304" t="s">
        <v>119</v>
      </c>
    </row>
    <row r="38" spans="1:7" ht="13.5" customHeight="1">
      <c r="A38" s="952" t="s">
        <v>799</v>
      </c>
      <c r="B38" s="258" t="s">
        <v>63</v>
      </c>
      <c r="C38" s="263">
        <f>ROUND(C34*F38,0)</f>
        <v>66</v>
      </c>
      <c r="D38" s="263"/>
      <c r="E38" s="263"/>
      <c r="F38" s="302">
        <f>'数据-取费表'!B36</f>
        <v>1.4999999999999999E-2</v>
      </c>
      <c r="G38" s="262" t="s">
        <v>117</v>
      </c>
    </row>
    <row r="39" spans="1:7" s="257" customFormat="1" ht="13.5" customHeight="1">
      <c r="A39" s="949" t="s">
        <v>783</v>
      </c>
      <c r="B39" s="253" t="s">
        <v>104</v>
      </c>
      <c r="C39" s="275">
        <f>ROUND(C33*F20,0)</f>
        <v>99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179</v>
      </c>
      <c r="D41" s="278">
        <f ca="1">C44</f>
        <v>6.9999999999999999E-4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175</v>
      </c>
      <c r="D42" s="281"/>
      <c r="E42" s="281"/>
      <c r="F42" s="282"/>
      <c r="G42" s="3207" t="s">
        <v>121</v>
      </c>
    </row>
    <row r="43" spans="1:7" ht="13.5" customHeight="1">
      <c r="A43" s="952" t="s">
        <v>792</v>
      </c>
      <c r="B43" s="258" t="s">
        <v>1064</v>
      </c>
      <c r="C43" s="281">
        <f ca="1">ROUND(IF('数据-取费表'!B22&lt;=1,C39*F22*'数据-取费表'!B21/2,C39*(POWER((1+F22),'数据-取费表'!B21/2)-1)),0)</f>
        <v>4</v>
      </c>
      <c r="D43" s="281"/>
      <c r="E43" s="281"/>
      <c r="F43" s="282"/>
      <c r="G43" s="3208"/>
    </row>
    <row r="44" spans="1:7" ht="13.5" customHeight="1">
      <c r="A44" s="952" t="s">
        <v>793</v>
      </c>
      <c r="B44" s="258" t="s">
        <v>1066</v>
      </c>
      <c r="C44" s="281">
        <f ca="1">ROUND(IF('数据-取费表'!B22&lt;=1,C40*F22*'数据-取费表'!B21/2,C40*(POWER((1+F22),'数据-取费表'!B21/2)-1)),4)</f>
        <v>6.9999999999999999E-4</v>
      </c>
      <c r="D44" s="281"/>
      <c r="E44" s="281"/>
      <c r="F44" s="282"/>
      <c r="G44" s="3209"/>
    </row>
    <row r="45" spans="1:7" s="257" customFormat="1" ht="13.5" customHeight="1">
      <c r="A45" s="949" t="s">
        <v>786</v>
      </c>
      <c r="B45" s="287" t="s">
        <v>112</v>
      </c>
      <c r="C45" s="288">
        <f>C46</f>
        <v>1060</v>
      </c>
      <c r="D45" s="278">
        <f>C47</f>
        <v>4.1999999999999997E-3</v>
      </c>
      <c r="E45" s="279" t="s">
        <v>129</v>
      </c>
      <c r="F45" s="289"/>
      <c r="G45" s="290" t="s">
        <v>1072</v>
      </c>
    </row>
    <row r="46" spans="1:7" s="257" customFormat="1" ht="13.5" customHeight="1">
      <c r="A46" s="952" t="s">
        <v>794</v>
      </c>
      <c r="B46" s="291" t="s">
        <v>1065</v>
      </c>
      <c r="C46" s="292">
        <f>ROUND((C33+C39)*F27,0)</f>
        <v>1060</v>
      </c>
      <c r="D46" s="306"/>
      <c r="E46" s="279"/>
      <c r="F46" s="289"/>
      <c r="G46" s="290"/>
    </row>
    <row r="47" spans="1:7" s="257" customFormat="1" ht="13.5" customHeight="1">
      <c r="A47" s="952" t="s">
        <v>792</v>
      </c>
      <c r="B47" s="291" t="s">
        <v>1067</v>
      </c>
      <c r="C47" s="281">
        <f>ROUND(C40*F27,4)</f>
        <v>4.1999999999999997E-3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6821</v>
      </c>
      <c r="D49" s="275"/>
      <c r="E49" s="275"/>
      <c r="F49" s="307"/>
      <c r="G49" s="277" t="s">
        <v>1073</v>
      </c>
    </row>
    <row r="50" spans="1:7" s="301" customFormat="1" ht="24">
      <c r="A50" s="949" t="s">
        <v>789</v>
      </c>
      <c r="B50" s="253" t="s">
        <v>124</v>
      </c>
      <c r="C50" s="275"/>
      <c r="D50" s="275"/>
      <c r="E50" s="275"/>
      <c r="F50" s="307">
        <f>IF('数据-取费表'!B24=0,'数据-取费表'!N16,1)</f>
        <v>0.84</v>
      </c>
      <c r="G50" s="290" t="s">
        <v>125</v>
      </c>
    </row>
    <row r="51" spans="1:7" ht="16.5" customHeight="1">
      <c r="A51" s="949" t="s">
        <v>790</v>
      </c>
      <c r="B51" s="253" t="s">
        <v>132</v>
      </c>
      <c r="C51" s="275">
        <f ca="1">ROUND(C49*F50,0)</f>
        <v>5730</v>
      </c>
      <c r="D51" s="275"/>
      <c r="E51" s="275"/>
      <c r="F51" s="307"/>
      <c r="G51" s="277" t="s">
        <v>64</v>
      </c>
    </row>
    <row r="52" spans="1:7" s="251" customFormat="1" ht="16.5" thickBot="1">
      <c r="A52" s="308" t="s">
        <v>65</v>
      </c>
      <c r="B52" s="309"/>
      <c r="C52" s="310">
        <f ca="1">C31+C51</f>
        <v>35419</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6" t="s">
        <v>156</v>
      </c>
      <c r="B1" s="3346"/>
      <c r="C1" s="3346"/>
      <c r="D1" s="3346"/>
      <c r="E1" s="3346"/>
      <c r="F1" s="334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7" t="s">
        <v>169</v>
      </c>
      <c r="B2" s="3347"/>
      <c r="C2" s="3347"/>
      <c r="D2" s="3347"/>
      <c r="E2" s="3347"/>
      <c r="F2" s="334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6" t="s">
        <v>871</v>
      </c>
      <c r="B1" s="334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43344</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topLeftCell="F1" workbookViewId="0">
      <selection activeCell="L17" sqref="L17"/>
    </sheetView>
  </sheetViews>
  <sheetFormatPr defaultRowHeight="13.5"/>
  <cols>
    <col min="1" max="1" width="5.25" bestFit="1" customWidth="1"/>
    <col min="2" max="2" width="9.25" customWidth="1"/>
    <col min="3" max="3" width="16.875" bestFit="1" customWidth="1"/>
    <col min="4" max="4" width="16.875" customWidth="1"/>
    <col min="5" max="5" width="10" customWidth="1"/>
    <col min="6" max="6" width="31.75" bestFit="1" customWidth="1"/>
    <col min="8" max="8" width="10.125" bestFit="1" customWidth="1"/>
    <col min="9" max="9" width="17.25" bestFit="1" customWidth="1"/>
    <col min="11" max="11" width="11" bestFit="1" customWidth="1"/>
    <col min="12" max="12" width="11.625" style="2997" bestFit="1" customWidth="1"/>
    <col min="13" max="13" width="9.5" style="2997" bestFit="1" customWidth="1"/>
    <col min="14" max="14" width="11.625" style="2997" bestFit="1" customWidth="1"/>
    <col min="15" max="15" width="9.5" style="2997" bestFit="1" customWidth="1"/>
    <col min="16" max="16" width="11.625" style="2997" bestFit="1" customWidth="1"/>
    <col min="17" max="17" width="9" style="2997"/>
    <col min="18" max="18" width="11.625" style="2997" bestFit="1" customWidth="1"/>
    <col min="19" max="19" width="9.5" style="2997" bestFit="1" customWidth="1"/>
    <col min="20" max="20" width="11.625" style="2997" bestFit="1" customWidth="1"/>
    <col min="21" max="21" width="9" style="2997"/>
    <col min="22" max="22" width="11.625" style="2997" bestFit="1" customWidth="1"/>
    <col min="23" max="23" width="9" style="2997"/>
    <col min="24" max="24" width="11.625" style="2997" bestFit="1" customWidth="1"/>
    <col min="25" max="25" width="9" style="2997"/>
    <col min="26" max="26" width="11.625" style="2997" bestFit="1" customWidth="1"/>
    <col min="27" max="27" width="9.5" style="2997" bestFit="1" customWidth="1"/>
    <col min="28" max="28" width="11.625" style="2997" bestFit="1" customWidth="1"/>
    <col min="29" max="29" width="9.5" style="2997" bestFit="1" customWidth="1"/>
    <col min="30" max="30" width="11.625" style="2997" bestFit="1" customWidth="1"/>
    <col min="31" max="31" width="9.5" bestFit="1" customWidth="1"/>
    <col min="32" max="32" width="11.625" bestFit="1" customWidth="1"/>
  </cols>
  <sheetData>
    <row r="1" spans="1:32">
      <c r="A1" s="2944" t="s">
        <v>3108</v>
      </c>
      <c r="B1" s="2944" t="s">
        <v>3235</v>
      </c>
      <c r="C1" s="2963" t="s">
        <v>3116</v>
      </c>
      <c r="D1" s="2944" t="s">
        <v>3234</v>
      </c>
      <c r="E1" s="2944" t="s">
        <v>3233</v>
      </c>
      <c r="F1" s="2963" t="s">
        <v>3118</v>
      </c>
      <c r="G1" s="2963" t="s">
        <v>3117</v>
      </c>
      <c r="H1" s="2963" t="s">
        <v>3231</v>
      </c>
      <c r="I1" s="2963" t="s">
        <v>3232</v>
      </c>
      <c r="J1" s="2963" t="s">
        <v>3119</v>
      </c>
      <c r="K1" s="2969">
        <v>43344</v>
      </c>
      <c r="L1" s="2999">
        <v>43465</v>
      </c>
      <c r="M1" s="2999">
        <v>43466</v>
      </c>
      <c r="N1" s="2999">
        <v>43830</v>
      </c>
      <c r="O1" s="2999">
        <v>43831</v>
      </c>
      <c r="P1" s="2999">
        <v>44196</v>
      </c>
      <c r="Q1" s="2999">
        <v>44197</v>
      </c>
      <c r="R1" s="2999">
        <v>44561</v>
      </c>
      <c r="S1" s="2999">
        <v>44562</v>
      </c>
      <c r="T1" s="2999">
        <v>44926</v>
      </c>
      <c r="U1" s="2999">
        <v>44927</v>
      </c>
      <c r="V1" s="2999">
        <v>45291</v>
      </c>
      <c r="W1" s="2999">
        <v>45292</v>
      </c>
      <c r="X1" s="2999">
        <v>45657</v>
      </c>
      <c r="Y1" s="2999">
        <v>45658</v>
      </c>
      <c r="Z1" s="2999">
        <v>46022</v>
      </c>
      <c r="AA1" s="2999">
        <v>46023</v>
      </c>
      <c r="AB1" s="2999">
        <v>46387</v>
      </c>
      <c r="AC1" s="2999">
        <v>46388</v>
      </c>
      <c r="AD1" s="2999">
        <v>46599</v>
      </c>
      <c r="AE1" s="2969"/>
      <c r="AF1" s="2969"/>
    </row>
    <row r="2" spans="1:32">
      <c r="A2" s="2945">
        <v>2</v>
      </c>
      <c r="B2" s="2944" t="s">
        <v>3236</v>
      </c>
      <c r="C2" s="3003" t="s">
        <v>3241</v>
      </c>
      <c r="D2" s="3000">
        <f>SUM(面积!E5:E16)</f>
        <v>7843.91</v>
      </c>
      <c r="E2" s="2997">
        <v>6477.4</v>
      </c>
      <c r="F2" s="2963" t="s">
        <v>3121</v>
      </c>
      <c r="G2" s="2964">
        <v>1.6</v>
      </c>
      <c r="H2" s="2987">
        <v>0.01</v>
      </c>
      <c r="I2" s="2986" t="s">
        <v>3214</v>
      </c>
      <c r="J2" s="2964">
        <v>1.6</v>
      </c>
      <c r="L2" s="2997">
        <f>ROUND(J2*E2*(L1-K1),0)</f>
        <v>1254025</v>
      </c>
      <c r="N2" s="2997">
        <f>ROUND(J2*(1+H2)*E2*(N1-M1),0)</f>
        <v>3810162</v>
      </c>
      <c r="P2" s="2997">
        <f>ROUND(J2*(1+H2)^2*E2*($P$1-$O$1),0)</f>
        <v>3858836</v>
      </c>
      <c r="R2" s="2997">
        <f>ROUND(J2*(1+H2)^3*E2*($R$1-$Q$1),0)</f>
        <v>3886746</v>
      </c>
      <c r="T2" s="2997">
        <f>ROUND(J2*(1+H2)^4*E2*($T$1-$S$1),0)</f>
        <v>3925614</v>
      </c>
      <c r="V2" s="2997">
        <f>ROUND(J2*(1+H2)^5*E2*($V$1-$U$1),0)</f>
        <v>3964870</v>
      </c>
      <c r="X2" s="2997">
        <f>ROUND(J2*(1+H2)^6*E2*($X$1-$W$1),0)</f>
        <v>4015520</v>
      </c>
      <c r="Z2" s="2997">
        <f>ROUND(J2*(1+H2)^7*E2*($Z$1-$Y$1),0)</f>
        <v>4044564</v>
      </c>
      <c r="AB2" s="2997">
        <f>ROUND(J2*(1+H2)^8*E2*($AB$1-$AA$1),0)</f>
        <v>4085010</v>
      </c>
      <c r="AD2" s="2997">
        <f>ROUND(J2*(1+H2)^9*E2*($AD$1-$AC$1),0)</f>
        <v>2391638</v>
      </c>
    </row>
    <row r="3" spans="1:32">
      <c r="A3" s="2945">
        <v>5</v>
      </c>
      <c r="B3" s="2944" t="s">
        <v>3237</v>
      </c>
      <c r="C3" s="2965" t="s">
        <v>3238</v>
      </c>
      <c r="D3" s="3001">
        <v>1060</v>
      </c>
      <c r="E3" s="2998">
        <v>1060</v>
      </c>
      <c r="F3" s="2965" t="s">
        <v>3123</v>
      </c>
      <c r="G3" s="2966">
        <v>1.06</v>
      </c>
      <c r="H3" s="2988">
        <v>0.05</v>
      </c>
      <c r="I3" s="2967">
        <v>0.05</v>
      </c>
      <c r="J3" s="2966">
        <v>1.06</v>
      </c>
      <c r="L3" s="2997">
        <f>ROUND(J3*E3*(L1-K1),0)</f>
        <v>135956</v>
      </c>
      <c r="N3" s="2997">
        <f>ROUND(G3*(1+H3)*E3*(N1-M1),0)</f>
        <v>429440</v>
      </c>
      <c r="P3" s="2997">
        <f>ROUND(J3*(1+H3)^2*E3*($P$1-$O$1),0)</f>
        <v>452151</v>
      </c>
      <c r="R3" s="2997">
        <f>ROUND(J3*(1+H3)^3*E3*($R$1-$Q$1),0)</f>
        <v>473458</v>
      </c>
      <c r="T3" s="2997">
        <f>ROUND(J3*(1+H3)^4*E3*($T$1-$S$1),0)</f>
        <v>497130</v>
      </c>
      <c r="V3" s="2997">
        <f>ROUND(J3*(1+H3)^5*E3*($V$1-$U$1),0)</f>
        <v>521987</v>
      </c>
      <c r="X3" s="2997">
        <f>ROUND(J3*(1+H3)^6*E3*($X$1-$W$1),0)</f>
        <v>549592</v>
      </c>
      <c r="Z3" s="2997">
        <f>ROUND(J3*(1+H3)^7*E3*($Z$1-$Y$1),0)</f>
        <v>575491</v>
      </c>
      <c r="AB3" s="2997">
        <f>ROUND(J3*(1+H3)^8*E3*($AB$1-$AA$1),0)</f>
        <v>604265</v>
      </c>
      <c r="AD3" s="2997">
        <f>ROUND(J3*(1+H3)^9*E3*($AD$1-$AC$1),0)</f>
        <v>367788</v>
      </c>
    </row>
    <row r="4" spans="1:32">
      <c r="A4" s="2945">
        <v>6</v>
      </c>
      <c r="B4" s="2944" t="s">
        <v>3239</v>
      </c>
      <c r="C4" s="2963" t="s">
        <v>3124</v>
      </c>
      <c r="D4" s="3000">
        <f>357.29+316.85+420.05</f>
        <v>1094.19</v>
      </c>
      <c r="E4" s="2997">
        <v>877.89</v>
      </c>
      <c r="F4" s="2963" t="s">
        <v>3125</v>
      </c>
      <c r="G4" s="2964">
        <v>5</v>
      </c>
      <c r="H4" s="2987">
        <v>0.05</v>
      </c>
      <c r="I4" s="2963" t="s">
        <v>3213</v>
      </c>
      <c r="J4" s="2964">
        <v>5</v>
      </c>
      <c r="L4" s="2997">
        <f>ROUND(J4*E4*(L1-K1),0)</f>
        <v>531123</v>
      </c>
      <c r="N4" s="2997">
        <f>ROUND(J4*(1+H4)*E4*(N1-M1),0)</f>
        <v>1677648</v>
      </c>
      <c r="P4" s="2997">
        <f>ROUND(J4*(1+H4)^2*E4*($P$1-$O$1),0)</f>
        <v>1766370</v>
      </c>
      <c r="R4" s="2997">
        <f>ROUND(J4*(1+H4)^3*E4*($R$1-$Q$1),0)</f>
        <v>1849607</v>
      </c>
      <c r="T4" s="2997">
        <f>ROUND(J4*(1+H4)^4*E4*($T$1-$S$1),0)</f>
        <v>1942087</v>
      </c>
      <c r="V4" s="2997">
        <f>ROUND(J4*(1+H4)^5*E4*($V$1-$U$1),0)</f>
        <v>2039191</v>
      </c>
      <c r="X4" s="2997">
        <f>ROUND(J4*(1+H4)^6*E4*($X$1-$W$1),0)</f>
        <v>2147033</v>
      </c>
      <c r="Z4" s="2997">
        <f>ROUND(J4*(1+H4)^7*E4*($Z$1-$Y$1),0)</f>
        <v>2248208</v>
      </c>
      <c r="AB4" s="2997">
        <f>ROUND(J4*(1+H4)^8*E4*($AB$1-$AA$1),0)</f>
        <v>2360619</v>
      </c>
      <c r="AD4" s="2997">
        <f>ROUND(J4*(1+H4)^9*E4*($AD$1-$AC$1),0)</f>
        <v>1436800</v>
      </c>
    </row>
    <row r="5" spans="1:32">
      <c r="A5" s="2945">
        <v>7</v>
      </c>
      <c r="B5" s="2944" t="s">
        <v>3240</v>
      </c>
      <c r="C5" s="2963" t="s">
        <v>3126</v>
      </c>
      <c r="D5" s="3004">
        <f>面积!E17+面积!E18-D3</f>
        <v>3117.08</v>
      </c>
      <c r="E5" s="2997">
        <v>2674.5</v>
      </c>
      <c r="F5" s="2963" t="s">
        <v>3127</v>
      </c>
      <c r="G5" s="2964">
        <v>2.2000000000000002</v>
      </c>
      <c r="H5" s="2987">
        <v>2.5000000000000001E-2</v>
      </c>
      <c r="I5" s="2962" t="s">
        <v>3128</v>
      </c>
      <c r="J5" s="2964">
        <v>2.4300000000000002</v>
      </c>
      <c r="L5" s="2997">
        <f>ROUND(J5*E5*(L1-K1),0)</f>
        <v>786383</v>
      </c>
      <c r="N5" s="2997">
        <f>ROUND(J5*(1+H5)*E5*(N1-M1),0)</f>
        <v>2424790</v>
      </c>
      <c r="P5" s="2997">
        <f>ROUND(J5*(1+H5)^2*E5*($P$1-$O$1),0)</f>
        <v>2492238</v>
      </c>
      <c r="R5" s="2997">
        <f>ROUND(J5*(1+H5)^3*E5*($R$1-$Q$1),0)</f>
        <v>2547545</v>
      </c>
      <c r="T5" s="2997">
        <f>ROUND(J5*(1+H5)^4*E5*($T$1-$S$1),0)</f>
        <v>2611234</v>
      </c>
      <c r="V5" s="2997">
        <f>ROUND(J5*(1+H5)^5*E5*($V$1-$U$1),0)</f>
        <v>2676514</v>
      </c>
      <c r="X5" s="2997">
        <f>ROUND(J5*(1+H5)^6*E5*($X$1-$W$1),0)</f>
        <v>2750964</v>
      </c>
      <c r="Z5" s="2997">
        <f>ROUND(J5*(1+H5)^7*E5*($Z$1-$Y$1),0)</f>
        <v>2812013</v>
      </c>
      <c r="AB5" s="2997">
        <f>ROUND(J5*(1+H5)^8*E5*($AB$1-$AA$1),0)</f>
        <v>2882313</v>
      </c>
      <c r="AD5" s="2997">
        <f>ROUND(J5*(1+H5)^9*E5*($AD$1-$AC$1),0)</f>
        <v>1712561</v>
      </c>
    </row>
    <row r="6" spans="1:32">
      <c r="A6" s="2945">
        <v>8</v>
      </c>
      <c r="B6" s="2945"/>
      <c r="C6" s="2963" t="s">
        <v>3230</v>
      </c>
      <c r="D6" s="3002">
        <f>D7-D2-D3-D4-D5</f>
        <v>0</v>
      </c>
      <c r="E6" s="2997">
        <f>D7-SUM(E2:E5)</f>
        <v>2025.3900000000012</v>
      </c>
      <c r="F6" s="2963" t="s">
        <v>3223</v>
      </c>
      <c r="G6" s="2964"/>
      <c r="H6" s="2987"/>
      <c r="I6" s="2962"/>
      <c r="J6" s="2964"/>
    </row>
    <row r="7" spans="1:32">
      <c r="A7" s="2945">
        <v>9</v>
      </c>
      <c r="B7" s="2945"/>
      <c r="C7" s="2963" t="s">
        <v>3129</v>
      </c>
      <c r="D7" s="2997">
        <f>SUM(面积!E2:E18)</f>
        <v>13115.18</v>
      </c>
      <c r="E7">
        <f>SUM(E2:E6)</f>
        <v>13115.18</v>
      </c>
      <c r="I7" s="2962" t="s">
        <v>3220</v>
      </c>
      <c r="J7">
        <f>租金!E25</f>
        <v>4.67</v>
      </c>
      <c r="K7" s="2962" t="s">
        <v>3215</v>
      </c>
      <c r="L7" s="2997">
        <f>SUM(L2:L5)</f>
        <v>2707487</v>
      </c>
      <c r="N7" s="2997">
        <f>SUM(N2:N5)</f>
        <v>8342040</v>
      </c>
      <c r="P7" s="2997">
        <f>SUM(P2:P5)</f>
        <v>8569595</v>
      </c>
      <c r="R7" s="2997">
        <f>SUM(R2:R5)</f>
        <v>8757356</v>
      </c>
      <c r="T7" s="2997">
        <f>SUM(T2:T5)</f>
        <v>8976065</v>
      </c>
      <c r="V7" s="2997">
        <f>SUM(V2:V5)</f>
        <v>9202562</v>
      </c>
      <c r="X7" s="2997">
        <f>SUM(X2:X5)</f>
        <v>9463109</v>
      </c>
      <c r="Z7" s="2997">
        <f>SUM(Z2:Z5)</f>
        <v>9680276</v>
      </c>
      <c r="AB7" s="2997">
        <f>SUM(AB2:AB5)</f>
        <v>9932207</v>
      </c>
      <c r="AD7" s="2997">
        <f>SUM(AD2:AD5)</f>
        <v>5908787</v>
      </c>
    </row>
    <row r="8" spans="1:32">
      <c r="A8" s="2945">
        <v>10</v>
      </c>
      <c r="B8" s="2945"/>
      <c r="D8" s="3000"/>
      <c r="E8" s="2997"/>
      <c r="I8" s="3007" t="s">
        <v>3222</v>
      </c>
      <c r="J8" s="3016">
        <v>0.04</v>
      </c>
      <c r="K8" s="2962" t="s">
        <v>3216</v>
      </c>
      <c r="L8" s="2997">
        <f>SUM(L7:AD7)</f>
        <v>81539484</v>
      </c>
    </row>
    <row r="9" spans="1:32">
      <c r="A9" s="2945">
        <v>11</v>
      </c>
      <c r="B9" s="2945"/>
      <c r="C9" s="2963"/>
      <c r="D9" s="3000"/>
      <c r="E9" s="3005"/>
      <c r="F9" s="2963"/>
      <c r="G9" s="2964"/>
      <c r="H9" s="2963"/>
      <c r="I9" s="3007" t="s">
        <v>3221</v>
      </c>
      <c r="J9" s="3007">
        <f>ROUND(J7*(1+J8)^L9,2)</f>
        <v>6.63</v>
      </c>
      <c r="K9" s="3007" t="s">
        <v>3217</v>
      </c>
      <c r="L9" s="3008">
        <f>ROUND((AD1-K1)/365,2)</f>
        <v>8.92</v>
      </c>
    </row>
    <row r="10" spans="1:32">
      <c r="A10" s="2945">
        <v>12</v>
      </c>
      <c r="B10" s="2945"/>
      <c r="D10" s="3000"/>
      <c r="K10" s="2962" t="s">
        <v>3218</v>
      </c>
      <c r="L10" s="2997">
        <f>ROUND(L8/L9,0)</f>
        <v>9141198</v>
      </c>
    </row>
    <row r="11" spans="1:32">
      <c r="A11" s="2945">
        <v>13</v>
      </c>
      <c r="B11" s="2945"/>
      <c r="D11" s="3000"/>
      <c r="E11" s="3006"/>
      <c r="K11" s="3007" t="s">
        <v>3219</v>
      </c>
      <c r="L11" s="3008">
        <f>ROUND(L10/365/D7,2)</f>
        <v>1.91</v>
      </c>
    </row>
    <row r="12" spans="1:32">
      <c r="A12" s="2945">
        <v>18</v>
      </c>
      <c r="B12" s="2945"/>
      <c r="C12" s="2963" t="s">
        <v>3120</v>
      </c>
      <c r="D12" s="2963"/>
      <c r="E12" s="2997">
        <v>3250</v>
      </c>
      <c r="F12" s="2963" t="s">
        <v>3121</v>
      </c>
      <c r="G12" s="2964">
        <v>0.17</v>
      </c>
      <c r="H12" s="2986">
        <v>0.01</v>
      </c>
      <c r="I12" s="2963" t="s">
        <v>3122</v>
      </c>
      <c r="J12" s="2964">
        <v>0.17</v>
      </c>
      <c r="L12" s="2997">
        <f>ROUND($J$12*$E$12*(L1-K1),0)</f>
        <v>66853</v>
      </c>
      <c r="N12" s="2997">
        <f>ROUND($J$12*(1+$H$12)*$E$12*(N1-M1),0)</f>
        <v>203121</v>
      </c>
      <c r="P12" s="2997">
        <f>ROUND($J$12*(1+$H$12)^2*$E$12*(P1-O1),0)</f>
        <v>205716</v>
      </c>
      <c r="R12" s="2997">
        <f>ROUND($J$12*(1+$H$12)^3*$E$12*(R1-Q1),0)</f>
        <v>207204</v>
      </c>
      <c r="T12" s="2997">
        <f>ROUND($J$12*(1+$H$12)^4*$E$12*(T1-S1),0)</f>
        <v>209276</v>
      </c>
      <c r="V12" s="2997">
        <f>ROUND($J$12*(1+$H$12)^5*$E$12*(V1-U1),0)</f>
        <v>211369</v>
      </c>
      <c r="X12" s="2997">
        <f>ROUND($J$12*(1+$H$12)^6*$E$12*(X1-W1),0)</f>
        <v>214069</v>
      </c>
      <c r="Z12" s="2997">
        <f>ROUND($J$12*(1+$H$12)^7*$E$12*(Z1-Y1),0)</f>
        <v>215617</v>
      </c>
      <c r="AB12" s="2997">
        <f>ROUND($J$12*(1+$H$12)^8*$E$12*(AB1-AA1),0)</f>
        <v>217773</v>
      </c>
      <c r="AD12" s="2997">
        <f>ROUND($J$12*(1+$H$12)^9*$E$12*(AD1-AC1),0)</f>
        <v>127499</v>
      </c>
    </row>
    <row r="13" spans="1:32">
      <c r="A13" s="2945">
        <v>19</v>
      </c>
      <c r="B13" s="2945"/>
      <c r="I13" s="3007" t="s">
        <v>3220</v>
      </c>
      <c r="J13" s="3007">
        <v>300</v>
      </c>
      <c r="K13" s="2962" t="s">
        <v>3216</v>
      </c>
      <c r="L13" s="2997">
        <f>SUM(L12:AD12)</f>
        <v>1878497</v>
      </c>
    </row>
    <row r="14" spans="1:32">
      <c r="A14" s="2945">
        <v>20</v>
      </c>
      <c r="B14" s="2945"/>
      <c r="I14" s="3007" t="s">
        <v>3222</v>
      </c>
      <c r="J14" s="3016">
        <v>0.04</v>
      </c>
      <c r="K14" s="3007" t="s">
        <v>3217</v>
      </c>
      <c r="L14" s="3008">
        <f>ROUND((AD1-K1)/365,2)</f>
        <v>8.92</v>
      </c>
    </row>
    <row r="15" spans="1:32">
      <c r="A15" s="2945">
        <v>21</v>
      </c>
      <c r="B15" s="2945"/>
      <c r="I15" s="3007" t="s">
        <v>3221</v>
      </c>
      <c r="J15" s="3007">
        <f>ROUND(J13*(1+J14)^L14,2)</f>
        <v>425.66</v>
      </c>
      <c r="K15" s="2962" t="s">
        <v>3218</v>
      </c>
      <c r="L15" s="2997">
        <f>ROUND(L13/L14,0)</f>
        <v>210594</v>
      </c>
    </row>
    <row r="16" spans="1:32">
      <c r="A16" s="2945">
        <v>22</v>
      </c>
      <c r="B16" s="2945"/>
      <c r="E16" s="2962"/>
      <c r="F16" s="2962"/>
      <c r="I16" s="2962"/>
      <c r="K16" s="3007" t="s">
        <v>3219</v>
      </c>
      <c r="L16" s="3008">
        <f>ROUND(L15/365/E12,2)</f>
        <v>0.18</v>
      </c>
    </row>
    <row r="17" spans="3:12">
      <c r="C17" s="2962"/>
      <c r="D17" s="2962"/>
      <c r="K17" s="2962" t="s">
        <v>3242</v>
      </c>
      <c r="L17" s="2997">
        <f>ROUND(L15/12/92,2)</f>
        <v>190.76</v>
      </c>
    </row>
    <row r="18" spans="3:12">
      <c r="C18" s="2994" t="s">
        <v>3224</v>
      </c>
      <c r="D18" s="2962" t="s">
        <v>3225</v>
      </c>
      <c r="E18" s="2962" t="s">
        <v>3228</v>
      </c>
      <c r="F18" s="2962" t="s">
        <v>3229</v>
      </c>
    </row>
    <row r="19" spans="3:12">
      <c r="C19" s="2995">
        <v>1</v>
      </c>
      <c r="D19">
        <f>面积!E2+面积!E3+面积!E4+面积!E17</f>
        <v>1699.73</v>
      </c>
      <c r="E19">
        <v>7</v>
      </c>
      <c r="F19">
        <v>1</v>
      </c>
    </row>
    <row r="20" spans="3:12">
      <c r="C20" s="2995">
        <v>2</v>
      </c>
      <c r="D20">
        <f>面积!E5+面积!E6+面积!E7</f>
        <v>2026.67</v>
      </c>
      <c r="E20">
        <f>ROUND($E$19*F20,2)</f>
        <v>4.9000000000000004</v>
      </c>
      <c r="F20">
        <v>0.7</v>
      </c>
    </row>
    <row r="21" spans="3:12">
      <c r="C21" s="2995">
        <v>3</v>
      </c>
      <c r="D21">
        <f>面积!E8+面积!E9+面积!E10</f>
        <v>1838.79</v>
      </c>
      <c r="E21">
        <f>ROUND($E$19*F21,2)</f>
        <v>4.2</v>
      </c>
      <c r="F21">
        <v>0.6</v>
      </c>
    </row>
    <row r="22" spans="3:12">
      <c r="C22" s="2995">
        <v>4</v>
      </c>
      <c r="D22">
        <f>面积!E11+面积!E12+面积!E13</f>
        <v>1835.8700000000001</v>
      </c>
      <c r="E22">
        <f>ROUND($E$19*F22,2)</f>
        <v>3.5</v>
      </c>
      <c r="F22">
        <v>0.5</v>
      </c>
    </row>
    <row r="23" spans="3:12">
      <c r="C23" s="2995">
        <v>5</v>
      </c>
      <c r="D23">
        <f>面积!E14+面积!E15+面积!E16</f>
        <v>2142.58</v>
      </c>
      <c r="E23">
        <f>ROUND($E$19*F23,2)</f>
        <v>2.8</v>
      </c>
      <c r="F23">
        <v>0.4</v>
      </c>
    </row>
    <row r="24" spans="3:12">
      <c r="C24" s="2996" t="s">
        <v>3226</v>
      </c>
      <c r="D24">
        <f>面积!E18</f>
        <v>3571.54</v>
      </c>
      <c r="E24">
        <f>ROUND($E$19*F24,2)</f>
        <v>5.39</v>
      </c>
      <c r="F24">
        <f>ROUND((F19+F20+F21)/3,2)</f>
        <v>0.77</v>
      </c>
    </row>
    <row r="25" spans="3:12">
      <c r="C25" s="2962" t="s">
        <v>3227</v>
      </c>
      <c r="D25">
        <f>SUM(D19:D24)</f>
        <v>13115.18</v>
      </c>
      <c r="E25">
        <f>ROUND((E19*D19+E20*D20+E21*D21+E22*D22+E23*D23+E24*D24)/D25,2)</f>
        <v>4.67</v>
      </c>
    </row>
    <row r="27" spans="3:12">
      <c r="C27" s="2962" t="s">
        <v>3244</v>
      </c>
      <c r="D27">
        <v>5</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G34" sqref="G34"/>
    </sheetView>
  </sheetViews>
  <sheetFormatPr defaultRowHeight="13.5"/>
  <cols>
    <col min="1" max="1" width="5.25" bestFit="1" customWidth="1"/>
    <col min="2" max="2" width="40.375" bestFit="1" customWidth="1"/>
    <col min="3" max="3" width="30.375" bestFit="1" customWidth="1"/>
    <col min="4" max="4" width="16.25" bestFit="1" customWidth="1"/>
    <col min="5" max="5" width="9" bestFit="1" customWidth="1"/>
  </cols>
  <sheetData>
    <row r="1" spans="1:5">
      <c r="A1" s="2944" t="s">
        <v>3108</v>
      </c>
      <c r="B1" s="2944" t="s">
        <v>3109</v>
      </c>
      <c r="C1" s="2944" t="s">
        <v>3110</v>
      </c>
      <c r="D1" s="2944" t="s">
        <v>3111</v>
      </c>
      <c r="E1" s="2944" t="s">
        <v>3112</v>
      </c>
    </row>
    <row r="2" spans="1:5">
      <c r="A2" s="2945">
        <v>1</v>
      </c>
      <c r="B2" s="2945" t="s">
        <v>3074</v>
      </c>
      <c r="C2" s="2945" t="s">
        <v>3075</v>
      </c>
      <c r="D2" s="2945" t="s">
        <v>3064</v>
      </c>
      <c r="E2" s="2945">
        <v>357.29</v>
      </c>
    </row>
    <row r="3" spans="1:5">
      <c r="A3" s="2945">
        <v>2</v>
      </c>
      <c r="B3" s="2945" t="s">
        <v>3076</v>
      </c>
      <c r="C3" s="2945" t="s">
        <v>3077</v>
      </c>
      <c r="D3" s="2945" t="s">
        <v>3064</v>
      </c>
      <c r="E3" s="2945">
        <v>316.85000000000002</v>
      </c>
    </row>
    <row r="4" spans="1:5">
      <c r="A4" s="2945">
        <v>3</v>
      </c>
      <c r="B4" s="2945" t="s">
        <v>3062</v>
      </c>
      <c r="C4" s="2945" t="s">
        <v>3063</v>
      </c>
      <c r="D4" s="2945" t="s">
        <v>3064</v>
      </c>
      <c r="E4" s="2945">
        <v>420.05</v>
      </c>
    </row>
    <row r="5" spans="1:5">
      <c r="A5" s="2945">
        <v>4</v>
      </c>
      <c r="B5" s="2945" t="s">
        <v>3098</v>
      </c>
      <c r="C5" s="2945" t="s">
        <v>3099</v>
      </c>
      <c r="D5" s="2945">
        <v>201</v>
      </c>
      <c r="E5" s="2945">
        <v>732.12</v>
      </c>
    </row>
    <row r="6" spans="1:5">
      <c r="A6" s="2945">
        <v>5</v>
      </c>
      <c r="B6" s="2945" t="s">
        <v>3092</v>
      </c>
      <c r="C6" s="2945" t="s">
        <v>3093</v>
      </c>
      <c r="D6" s="2945">
        <v>202</v>
      </c>
      <c r="E6" s="2945">
        <v>689.01</v>
      </c>
    </row>
    <row r="7" spans="1:5">
      <c r="A7" s="2945">
        <v>6</v>
      </c>
      <c r="B7" s="2945" t="s">
        <v>3078</v>
      </c>
      <c r="C7" s="2945" t="s">
        <v>3079</v>
      </c>
      <c r="D7" s="2945" t="s">
        <v>3080</v>
      </c>
      <c r="E7" s="2945">
        <v>605.54</v>
      </c>
    </row>
    <row r="8" spans="1:5">
      <c r="A8" s="2945">
        <v>7</v>
      </c>
      <c r="B8" s="2945" t="s">
        <v>3100</v>
      </c>
      <c r="C8" s="2945" t="s">
        <v>3101</v>
      </c>
      <c r="D8" s="2945">
        <v>301</v>
      </c>
      <c r="E8" s="2945">
        <v>653.74</v>
      </c>
    </row>
    <row r="9" spans="1:5">
      <c r="A9" s="2945">
        <v>8</v>
      </c>
      <c r="B9" s="2945" t="s">
        <v>3094</v>
      </c>
      <c r="C9" s="2945" t="s">
        <v>3095</v>
      </c>
      <c r="D9" s="2945">
        <v>302</v>
      </c>
      <c r="E9" s="2945">
        <v>664.62</v>
      </c>
    </row>
    <row r="10" spans="1:5">
      <c r="A10" s="2945">
        <v>9</v>
      </c>
      <c r="B10" s="2945" t="s">
        <v>3071</v>
      </c>
      <c r="C10" s="2945" t="s">
        <v>3072</v>
      </c>
      <c r="D10" s="2945" t="s">
        <v>3073</v>
      </c>
      <c r="E10" s="2945">
        <v>520.42999999999995</v>
      </c>
    </row>
    <row r="11" spans="1:5">
      <c r="A11" s="2945">
        <v>10</v>
      </c>
      <c r="B11" s="2945" t="s">
        <v>3081</v>
      </c>
      <c r="C11" s="2945" t="s">
        <v>3082</v>
      </c>
      <c r="D11" s="2945" t="s">
        <v>3083</v>
      </c>
      <c r="E11" s="2945">
        <v>653.74</v>
      </c>
    </row>
    <row r="12" spans="1:5">
      <c r="A12" s="2945">
        <v>11</v>
      </c>
      <c r="B12" s="2945" t="s">
        <v>3068</v>
      </c>
      <c r="C12" s="2945" t="s">
        <v>3069</v>
      </c>
      <c r="D12" s="2945" t="s">
        <v>3070</v>
      </c>
      <c r="E12" s="2945">
        <v>664.62</v>
      </c>
    </row>
    <row r="13" spans="1:5">
      <c r="A13" s="2945">
        <v>12</v>
      </c>
      <c r="B13" s="2945" t="s">
        <v>3086</v>
      </c>
      <c r="C13" s="2945" t="s">
        <v>3087</v>
      </c>
      <c r="D13" s="2945" t="s">
        <v>3088</v>
      </c>
      <c r="E13" s="2945">
        <v>517.51</v>
      </c>
    </row>
    <row r="14" spans="1:5">
      <c r="A14" s="2945">
        <v>13</v>
      </c>
      <c r="B14" s="2945" t="s">
        <v>3089</v>
      </c>
      <c r="C14" s="2945" t="s">
        <v>3090</v>
      </c>
      <c r="D14" s="2945" t="s">
        <v>3091</v>
      </c>
      <c r="E14" s="2945">
        <v>653.74</v>
      </c>
    </row>
    <row r="15" spans="1:5">
      <c r="A15" s="2945">
        <v>14</v>
      </c>
      <c r="B15" s="2945" t="s">
        <v>3096</v>
      </c>
      <c r="C15" s="2945" t="s">
        <v>3097</v>
      </c>
      <c r="D15" s="2945">
        <v>502</v>
      </c>
      <c r="E15" s="2945">
        <v>960.39</v>
      </c>
    </row>
    <row r="16" spans="1:5">
      <c r="A16" s="2945">
        <v>15</v>
      </c>
      <c r="B16" s="2945" t="s">
        <v>3065</v>
      </c>
      <c r="C16" s="2945" t="s">
        <v>3066</v>
      </c>
      <c r="D16" s="2945" t="s">
        <v>3067</v>
      </c>
      <c r="E16" s="2945">
        <v>528.45000000000005</v>
      </c>
    </row>
    <row r="17" spans="1:6">
      <c r="A17" s="2945">
        <v>16</v>
      </c>
      <c r="B17" s="2945" t="s">
        <v>3084</v>
      </c>
      <c r="C17" s="2945" t="s">
        <v>3085</v>
      </c>
      <c r="D17" s="2945" t="s">
        <v>3064</v>
      </c>
      <c r="E17" s="2945">
        <v>605.54</v>
      </c>
    </row>
    <row r="18" spans="1:6">
      <c r="A18" s="2945">
        <v>17</v>
      </c>
      <c r="B18" s="2945" t="s">
        <v>3102</v>
      </c>
      <c r="C18" s="2945" t="s">
        <v>3103</v>
      </c>
      <c r="D18" s="2945" t="s">
        <v>3104</v>
      </c>
      <c r="E18" s="2945">
        <v>3571.54</v>
      </c>
      <c r="F18">
        <f>SUM(E2:E18)</f>
        <v>13115.18</v>
      </c>
    </row>
    <row r="19" spans="1:6">
      <c r="A19" s="2945">
        <v>18</v>
      </c>
      <c r="B19" s="2945" t="s">
        <v>3105</v>
      </c>
      <c r="C19" s="2945" t="s">
        <v>3106</v>
      </c>
      <c r="D19" s="2945" t="s">
        <v>3107</v>
      </c>
      <c r="E19" s="2945">
        <v>3250</v>
      </c>
    </row>
    <row r="20" spans="1:6">
      <c r="E20">
        <f>SUM(E2:E19)</f>
        <v>16365.18</v>
      </c>
    </row>
    <row r="21" spans="1:6">
      <c r="E21" s="2945">
        <v>13637.65</v>
      </c>
    </row>
    <row r="22" spans="1:6">
      <c r="C22" s="2994"/>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30" sqref="J30"/>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K11" sqref="K11"/>
    </sheetView>
  </sheetViews>
  <sheetFormatPr defaultRowHeight="13.5"/>
  <sheetData>
    <row r="1" spans="1:6" ht="25.5" thickTop="1" thickBot="1">
      <c r="A1" s="2975" t="s">
        <v>3188</v>
      </c>
      <c r="B1" s="2976" t="s">
        <v>3189</v>
      </c>
      <c r="C1" s="2976" t="s">
        <v>3190</v>
      </c>
      <c r="D1" s="2976" t="s">
        <v>3191</v>
      </c>
      <c r="E1" s="2977" t="s">
        <v>3192</v>
      </c>
    </row>
    <row r="2" spans="1:6" ht="36.75" thickBot="1">
      <c r="A2" s="2978" t="s">
        <v>3062</v>
      </c>
      <c r="B2" s="2979" t="s">
        <v>3063</v>
      </c>
      <c r="C2" s="2979" t="s">
        <v>3064</v>
      </c>
      <c r="D2" s="2979">
        <v>420.05</v>
      </c>
      <c r="E2" s="2980">
        <v>1687</v>
      </c>
      <c r="F2">
        <f t="shared" ref="F2:F18" si="0">E2/D2*10000</f>
        <v>40161.885489822635</v>
      </c>
    </row>
    <row r="3" spans="1:6" ht="48.75" thickBot="1">
      <c r="A3" s="2978" t="s">
        <v>3065</v>
      </c>
      <c r="B3" s="2979" t="s">
        <v>3066</v>
      </c>
      <c r="C3" s="2979" t="s">
        <v>3067</v>
      </c>
      <c r="D3" s="2979">
        <v>528.45000000000005</v>
      </c>
      <c r="E3" s="2980">
        <v>1061</v>
      </c>
      <c r="F3">
        <f t="shared" si="0"/>
        <v>20077.585391238525</v>
      </c>
    </row>
    <row r="4" spans="1:6" ht="48.75" thickBot="1">
      <c r="A4" s="2978" t="s">
        <v>3068</v>
      </c>
      <c r="B4" s="2979" t="s">
        <v>3069</v>
      </c>
      <c r="C4" s="2979" t="s">
        <v>3070</v>
      </c>
      <c r="D4" s="2979">
        <v>664.62</v>
      </c>
      <c r="E4" s="2980">
        <v>1335</v>
      </c>
      <c r="F4">
        <f t="shared" si="0"/>
        <v>20086.666064818994</v>
      </c>
    </row>
    <row r="5" spans="1:6" ht="48.75" thickBot="1">
      <c r="A5" s="2978" t="s">
        <v>3071</v>
      </c>
      <c r="B5" s="2979" t="s">
        <v>3072</v>
      </c>
      <c r="C5" s="2979" t="s">
        <v>3073</v>
      </c>
      <c r="D5" s="2979">
        <v>520.42999999999995</v>
      </c>
      <c r="E5" s="2980">
        <v>1254</v>
      </c>
      <c r="F5">
        <f t="shared" si="0"/>
        <v>24095.459523855272</v>
      </c>
    </row>
    <row r="6" spans="1:6" ht="36.75" thickBot="1">
      <c r="A6" s="2978" t="s">
        <v>3074</v>
      </c>
      <c r="B6" s="2979" t="s">
        <v>3075</v>
      </c>
      <c r="C6" s="2979" t="s">
        <v>3064</v>
      </c>
      <c r="D6" s="2979">
        <v>357.29</v>
      </c>
      <c r="E6" s="2980">
        <v>1435</v>
      </c>
      <c r="F6">
        <f t="shared" si="0"/>
        <v>40163.452657505106</v>
      </c>
    </row>
    <row r="7" spans="1:6" ht="36.75" thickBot="1">
      <c r="A7" s="2978" t="s">
        <v>3076</v>
      </c>
      <c r="B7" s="2979" t="s">
        <v>3077</v>
      </c>
      <c r="C7" s="2979" t="s">
        <v>3064</v>
      </c>
      <c r="D7" s="2979">
        <v>316.85000000000002</v>
      </c>
      <c r="E7" s="2980">
        <v>1273</v>
      </c>
      <c r="F7">
        <f t="shared" si="0"/>
        <v>40176.739782231336</v>
      </c>
    </row>
    <row r="8" spans="1:6" ht="48.75" thickBot="1">
      <c r="A8" s="2978" t="s">
        <v>3078</v>
      </c>
      <c r="B8" s="2979" t="s">
        <v>3079</v>
      </c>
      <c r="C8" s="2979" t="s">
        <v>3080</v>
      </c>
      <c r="D8" s="2979">
        <v>605.54</v>
      </c>
      <c r="E8" s="2980">
        <v>1703</v>
      </c>
      <c r="F8">
        <f t="shared" si="0"/>
        <v>28123.658222413054</v>
      </c>
    </row>
    <row r="9" spans="1:6" ht="48.75" thickBot="1">
      <c r="A9" s="2978" t="s">
        <v>3081</v>
      </c>
      <c r="B9" s="2979" t="s">
        <v>3082</v>
      </c>
      <c r="C9" s="2979" t="s">
        <v>3083</v>
      </c>
      <c r="D9" s="2979">
        <v>653.74</v>
      </c>
      <c r="E9" s="2980">
        <v>1313</v>
      </c>
      <c r="F9">
        <f t="shared" si="0"/>
        <v>20084.437238045706</v>
      </c>
    </row>
    <row r="10" spans="1:6" ht="36.75" thickBot="1">
      <c r="A10" s="2978" t="s">
        <v>3084</v>
      </c>
      <c r="B10" s="2979" t="s">
        <v>3085</v>
      </c>
      <c r="C10" s="2979" t="s">
        <v>3064</v>
      </c>
      <c r="D10" s="2979">
        <v>605.54</v>
      </c>
      <c r="E10" s="2980">
        <v>2432</v>
      </c>
      <c r="F10">
        <f t="shared" si="0"/>
        <v>40162.499587145365</v>
      </c>
    </row>
    <row r="11" spans="1:6" ht="48.75" thickBot="1">
      <c r="A11" s="2978" t="s">
        <v>3086</v>
      </c>
      <c r="B11" s="2979" t="s">
        <v>3087</v>
      </c>
      <c r="C11" s="2979" t="s">
        <v>3088</v>
      </c>
      <c r="D11" s="2979">
        <v>517.51</v>
      </c>
      <c r="E11" s="2980">
        <v>1039</v>
      </c>
      <c r="F11">
        <f t="shared" si="0"/>
        <v>20076.906726440069</v>
      </c>
    </row>
    <row r="12" spans="1:6" ht="48.75" thickBot="1">
      <c r="A12" s="2978" t="s">
        <v>3089</v>
      </c>
      <c r="B12" s="2979" t="s">
        <v>3090</v>
      </c>
      <c r="C12" s="2979" t="s">
        <v>3091</v>
      </c>
      <c r="D12" s="2979">
        <v>653.74</v>
      </c>
      <c r="E12" s="2980">
        <v>1313</v>
      </c>
      <c r="F12">
        <f t="shared" si="0"/>
        <v>20084.437238045706</v>
      </c>
    </row>
    <row r="13" spans="1:6" ht="48.75" thickBot="1">
      <c r="A13" s="2978" t="s">
        <v>3092</v>
      </c>
      <c r="B13" s="2979" t="s">
        <v>3093</v>
      </c>
      <c r="C13" s="2979">
        <v>202</v>
      </c>
      <c r="D13" s="2979">
        <v>689.01</v>
      </c>
      <c r="E13" s="2980">
        <v>1937</v>
      </c>
      <c r="F13">
        <f t="shared" si="0"/>
        <v>28112.799523954658</v>
      </c>
    </row>
    <row r="14" spans="1:6" ht="48.75" thickBot="1">
      <c r="A14" s="2978" t="s">
        <v>3094</v>
      </c>
      <c r="B14" s="2979" t="s">
        <v>3095</v>
      </c>
      <c r="C14" s="2979">
        <v>302</v>
      </c>
      <c r="D14" s="2979">
        <v>664.62</v>
      </c>
      <c r="E14" s="2980">
        <v>1602</v>
      </c>
      <c r="F14">
        <f t="shared" si="0"/>
        <v>24103.999277782794</v>
      </c>
    </row>
    <row r="15" spans="1:6" ht="48.75" thickBot="1">
      <c r="A15" s="2978" t="s">
        <v>3096</v>
      </c>
      <c r="B15" s="2979" t="s">
        <v>3097</v>
      </c>
      <c r="C15" s="2979">
        <v>502</v>
      </c>
      <c r="D15" s="2979">
        <v>960.39</v>
      </c>
      <c r="E15" s="2980">
        <v>1929</v>
      </c>
      <c r="F15">
        <f t="shared" si="0"/>
        <v>20085.590228969482</v>
      </c>
    </row>
    <row r="16" spans="1:6" ht="48.75" thickBot="1">
      <c r="A16" s="2978" t="s">
        <v>3098</v>
      </c>
      <c r="B16" s="2979" t="s">
        <v>3099</v>
      </c>
      <c r="C16" s="2979">
        <v>201</v>
      </c>
      <c r="D16" s="2979">
        <v>732.12</v>
      </c>
      <c r="E16" s="2980">
        <v>2058</v>
      </c>
      <c r="F16">
        <f t="shared" si="0"/>
        <v>28110.145877724961</v>
      </c>
    </row>
    <row r="17" spans="1:6" ht="48.75" thickBot="1">
      <c r="A17" s="2978" t="s">
        <v>3100</v>
      </c>
      <c r="B17" s="2979" t="s">
        <v>3101</v>
      </c>
      <c r="C17" s="2979">
        <v>301</v>
      </c>
      <c r="D17" s="2979">
        <v>653.74</v>
      </c>
      <c r="E17" s="2980">
        <v>1575</v>
      </c>
      <c r="F17">
        <f t="shared" si="0"/>
        <v>24092.146724997707</v>
      </c>
    </row>
    <row r="18" spans="1:6" ht="48.75" thickBot="1">
      <c r="A18" s="2981" t="s">
        <v>3102</v>
      </c>
      <c r="B18" s="2982" t="s">
        <v>3103</v>
      </c>
      <c r="C18" s="2982" t="s">
        <v>3104</v>
      </c>
      <c r="D18" s="2982">
        <v>3571.54</v>
      </c>
      <c r="E18" s="2983">
        <v>10982</v>
      </c>
      <c r="F18">
        <f t="shared" si="0"/>
        <v>30748.640642411956</v>
      </c>
    </row>
    <row r="19" spans="1:6" ht="14.25" thickTop="1">
      <c r="D19">
        <f>SUM(D2:D18)</f>
        <v>13115.18</v>
      </c>
      <c r="E19">
        <f>SUM(E2:E18)</f>
        <v>35928</v>
      </c>
      <c r="F19">
        <f>E19/D19*10000</f>
        <v>27394.210373018137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1641</v>
      </c>
      <c r="B2" s="3042" t="s">
        <v>1642</v>
      </c>
      <c r="C2" s="3042" t="s">
        <v>1643</v>
      </c>
      <c r="D2" s="3042" t="str">
        <f>结果表!D116</f>
        <v>出让国有建设用地使用权价值</v>
      </c>
      <c r="E2" s="3042"/>
      <c r="F2" s="3042" t="str">
        <f>结果表!F116</f>
        <v>建筑物价值</v>
      </c>
      <c r="G2" s="3042"/>
      <c r="H2" s="3042" t="str">
        <f>IF(项目基本情况!B9="房地产市场价值","房地产市场价值","房地产价值")</f>
        <v>房地产价值</v>
      </c>
      <c r="I2" s="3042"/>
    </row>
    <row r="3" spans="1:9" ht="15">
      <c r="A3" s="3036"/>
      <c r="B3" s="3036"/>
      <c r="C3" s="3036"/>
      <c r="D3" s="1045" t="s">
        <v>1638</v>
      </c>
      <c r="E3" s="1045" t="s">
        <v>1644</v>
      </c>
      <c r="F3" s="1045" t="s">
        <v>1638</v>
      </c>
      <c r="G3" s="1045" t="s">
        <v>1639</v>
      </c>
      <c r="H3" s="1045" t="s">
        <v>1638</v>
      </c>
      <c r="I3" s="1045" t="s">
        <v>1639</v>
      </c>
    </row>
    <row r="4" spans="1:9" ht="45">
      <c r="A4" s="1973" t="str">
        <f>项目基本情况!S2</f>
        <v>上海市松江区九亭镇虬泾路116号等18套商业、地下车库用房房地产</v>
      </c>
      <c r="B4" s="1045">
        <f>项目基本情况!C17</f>
        <v>16365.18</v>
      </c>
      <c r="C4" s="1045">
        <f>项目基本情况!C18</f>
        <v>13637.65</v>
      </c>
      <c r="D4" s="1045">
        <f ca="1">结果表!D118</f>
        <v>11154</v>
      </c>
      <c r="E4" s="1045">
        <f ca="1">结果表!E118</f>
        <v>8504</v>
      </c>
      <c r="F4" s="1045">
        <f ca="1">结果表!F118</f>
        <v>26276</v>
      </c>
      <c r="G4" s="1045">
        <f ca="1">结果表!G118</f>
        <v>20035</v>
      </c>
      <c r="H4" s="1045">
        <f ca="1">结果表!H118</f>
        <v>37430</v>
      </c>
      <c r="I4" s="1045">
        <f ca="1">结果表!I118</f>
        <v>28539</v>
      </c>
    </row>
    <row r="5" spans="1:9" ht="30" customHeight="1">
      <c r="A5" s="3036" t="s">
        <v>1640</v>
      </c>
      <c r="B5" s="3036"/>
      <c r="C5" s="3036"/>
      <c r="D5" s="3037" t="str">
        <f ca="1">结果表!D119</f>
        <v>壹亿壹仟壹佰伍拾肆万元整</v>
      </c>
      <c r="E5" s="3037"/>
      <c r="F5" s="3037" t="str">
        <f ca="1">结果表!F119</f>
        <v>贰亿陆仟贰佰柒拾陆万元整</v>
      </c>
      <c r="G5" s="3037"/>
      <c r="H5" s="3037" t="str">
        <f ca="1">结果表!H119</f>
        <v>叁亿柒仟肆佰叁拾万元整</v>
      </c>
      <c r="I5" s="3037"/>
    </row>
    <row r="6" spans="1:9" ht="15.75">
      <c r="A6" s="3035" t="str">
        <f>结果表!A120</f>
        <v>估价师知悉的法定优先受偿款</v>
      </c>
      <c r="B6" s="3035"/>
      <c r="C6" s="3035"/>
      <c r="D6" s="3035">
        <f>结果表!D120</f>
        <v>0</v>
      </c>
      <c r="E6" s="3035"/>
      <c r="F6" s="3035"/>
      <c r="G6" s="3035"/>
      <c r="H6" s="3035"/>
      <c r="I6" s="3035"/>
    </row>
    <row r="7" spans="1:9" ht="15">
      <c r="A7" s="3036" t="s">
        <v>1640</v>
      </c>
      <c r="B7" s="3036"/>
      <c r="C7" s="3036"/>
      <c r="D7" s="3038" t="str">
        <f>结果表!D121</f>
        <v>零元整</v>
      </c>
      <c r="E7" s="3039"/>
      <c r="F7" s="3039"/>
      <c r="G7" s="3039"/>
      <c r="H7" s="3039"/>
      <c r="I7" s="3040"/>
    </row>
    <row r="8" spans="1:9" ht="15.75">
      <c r="A8" s="3035" t="str">
        <f>结果表!A122</f>
        <v>房地产抵押价值</v>
      </c>
      <c r="B8" s="3035"/>
      <c r="C8" s="3035"/>
      <c r="D8" s="3035">
        <f ca="1">结果表!D122</f>
        <v>37430</v>
      </c>
      <c r="E8" s="3035"/>
      <c r="F8" s="3035"/>
      <c r="G8" s="3035"/>
      <c r="H8" s="3035"/>
      <c r="I8" s="3035"/>
    </row>
    <row r="9" spans="1:9" ht="15">
      <c r="A9" s="3036" t="s">
        <v>1640</v>
      </c>
      <c r="B9" s="3036"/>
      <c r="C9" s="3036"/>
      <c r="D9" s="3037" t="str">
        <f ca="1">结果表!D123</f>
        <v>叁亿柒仟肆佰叁拾万元整</v>
      </c>
      <c r="E9" s="3037"/>
      <c r="F9" s="3037"/>
      <c r="G9" s="3037"/>
      <c r="H9" s="3037"/>
      <c r="I9" s="3037"/>
    </row>
    <row r="10" spans="1:9" ht="15.75">
      <c r="A10" s="3035" t="str">
        <f>结果表!A124</f>
        <v/>
      </c>
      <c r="B10" s="3035"/>
      <c r="C10" s="3035"/>
      <c r="D10" s="3035" t="str">
        <f>结果表!D124</f>
        <v>——</v>
      </c>
      <c r="E10" s="3035"/>
      <c r="F10" s="3035"/>
      <c r="G10" s="3035"/>
      <c r="H10" s="3035"/>
      <c r="I10" s="3035"/>
    </row>
    <row r="11" spans="1:9" ht="15">
      <c r="A11" s="3036" t="s">
        <v>1640</v>
      </c>
      <c r="B11" s="3036"/>
      <c r="C11" s="3036"/>
      <c r="D11" s="3037" t="e">
        <f>结果表!D125</f>
        <v>#VALUE!</v>
      </c>
      <c r="E11" s="3037"/>
      <c r="F11" s="3037"/>
      <c r="G11" s="3037"/>
      <c r="H11" s="3037"/>
      <c r="I11" s="3037"/>
    </row>
    <row r="12" spans="1:9" ht="15.75">
      <c r="A12" s="3035" t="str">
        <f>结果表!A126</f>
        <v/>
      </c>
      <c r="B12" s="3035"/>
      <c r="C12" s="3035"/>
      <c r="D12" s="3035" t="str">
        <f>结果表!D126</f>
        <v>——</v>
      </c>
      <c r="E12" s="3035"/>
      <c r="F12" s="3035"/>
      <c r="G12" s="3035"/>
      <c r="H12" s="3035"/>
      <c r="I12" s="3035"/>
    </row>
    <row r="13" spans="1:9" ht="15.75" thickBot="1">
      <c r="A13" s="3032" t="s">
        <v>1640</v>
      </c>
      <c r="B13" s="3032"/>
      <c r="C13" s="3032"/>
      <c r="D13" s="3033" t="e">
        <f>结果表!D127</f>
        <v>#VALUE!</v>
      </c>
      <c r="E13" s="3033"/>
      <c r="F13" s="3033"/>
      <c r="G13" s="3033"/>
      <c r="H13" s="3033"/>
      <c r="I13" s="3033"/>
    </row>
    <row r="14" spans="1:9" ht="15" thickTop="1">
      <c r="A14" s="3034" t="s">
        <v>1645</v>
      </c>
      <c r="B14" s="3034"/>
      <c r="C14" s="3034"/>
      <c r="D14" s="3034"/>
      <c r="E14" s="3034"/>
      <c r="F14" s="3034"/>
      <c r="G14" s="3034"/>
      <c r="H14" s="3034"/>
      <c r="I14" s="303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I21" sqref="I21"/>
    </sheetView>
  </sheetViews>
  <sheetFormatPr defaultRowHeight="13.5"/>
  <cols>
    <col min="3" max="3" width="15.125" customWidth="1"/>
    <col min="6" max="6" width="24.875" bestFit="1" customWidth="1"/>
  </cols>
  <sheetData>
    <row r="1" spans="1:8">
      <c r="A1" s="2944" t="s">
        <v>3108</v>
      </c>
      <c r="B1" s="2944" t="s">
        <v>3235</v>
      </c>
      <c r="C1" s="2963" t="s">
        <v>3111</v>
      </c>
      <c r="D1" s="2944" t="s">
        <v>3112</v>
      </c>
      <c r="E1" s="2944" t="s">
        <v>3233</v>
      </c>
      <c r="F1" s="2963" t="s">
        <v>3118</v>
      </c>
      <c r="G1" s="2963" t="s">
        <v>3117</v>
      </c>
      <c r="H1" s="2963" t="s">
        <v>3260</v>
      </c>
    </row>
    <row r="2" spans="1:8">
      <c r="A2" s="2945">
        <v>1</v>
      </c>
      <c r="B2" s="2944" t="s">
        <v>3236</v>
      </c>
      <c r="C2" s="3003" t="s">
        <v>3241</v>
      </c>
      <c r="D2" s="3000">
        <f>SUM(面积!E5:E16)</f>
        <v>7843.91</v>
      </c>
      <c r="E2" s="2997">
        <v>6477.4</v>
      </c>
      <c r="F2" s="2963" t="s">
        <v>3121</v>
      </c>
      <c r="G2" s="2964">
        <v>1.6</v>
      </c>
      <c r="H2" s="2986" t="s">
        <v>3214</v>
      </c>
    </row>
    <row r="3" spans="1:8">
      <c r="A3" s="2945">
        <v>2</v>
      </c>
      <c r="B3" s="2944" t="s">
        <v>3237</v>
      </c>
      <c r="C3" s="2965" t="s">
        <v>3238</v>
      </c>
      <c r="D3" s="3001">
        <v>1060</v>
      </c>
      <c r="E3" s="2998">
        <v>1060</v>
      </c>
      <c r="F3" s="2965" t="s">
        <v>3123</v>
      </c>
      <c r="G3" s="2966">
        <v>1.06</v>
      </c>
      <c r="H3" s="2967">
        <v>0.05</v>
      </c>
    </row>
    <row r="4" spans="1:8">
      <c r="A4" s="2945">
        <v>3</v>
      </c>
      <c r="B4" s="2944" t="s">
        <v>3239</v>
      </c>
      <c r="C4" s="2963" t="s">
        <v>3124</v>
      </c>
      <c r="D4" s="3000">
        <f>357.29+316.85+420.05</f>
        <v>1094.19</v>
      </c>
      <c r="E4" s="2997">
        <v>877.89</v>
      </c>
      <c r="F4" s="2963" t="s">
        <v>3125</v>
      </c>
      <c r="G4" s="2964">
        <v>5</v>
      </c>
      <c r="H4" s="2963" t="s">
        <v>3213</v>
      </c>
    </row>
    <row r="5" spans="1:8">
      <c r="A5" s="2945">
        <v>4</v>
      </c>
      <c r="B5" s="2944" t="s">
        <v>3240</v>
      </c>
      <c r="C5" s="2963" t="s">
        <v>3126</v>
      </c>
      <c r="D5" s="3004">
        <f>面积!E17+面积!E18-D3</f>
        <v>3117.08</v>
      </c>
      <c r="E5" s="2997">
        <v>2674.5</v>
      </c>
      <c r="F5" s="2963" t="s">
        <v>3127</v>
      </c>
      <c r="G5" s="2964">
        <v>2.2000000000000002</v>
      </c>
      <c r="H5" s="2962" t="s">
        <v>3128</v>
      </c>
    </row>
    <row r="6" spans="1:8">
      <c r="A6" s="2945">
        <v>5</v>
      </c>
      <c r="B6" s="2962" t="s">
        <v>3251</v>
      </c>
      <c r="C6" s="2962">
        <v>637</v>
      </c>
      <c r="D6">
        <v>118.34</v>
      </c>
      <c r="E6">
        <v>118.32</v>
      </c>
      <c r="F6" s="2962" t="s">
        <v>3252</v>
      </c>
      <c r="G6">
        <v>1.25</v>
      </c>
      <c r="H6" s="3020">
        <v>0.05</v>
      </c>
    </row>
    <row r="7" spans="1:8">
      <c r="A7" s="2945">
        <v>6</v>
      </c>
      <c r="B7" s="2962" t="s">
        <v>3253</v>
      </c>
      <c r="C7">
        <v>621</v>
      </c>
      <c r="D7">
        <v>119.72</v>
      </c>
      <c r="E7">
        <v>119.72</v>
      </c>
      <c r="F7" s="2962" t="s">
        <v>3254</v>
      </c>
      <c r="G7" s="2962">
        <v>1.28</v>
      </c>
      <c r="H7" s="3020">
        <v>0.05</v>
      </c>
    </row>
    <row r="8" spans="1:8">
      <c r="A8" s="2945">
        <v>7</v>
      </c>
      <c r="B8" s="2962" t="s">
        <v>3255</v>
      </c>
      <c r="C8">
        <v>593</v>
      </c>
      <c r="D8">
        <v>172.66</v>
      </c>
      <c r="E8">
        <v>172.79</v>
      </c>
      <c r="F8" s="2962" t="s">
        <v>3256</v>
      </c>
      <c r="G8" s="2962">
        <v>1.4</v>
      </c>
      <c r="H8" s="3020">
        <v>0.05</v>
      </c>
    </row>
    <row r="9" spans="1:8">
      <c r="A9" s="2945">
        <v>8</v>
      </c>
      <c r="B9" s="2962" t="s">
        <v>3257</v>
      </c>
      <c r="C9" s="2962" t="s">
        <v>3258</v>
      </c>
      <c r="D9">
        <v>6034.12</v>
      </c>
      <c r="E9">
        <v>6034.12</v>
      </c>
      <c r="F9" s="2962" t="s">
        <v>3259</v>
      </c>
      <c r="G9">
        <v>0.82399999999999995</v>
      </c>
      <c r="H9" s="3020">
        <v>0.03</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9" t="s">
        <v>1662</v>
      </c>
      <c r="B1" s="3049"/>
      <c r="C1" s="3049"/>
      <c r="D1" s="3049"/>
    </row>
    <row r="2" spans="1:4" ht="18">
      <c r="A2" s="3050" t="s">
        <v>1646</v>
      </c>
      <c r="B2" s="3050"/>
      <c r="C2" s="3050"/>
      <c r="D2" s="3050"/>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50" t="s">
        <v>1652</v>
      </c>
      <c r="B6" s="3050"/>
      <c r="C6" s="3050"/>
      <c r="D6" s="3050"/>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51" t="s">
        <v>1655</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（1）根据估价对象《房屋所有权证》复印件、，截至价值时点，估价对象抵押权未见登记。</v>
      </c>
      <c r="B15" s="3043"/>
      <c r="C15" s="3043"/>
      <c r="D15" s="3043"/>
    </row>
    <row r="16" spans="1:4" ht="30" customHeight="1">
      <c r="A16" s="3045" t="s">
        <v>1656</v>
      </c>
      <c r="B16" s="3045"/>
      <c r="C16" s="3045"/>
      <c r="D16" s="3045"/>
    </row>
    <row r="17" spans="1:4" ht="144" customHeight="1">
      <c r="A17" s="3045" t="s">
        <v>1657</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1658</v>
      </c>
      <c r="B22" s="3047"/>
      <c r="C22" s="3047"/>
      <c r="D22" s="3047"/>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7" t="s">
        <v>1669</v>
      </c>
      <c r="B15" s="3052" t="s">
        <v>136</v>
      </c>
      <c r="C15" s="3053"/>
    </row>
    <row r="16" spans="1:7" ht="13.5">
      <c r="A16" s="3058"/>
      <c r="B16" s="3052" t="s">
        <v>69</v>
      </c>
      <c r="C16" s="3053"/>
    </row>
    <row r="17" spans="1:3" ht="13.5">
      <c r="A17" s="3058"/>
      <c r="B17" s="3055" t="s">
        <v>1670</v>
      </c>
      <c r="C17" s="2000" t="s">
        <v>1669</v>
      </c>
    </row>
    <row r="18" spans="1:3" ht="13.5">
      <c r="A18" s="3058"/>
      <c r="B18" s="3055"/>
      <c r="C18" s="2000" t="s">
        <v>1671</v>
      </c>
    </row>
    <row r="19" spans="1:3" ht="13.5">
      <c r="A19" s="3058"/>
      <c r="B19" s="3055"/>
      <c r="C19" s="2000" t="s">
        <v>1672</v>
      </c>
    </row>
    <row r="20" spans="1:3" ht="13.5">
      <c r="A20" s="3059"/>
      <c r="B20" s="3054" t="s">
        <v>1673</v>
      </c>
      <c r="C20" s="3053"/>
    </row>
    <row r="21" spans="1:3" ht="13.5">
      <c r="A21" s="2001" t="s">
        <v>1674</v>
      </c>
      <c r="B21" s="2002"/>
      <c r="C21" s="2003"/>
    </row>
    <row r="22" spans="1:3" ht="13.5">
      <c r="A22" s="3056" t="s">
        <v>1675</v>
      </c>
      <c r="B22" s="3054" t="s">
        <v>1676</v>
      </c>
      <c r="C22" s="3053"/>
    </row>
    <row r="23" spans="1:3" ht="13.5">
      <c r="A23" s="3056"/>
      <c r="B23" s="3054" t="s">
        <v>1677</v>
      </c>
      <c r="C23" s="3053"/>
    </row>
    <row r="24" spans="1:3" ht="13.5">
      <c r="A24" s="3056"/>
      <c r="B24" s="3054" t="s">
        <v>1678</v>
      </c>
      <c r="C24" s="3053"/>
    </row>
    <row r="25" spans="1:3" ht="13.5">
      <c r="A25" s="3056"/>
      <c r="B25" s="3055" t="s">
        <v>1679</v>
      </c>
      <c r="C25" s="2000" t="s">
        <v>1680</v>
      </c>
    </row>
    <row r="26" spans="1:3" ht="13.5">
      <c r="A26" s="3056"/>
      <c r="B26" s="3055"/>
      <c r="C26" s="2000" t="s">
        <v>1681</v>
      </c>
    </row>
    <row r="27" spans="1:3" ht="13.5">
      <c r="A27" s="3056"/>
      <c r="B27" s="3055"/>
      <c r="C27" s="2000" t="s">
        <v>1682</v>
      </c>
    </row>
    <row r="28" spans="1:3" ht="13.5">
      <c r="A28" s="3056"/>
      <c r="B28" s="3055"/>
      <c r="C28" s="2000" t="s">
        <v>1683</v>
      </c>
    </row>
    <row r="29" spans="1:3" ht="13.5">
      <c r="A29" s="3056"/>
      <c r="B29" s="3055"/>
      <c r="C29" s="2000" t="s">
        <v>1684</v>
      </c>
    </row>
    <row r="30" spans="1:3" ht="13.5">
      <c r="A30" s="3056"/>
      <c r="B30" s="3055"/>
      <c r="C30" s="2000" t="s">
        <v>1685</v>
      </c>
    </row>
    <row r="31" spans="1:3" ht="13.5">
      <c r="A31" s="3056"/>
      <c r="B31" s="3055"/>
      <c r="C31" s="2000" t="s">
        <v>1686</v>
      </c>
    </row>
    <row r="32" spans="1:3" ht="13.5">
      <c r="A32" s="3056"/>
      <c r="B32" s="3055"/>
      <c r="C32" s="2000" t="s">
        <v>1687</v>
      </c>
    </row>
    <row r="33" spans="1:3" ht="13.5">
      <c r="A33" s="3056"/>
      <c r="B33" s="305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43397</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44395</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3031</v>
      </c>
      <c r="B12" s="1023">
        <v>1120110054</v>
      </c>
      <c r="C12" s="2940">
        <v>43937</v>
      </c>
      <c r="D12" s="1703" t="s">
        <v>3031</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940">
        <v>44339</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60" t="s">
        <v>846</v>
      </c>
      <c r="B25" s="3060"/>
      <c r="C25" s="3060"/>
      <c r="D25" s="3060"/>
      <c r="E25" s="3060"/>
      <c r="F25" s="3060"/>
      <c r="G25" s="3060"/>
    </row>
    <row r="26" spans="1:7" s="1026" customFormat="1" ht="24" customHeight="1">
      <c r="A26" s="3061" t="s">
        <v>847</v>
      </c>
      <c r="B26" s="3061"/>
      <c r="C26" s="3062"/>
      <c r="D26" s="3063" t="s">
        <v>848</v>
      </c>
      <c r="E26" s="3061"/>
      <c r="F26" s="3061"/>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结果表-车位</vt:lpstr>
      <vt:lpstr>比较法-车位</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vt:lpstr>
      <vt:lpstr>面积</vt:lpstr>
      <vt:lpstr>案例</vt:lpstr>
      <vt:lpstr>Sheet1</vt:lpstr>
      <vt:lpstr>Sheet2</vt:lpstr>
      <vt:lpstr>估价师及机构信息!Print_Area</vt:lpstr>
      <vt:lpstr>结果表!Print_Area</vt:lpstr>
      <vt:lpstr>'结果表-车位'!Print_Area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2018-10-23T18:54:18Z</dcterms:modified>
</cp:coreProperties>
</file>