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F:\2023-1-0905虎坊路\"/>
    </mc:Choice>
  </mc:AlternateContent>
  <xr:revisionPtr revIDLastSave="0" documentId="13_ncr:1_{7E7DC44C-DE37-40E1-8D3F-2DA5BD87B065}" xr6:coauthVersionLast="47" xr6:coauthVersionMax="47" xr10:uidLastSave="{00000000-0000-0000-0000-000000000000}"/>
  <bookViews>
    <workbookView xWindow="-120" yWindow="-120" windowWidth="21840" windowHeight="1314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成本法 (元)" sheetId="69" r:id="rId35"/>
    <sheet name="基准地价修正" sheetId="43" r:id="rId36"/>
    <sheet name="修正" sheetId="45" state="hidden" r:id="rId37"/>
    <sheet name="容积率修正" sheetId="46" state="hidden" r:id="rId38"/>
    <sheet name="成本法（废）" sheetId="11" state="hidden" r:id="rId39"/>
    <sheet name="Sheet1"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4">'成本法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F91" i="21" l="1"/>
  <c r="E91" i="21"/>
  <c r="D91" i="21"/>
  <c r="C91" i="21"/>
  <c r="B14" i="74" l="1"/>
  <c r="D14" i="9"/>
  <c r="R66" i="80"/>
  <c r="Z65" i="80"/>
  <c r="R53" i="80"/>
  <c r="R54" i="80"/>
  <c r="R55" i="80"/>
  <c r="R56" i="80"/>
  <c r="S59" i="80"/>
  <c r="I33" i="21"/>
  <c r="G33" i="21"/>
  <c r="E33" i="21"/>
  <c r="C33" i="21"/>
  <c r="I47" i="21"/>
  <c r="G47" i="21"/>
  <c r="E47" i="21"/>
  <c r="O20" i="1"/>
  <c r="D33" i="43"/>
  <c r="P58" i="21"/>
  <c r="Q58" i="21" s="1"/>
  <c r="R58" i="21" s="1"/>
  <c r="N78" i="80"/>
  <c r="O78" i="80"/>
  <c r="P78" i="80"/>
  <c r="Q78" i="80"/>
  <c r="R78" i="80"/>
  <c r="S78" i="80"/>
  <c r="T78" i="80"/>
  <c r="U78" i="80"/>
  <c r="V78" i="80"/>
  <c r="W78" i="80"/>
  <c r="X78" i="80"/>
  <c r="Y78" i="80"/>
  <c r="Z78" i="80"/>
  <c r="AA78" i="80"/>
  <c r="AB78" i="80"/>
  <c r="M78" i="80"/>
  <c r="P77" i="80"/>
  <c r="Q77" i="80"/>
  <c r="R77" i="80" s="1"/>
  <c r="S77" i="80" s="1"/>
  <c r="T77" i="80" s="1"/>
  <c r="U77" i="80" s="1"/>
  <c r="V77" i="80" s="1"/>
  <c r="W77" i="80" s="1"/>
  <c r="X77" i="80" s="1"/>
  <c r="Y77" i="80" s="1"/>
  <c r="Z77" i="80" s="1"/>
  <c r="AA77" i="80" s="1"/>
  <c r="AB77" i="80" s="1"/>
  <c r="O77" i="80"/>
  <c r="O76" i="80"/>
  <c r="P76" i="80"/>
  <c r="Q76" i="80"/>
  <c r="R76" i="80"/>
  <c r="S76" i="80"/>
  <c r="T76" i="80"/>
  <c r="U76" i="80"/>
  <c r="V76" i="80"/>
  <c r="W76" i="80"/>
  <c r="X76" i="80"/>
  <c r="Y76" i="80"/>
  <c r="Z76" i="80"/>
  <c r="AA76" i="80"/>
  <c r="AB76" i="80"/>
  <c r="N77" i="80"/>
  <c r="N76" i="80"/>
  <c r="M77" i="80"/>
  <c r="M76" i="80"/>
  <c r="I7" i="21" l="1"/>
  <c r="G7" i="21"/>
  <c r="E7" i="21"/>
  <c r="Y6" i="1"/>
  <c r="L50" i="80"/>
  <c r="K50" i="80"/>
  <c r="M50" i="80"/>
  <c r="M47" i="80"/>
  <c r="M48" i="80"/>
  <c r="M49" i="80"/>
  <c r="M46" i="80"/>
  <c r="F19" i="6"/>
  <c r="D3" i="4" l="1"/>
  <c r="I29" i="79"/>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M27" i="79"/>
  <c r="L27" i="79"/>
  <c r="I27" i="79"/>
  <c r="AD27" i="79" s="1"/>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N15" i="79"/>
  <c r="M15" i="79"/>
  <c r="L15" i="79"/>
  <c r="S15" i="79" s="1"/>
  <c r="K15" i="79"/>
  <c r="I15" i="79"/>
  <c r="AD14" i="79"/>
  <c r="AC14" i="79"/>
  <c r="AB14" i="79"/>
  <c r="AA14" i="79"/>
  <c r="Z14" i="79"/>
  <c r="Y14" i="79"/>
  <c r="O14" i="79"/>
  <c r="N14" i="79"/>
  <c r="M14" i="79"/>
  <c r="T14" i="79" s="1"/>
  <c r="W14" i="79" s="1"/>
  <c r="L14" i="79"/>
  <c r="S14" i="79" s="1"/>
  <c r="K14" i="79"/>
  <c r="I14" i="79"/>
  <c r="AC13" i="79"/>
  <c r="AB13" i="79"/>
  <c r="AA13" i="79"/>
  <c r="AD13" i="79" s="1"/>
  <c r="Z13" i="79"/>
  <c r="Y13" i="79"/>
  <c r="O13" i="79"/>
  <c r="N13" i="79"/>
  <c r="M13" i="79"/>
  <c r="L13" i="79"/>
  <c r="S13" i="79" s="1"/>
  <c r="K13" i="79"/>
  <c r="I13" i="79"/>
  <c r="AC12" i="79"/>
  <c r="AB12" i="79"/>
  <c r="AA12" i="79"/>
  <c r="AD12" i="79" s="1"/>
  <c r="Z12" i="79"/>
  <c r="Y12" i="79"/>
  <c r="O12" i="79"/>
  <c r="V12" i="79" s="1"/>
  <c r="N12" i="79"/>
  <c r="M12" i="79"/>
  <c r="L12" i="79"/>
  <c r="K12" i="79"/>
  <c r="R12" i="79" s="1"/>
  <c r="I12" i="79"/>
  <c r="AC11" i="79"/>
  <c r="AB11" i="79"/>
  <c r="AA11" i="79"/>
  <c r="AD11" i="79" s="1"/>
  <c r="Z11" i="79"/>
  <c r="Y11" i="79"/>
  <c r="O11" i="79"/>
  <c r="N11" i="79"/>
  <c r="U3" i="79" s="1"/>
  <c r="M11" i="79"/>
  <c r="L11" i="79"/>
  <c r="K11" i="79"/>
  <c r="I11" i="79"/>
  <c r="AC5" i="79"/>
  <c r="AB5" i="79"/>
  <c r="AA5" i="79"/>
  <c r="AD5" i="79" s="1"/>
  <c r="Z5" i="79"/>
  <c r="Z3" i="79" s="1"/>
  <c r="Y5" i="79"/>
  <c r="O5" i="79"/>
  <c r="N5" i="79"/>
  <c r="M5" i="79"/>
  <c r="P5" i="79" s="1"/>
  <c r="L5" i="79"/>
  <c r="K5" i="79"/>
  <c r="I5" i="79"/>
  <c r="V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K3" i="79"/>
  <c r="O3" i="79"/>
  <c r="AB3" i="79"/>
  <c r="T12" i="79"/>
  <c r="W12" i="79" s="1"/>
  <c r="U13" i="79"/>
  <c r="R14" i="79"/>
  <c r="V14" i="79"/>
  <c r="R15" i="79"/>
  <c r="V15" i="79"/>
  <c r="S3" i="79"/>
  <c r="Y3" i="79"/>
  <c r="AC3" i="79"/>
  <c r="U12" i="79"/>
  <c r="R13" i="79"/>
  <c r="V13" i="79"/>
  <c r="U25" i="79"/>
  <c r="T27" i="79"/>
  <c r="W27" i="79" s="1"/>
  <c r="U28" i="79"/>
  <c r="AD34" i="79"/>
  <c r="S35" i="79"/>
  <c r="U37" i="79"/>
  <c r="AD38" i="79"/>
  <c r="U36" i="79"/>
  <c r="AD37" i="79"/>
  <c r="S38" i="79"/>
  <c r="L3" i="79"/>
  <c r="S12" i="79"/>
  <c r="U14" i="79"/>
  <c r="U15" i="79"/>
  <c r="S28" i="79"/>
  <c r="T34" i="79"/>
  <c r="W34" i="79" s="1"/>
  <c r="U35" i="79"/>
  <c r="AD36" i="79"/>
  <c r="S37" i="79"/>
  <c r="S27" i="79"/>
  <c r="M3" i="79"/>
  <c r="P3" i="79" s="1"/>
  <c r="T3" i="79"/>
  <c r="W3" i="79" s="1"/>
  <c r="U27" i="79"/>
  <c r="AD33" i="79"/>
  <c r="T32" i="79"/>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AB25" i="79"/>
  <c r="R8" i="79"/>
  <c r="R5" i="79"/>
  <c r="R9" i="79"/>
  <c r="P11" i="79"/>
  <c r="T9" i="79"/>
  <c r="W9" i="79" s="1"/>
  <c r="T8" i="79"/>
  <c r="W8" i="79" s="1"/>
  <c r="T5" i="79"/>
  <c r="W5" i="79" s="1"/>
  <c r="V8" i="79"/>
  <c r="V5" i="79"/>
  <c r="V9" i="79"/>
  <c r="S9" i="79"/>
  <c r="S5" i="79"/>
  <c r="S8" i="79"/>
  <c r="U9" i="79"/>
  <c r="U5" i="79"/>
  <c r="U8" i="79"/>
  <c r="S25" i="79"/>
  <c r="P14" i="79"/>
  <c r="P16" i="79"/>
  <c r="R3" i="79"/>
  <c r="Z25"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s="1"/>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c r="AG31" i="71"/>
  <c r="AH31" i="71"/>
  <c r="AD32" i="71"/>
  <c r="AE32" i="71"/>
  <c r="AF32" i="71" s="1"/>
  <c r="AG32" i="71"/>
  <c r="AH32" i="71"/>
  <c r="AD33" i="71"/>
  <c r="AE33" i="71"/>
  <c r="AF33" i="71"/>
  <c r="AG33" i="71"/>
  <c r="AH33" i="71"/>
  <c r="AD34" i="71"/>
  <c r="AE34" i="71"/>
  <c r="AF34" i="71"/>
  <c r="AG34" i="71"/>
  <c r="AH34" i="71"/>
  <c r="AD35" i="71"/>
  <c r="AE35" i="71"/>
  <c r="AF35" i="71"/>
  <c r="AG35" i="71"/>
  <c r="AH35" i="71"/>
  <c r="AD36" i="71"/>
  <c r="AE36" i="71"/>
  <c r="AF36" i="71" s="1"/>
  <c r="AG36" i="71"/>
  <c r="AH36" i="71"/>
  <c r="AD37" i="71"/>
  <c r="AE37" i="71"/>
  <c r="AF37" i="7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E88" i="71"/>
  <c r="E87" i="71" s="1"/>
  <c r="E86" i="71" s="1"/>
  <c r="C88" i="71"/>
  <c r="D88" i="71" s="1"/>
  <c r="B88" i="71"/>
  <c r="F86" i="71"/>
  <c r="B87" i="71"/>
  <c r="B86" i="71" s="1"/>
  <c r="D85" i="71"/>
  <c r="F84" i="71"/>
  <c r="F83" i="71" s="1"/>
  <c r="E84" i="71"/>
  <c r="E83" i="71" s="1"/>
  <c r="E82" i="71" s="1"/>
  <c r="C84" i="71"/>
  <c r="D84" i="71" s="1"/>
  <c r="B84" i="71"/>
  <c r="F82" i="71"/>
  <c r="B83" i="71"/>
  <c r="B82" i="71" s="1"/>
  <c r="D81" i="71"/>
  <c r="Q80" i="71"/>
  <c r="P80" i="71"/>
  <c r="O80" i="71"/>
  <c r="N80" i="71"/>
  <c r="F80" i="71"/>
  <c r="V80" i="71" s="1"/>
  <c r="E80" i="71"/>
  <c r="U80" i="71"/>
  <c r="C80" i="71"/>
  <c r="T80" i="71" s="1"/>
  <c r="B80" i="71"/>
  <c r="S80" i="71"/>
  <c r="Q79" i="71"/>
  <c r="P79" i="71"/>
  <c r="O79" i="71"/>
  <c r="N79" i="71"/>
  <c r="F79" i="71"/>
  <c r="F78" i="71" s="1"/>
  <c r="B79" i="71"/>
  <c r="B78" i="7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F67" i="71" s="1"/>
  <c r="V68" i="71"/>
  <c r="E68" i="71"/>
  <c r="P68" i="71" s="1"/>
  <c r="C68" i="71"/>
  <c r="B68" i="71"/>
  <c r="S68" i="71"/>
  <c r="B67" i="71"/>
  <c r="D65" i="71"/>
  <c r="Q64" i="71"/>
  <c r="P64" i="71"/>
  <c r="O64" i="71"/>
  <c r="N64" i="71"/>
  <c r="Q63" i="71"/>
  <c r="P63" i="71"/>
  <c r="O63" i="71"/>
  <c r="N63" i="71"/>
  <c r="Q62" i="71"/>
  <c r="P62" i="71"/>
  <c r="O62" i="71"/>
  <c r="C63" i="71" s="1"/>
  <c r="N62" i="71"/>
  <c r="Q61" i="71"/>
  <c r="F62" i="71"/>
  <c r="F63" i="7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c r="F60" i="71"/>
  <c r="V60" i="71" s="1"/>
  <c r="P57" i="71"/>
  <c r="E58" i="71"/>
  <c r="E59" i="71" s="1"/>
  <c r="E60" i="71" s="1"/>
  <c r="U60" i="71" s="1"/>
  <c r="O57" i="71"/>
  <c r="C58" i="71" s="1"/>
  <c r="D58" i="71" s="1"/>
  <c r="N57" i="71"/>
  <c r="B58" i="71"/>
  <c r="B59" i="71"/>
  <c r="B60" i="71" s="1"/>
  <c r="S60" i="71" s="1"/>
  <c r="D57" i="71"/>
  <c r="Q56" i="71"/>
  <c r="P56" i="71"/>
  <c r="O56" i="71"/>
  <c r="N56" i="71"/>
  <c r="Q55" i="71"/>
  <c r="P55" i="71"/>
  <c r="O55" i="71"/>
  <c r="N55" i="71"/>
  <c r="Q54" i="71"/>
  <c r="F55" i="71" s="1"/>
  <c r="F56" i="71" s="1"/>
  <c r="V56" i="71" s="1"/>
  <c r="P54" i="71"/>
  <c r="O54" i="71"/>
  <c r="N54" i="71"/>
  <c r="C54" i="71"/>
  <c r="C55" i="71" s="1"/>
  <c r="Q53" i="71"/>
  <c r="F54" i="71"/>
  <c r="P53" i="71"/>
  <c r="E54" i="71"/>
  <c r="E55" i="71" s="1"/>
  <c r="E56" i="71" s="1"/>
  <c r="U56" i="71" s="1"/>
  <c r="O53" i="71"/>
  <c r="N53" i="71"/>
  <c r="B54" i="71"/>
  <c r="B55" i="71"/>
  <c r="B56" i="71" s="1"/>
  <c r="S56" i="71" s="1"/>
  <c r="D53" i="71"/>
  <c r="Q52" i="71"/>
  <c r="P52" i="71"/>
  <c r="O52" i="71"/>
  <c r="N52" i="71"/>
  <c r="Q51" i="71"/>
  <c r="P51" i="71"/>
  <c r="O51" i="71"/>
  <c r="N51" i="71"/>
  <c r="Q50" i="71"/>
  <c r="P50" i="71"/>
  <c r="E51" i="71" s="1"/>
  <c r="E52" i="71" s="1"/>
  <c r="U52" i="71" s="1"/>
  <c r="O50" i="71"/>
  <c r="N50" i="71"/>
  <c r="Q49" i="71"/>
  <c r="F50" i="71"/>
  <c r="F51" i="71" s="1"/>
  <c r="F52" i="71" s="1"/>
  <c r="P49" i="71"/>
  <c r="E50" i="71"/>
  <c r="O49" i="71"/>
  <c r="C50" i="71"/>
  <c r="C51" i="71" s="1"/>
  <c r="N49" i="71"/>
  <c r="B50" i="71" s="1"/>
  <c r="B51" i="71" s="1"/>
  <c r="B52" i="71"/>
  <c r="S52" i="71" s="1"/>
  <c r="D49" i="71"/>
  <c r="T48" i="71"/>
  <c r="Q48" i="71"/>
  <c r="P48" i="71"/>
  <c r="O48" i="71"/>
  <c r="N48" i="71"/>
  <c r="D48" i="71"/>
  <c r="Q47" i="71"/>
  <c r="P47" i="71"/>
  <c r="O47" i="71"/>
  <c r="N47" i="71"/>
  <c r="Q46" i="71"/>
  <c r="P46" i="71"/>
  <c r="O46" i="71"/>
  <c r="N46" i="71"/>
  <c r="F46" i="71"/>
  <c r="F47" i="71" s="1"/>
  <c r="F48" i="71" s="1"/>
  <c r="V48" i="71"/>
  <c r="Q45" i="71"/>
  <c r="P45" i="71"/>
  <c r="E46" i="71"/>
  <c r="E47" i="71"/>
  <c r="E48" i="71" s="1"/>
  <c r="U48" i="71" s="1"/>
  <c r="O45" i="71"/>
  <c r="C46" i="71"/>
  <c r="D46"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c r="B43" i="71" s="1"/>
  <c r="B44" i="71" s="1"/>
  <c r="S44" i="71" s="1"/>
  <c r="D41" i="71"/>
  <c r="Q40" i="71"/>
  <c r="P40" i="71"/>
  <c r="O40" i="71"/>
  <c r="N40" i="71"/>
  <c r="AB39" i="71"/>
  <c r="Q39" i="71"/>
  <c r="P39" i="71"/>
  <c r="AA39" i="71"/>
  <c r="O39" i="71"/>
  <c r="N39" i="71"/>
  <c r="X39" i="71" s="1"/>
  <c r="Q38" i="71"/>
  <c r="AB38" i="71" s="1"/>
  <c r="P38" i="71"/>
  <c r="O38" i="71"/>
  <c r="Y38" i="71" s="1"/>
  <c r="Z38" i="71" s="1"/>
  <c r="N38" i="71"/>
  <c r="F38" i="71"/>
  <c r="F39" i="71" s="1"/>
  <c r="F40" i="71" s="1"/>
  <c r="V40" i="71" s="1"/>
  <c r="Q37" i="71"/>
  <c r="AB37" i="71" s="1"/>
  <c r="P37" i="71"/>
  <c r="O37" i="71"/>
  <c r="N37" i="71"/>
  <c r="D37" i="71"/>
  <c r="Q36" i="71"/>
  <c r="P36" i="71"/>
  <c r="O36" i="71"/>
  <c r="N36" i="71"/>
  <c r="Q35" i="71"/>
  <c r="P35" i="71"/>
  <c r="O35" i="71"/>
  <c r="Y35" i="71"/>
  <c r="Z35" i="71" s="1"/>
  <c r="N35" i="71"/>
  <c r="Q34" i="71"/>
  <c r="AB31" i="71" s="1"/>
  <c r="P34" i="71"/>
  <c r="O34" i="71"/>
  <c r="Y34" i="71"/>
  <c r="Z34" i="71" s="1"/>
  <c r="N34" i="71"/>
  <c r="Q33" i="71"/>
  <c r="F34" i="71" s="1"/>
  <c r="F35" i="71" s="1"/>
  <c r="F36" i="71" s="1"/>
  <c r="V36" i="71" s="1"/>
  <c r="P33" i="71"/>
  <c r="O33" i="71"/>
  <c r="N33" i="71"/>
  <c r="D33" i="71"/>
  <c r="Q32" i="71"/>
  <c r="AB32" i="71" s="1"/>
  <c r="P32" i="71"/>
  <c r="O32" i="71"/>
  <c r="Y32" i="71"/>
  <c r="Z32" i="71" s="1"/>
  <c r="N32" i="71"/>
  <c r="Q31" i="71"/>
  <c r="P31" i="71"/>
  <c r="O31" i="71"/>
  <c r="Y31" i="71" s="1"/>
  <c r="Z31" i="71" s="1"/>
  <c r="N31" i="71"/>
  <c r="X31" i="71" s="1"/>
  <c r="Q30" i="71"/>
  <c r="P30" i="71"/>
  <c r="AA28" i="71" s="1"/>
  <c r="O30" i="71"/>
  <c r="N30" i="71"/>
  <c r="X30" i="71" s="1"/>
  <c r="Q29" i="71"/>
  <c r="P29" i="71"/>
  <c r="O29" i="71"/>
  <c r="N29" i="71"/>
  <c r="X28" i="71" s="1"/>
  <c r="D29" i="71"/>
  <c r="O28" i="71"/>
  <c r="N28" i="71"/>
  <c r="B30" i="71"/>
  <c r="B31" i="71" s="1"/>
  <c r="B32" i="71" s="1"/>
  <c r="S32" i="71" s="1"/>
  <c r="E30" i="71"/>
  <c r="B34" i="71"/>
  <c r="B35" i="71" s="1"/>
  <c r="B36" i="71" s="1"/>
  <c r="S36" i="71" s="1"/>
  <c r="E38" i="71"/>
  <c r="E39" i="71"/>
  <c r="E40" i="71" s="1"/>
  <c r="U40" i="71" s="1"/>
  <c r="AA37" i="71"/>
  <c r="N68" i="71"/>
  <c r="C30" i="71"/>
  <c r="Y29" i="71"/>
  <c r="Z29" i="71" s="1"/>
  <c r="AA30" i="71"/>
  <c r="C34" i="71"/>
  <c r="X35" i="71"/>
  <c r="C38" i="71"/>
  <c r="D38" i="71" s="1"/>
  <c r="Y37" i="71"/>
  <c r="Z37" i="71" s="1"/>
  <c r="X38" i="71"/>
  <c r="AA38" i="71"/>
  <c r="V52" i="71"/>
  <c r="C28" i="71"/>
  <c r="T28" i="71" s="1"/>
  <c r="Y26" i="71"/>
  <c r="Z26" i="71" s="1"/>
  <c r="Y28" i="71"/>
  <c r="Z28" i="71" s="1"/>
  <c r="B28" i="71"/>
  <c r="B27" i="71" s="1"/>
  <c r="B26" i="71" s="1"/>
  <c r="X25" i="71"/>
  <c r="C31" i="71"/>
  <c r="D30" i="71"/>
  <c r="C39" i="71"/>
  <c r="D39" i="71" s="1"/>
  <c r="C47" i="71"/>
  <c r="D47" i="71" s="1"/>
  <c r="D50" i="71"/>
  <c r="P28" i="71"/>
  <c r="E63" i="71"/>
  <c r="E64" i="71" s="1"/>
  <c r="U64" i="71" s="1"/>
  <c r="U68" i="71"/>
  <c r="E67" i="71"/>
  <c r="Q28" i="71"/>
  <c r="AB27" i="71" s="1"/>
  <c r="D54" i="71"/>
  <c r="C59" i="71"/>
  <c r="C60" i="71" s="1"/>
  <c r="D62" i="71"/>
  <c r="N67" i="71"/>
  <c r="B66" i="71"/>
  <c r="T68" i="71"/>
  <c r="O68" i="71"/>
  <c r="D68" i="71"/>
  <c r="C67" i="71"/>
  <c r="Q68" i="71"/>
  <c r="C71" i="71"/>
  <c r="E71" i="71"/>
  <c r="E70" i="71" s="1"/>
  <c r="D72" i="71"/>
  <c r="C75" i="71"/>
  <c r="D75" i="71" s="1"/>
  <c r="E75" i="71"/>
  <c r="E74" i="71" s="1"/>
  <c r="D76" i="71"/>
  <c r="C79" i="71"/>
  <c r="E79" i="71"/>
  <c r="E78" i="71" s="1"/>
  <c r="D80" i="71"/>
  <c r="C83" i="71"/>
  <c r="D83" i="71" s="1"/>
  <c r="C87" i="71"/>
  <c r="C86" i="71" s="1"/>
  <c r="D86" i="71" s="1"/>
  <c r="C27" i="71"/>
  <c r="C26" i="71" s="1"/>
  <c r="D26" i="71" s="1"/>
  <c r="S28" i="71"/>
  <c r="F28" i="71"/>
  <c r="F27" i="71" s="1"/>
  <c r="F26" i="71" s="1"/>
  <c r="AB28" i="71"/>
  <c r="E28" i="71"/>
  <c r="E27" i="71"/>
  <c r="E26" i="71" s="1"/>
  <c r="AA25" i="71"/>
  <c r="D28" i="71"/>
  <c r="U28" i="71"/>
  <c r="C66" i="71"/>
  <c r="O65" i="71" s="1"/>
  <c r="O67" i="71"/>
  <c r="D67" i="71"/>
  <c r="C64" i="71"/>
  <c r="T64" i="71" s="1"/>
  <c r="D63" i="71"/>
  <c r="C74" i="71"/>
  <c r="D74" i="71" s="1"/>
  <c r="N65" i="71"/>
  <c r="N66" i="71"/>
  <c r="D87" i="71"/>
  <c r="D79" i="71"/>
  <c r="C78" i="71"/>
  <c r="D78" i="71" s="1"/>
  <c r="D71" i="71"/>
  <c r="C70" i="71"/>
  <c r="D70" i="71"/>
  <c r="D59" i="71"/>
  <c r="C56" i="71"/>
  <c r="D56" i="71" s="1"/>
  <c r="D55" i="71"/>
  <c r="P67" i="71"/>
  <c r="E66" i="71"/>
  <c r="P65" i="71" s="1"/>
  <c r="C52" i="71"/>
  <c r="D51" i="71"/>
  <c r="C32" i="71"/>
  <c r="D31" i="71"/>
  <c r="V28" i="71"/>
  <c r="P66" i="71"/>
  <c r="O66" i="71"/>
  <c r="D66" i="71"/>
  <c r="T32" i="71"/>
  <c r="D32" i="71"/>
  <c r="T52" i="71"/>
  <c r="D52" i="71"/>
  <c r="T56" i="71"/>
  <c r="O27" i="6"/>
  <c r="N27" i="6"/>
  <c r="P20" i="6"/>
  <c r="P21" i="6"/>
  <c r="P22" i="6"/>
  <c r="P27" i="6" s="1"/>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C21" i="37"/>
  <c r="Q21" i="34"/>
  <c r="Z21" i="34" s="1"/>
  <c r="D84" i="34"/>
  <c r="E84" i="34"/>
  <c r="F21" i="34"/>
  <c r="AA21" i="34"/>
  <c r="C21" i="34"/>
  <c r="Q21" i="33"/>
  <c r="Z21" i="33" s="1"/>
  <c r="D83" i="33"/>
  <c r="E83" i="33" s="1"/>
  <c r="F83" i="33" s="1"/>
  <c r="G83" i="33" s="1"/>
  <c r="C21" i="33"/>
  <c r="C21" i="21"/>
  <c r="Q21" i="21"/>
  <c r="Z21" i="21" s="1"/>
  <c r="H19" i="21"/>
  <c r="D83" i="21"/>
  <c r="F21" i="21"/>
  <c r="D81" i="21"/>
  <c r="G20" i="20"/>
  <c r="C25" i="40" s="1"/>
  <c r="B88" i="43"/>
  <c r="C22" i="20"/>
  <c r="B100" i="43" s="1"/>
  <c r="B77" i="43"/>
  <c r="B57" i="43"/>
  <c r="B68" i="43"/>
  <c r="C29" i="39"/>
  <c r="S25" i="40"/>
  <c r="S18" i="36"/>
  <c r="S21" i="34"/>
  <c r="H25" i="40"/>
  <c r="AB25" i="40" s="1"/>
  <c r="J25" i="40"/>
  <c r="W25" i="40" s="1"/>
  <c r="H29" i="39"/>
  <c r="AB29" i="39" s="1"/>
  <c r="J29" i="39"/>
  <c r="AC29" i="39" s="1"/>
  <c r="J18" i="36"/>
  <c r="AC18" i="36" s="1"/>
  <c r="F68" i="35"/>
  <c r="H18" i="35"/>
  <c r="AB18" i="35" s="1"/>
  <c r="G68" i="35"/>
  <c r="J18" i="35"/>
  <c r="F77" i="37"/>
  <c r="G77" i="37" s="1"/>
  <c r="H21" i="37"/>
  <c r="F21" i="37"/>
  <c r="AA21" i="37" s="1"/>
  <c r="F84" i="34"/>
  <c r="H21" i="34"/>
  <c r="AB21" i="34" s="1"/>
  <c r="H21" i="33"/>
  <c r="U21" i="33" s="1"/>
  <c r="F21" i="33"/>
  <c r="E83" i="21"/>
  <c r="F83" i="21" s="1"/>
  <c r="G83" i="21" s="1"/>
  <c r="H1" i="69"/>
  <c r="AC25" i="40"/>
  <c r="U25" i="40"/>
  <c r="U29" i="39"/>
  <c r="W29" i="39"/>
  <c r="AB21" i="37"/>
  <c r="U21" i="37"/>
  <c r="S21" i="37"/>
  <c r="AA21" i="33"/>
  <c r="S21" i="33"/>
  <c r="AC18" i="35"/>
  <c r="W18" i="35"/>
  <c r="J21" i="37"/>
  <c r="G84" i="34"/>
  <c r="J21" i="34"/>
  <c r="W21" i="34" s="1"/>
  <c r="J21" i="33"/>
  <c r="AC21" i="33" s="1"/>
  <c r="H21" i="21"/>
  <c r="U21" i="21" s="1"/>
  <c r="F38" i="69"/>
  <c r="E37" i="69"/>
  <c r="F36" i="69"/>
  <c r="F35" i="69"/>
  <c r="F21" i="69"/>
  <c r="F40" i="69" s="1"/>
  <c r="F20" i="69"/>
  <c r="F39" i="69" s="1"/>
  <c r="E10" i="69"/>
  <c r="E9" i="69"/>
  <c r="AC21" i="37"/>
  <c r="W21" i="37"/>
  <c r="W21" i="33"/>
  <c r="J21" i="21"/>
  <c r="F38" i="68"/>
  <c r="E37" i="68"/>
  <c r="F36" i="68"/>
  <c r="F35" i="68"/>
  <c r="F21" i="68"/>
  <c r="F40" i="68" s="1"/>
  <c r="F20" i="68"/>
  <c r="F39" i="68" s="1"/>
  <c r="E10" i="68"/>
  <c r="E9" i="68"/>
  <c r="C7" i="68"/>
  <c r="C5" i="68" s="1"/>
  <c r="W21" i="21"/>
  <c r="AC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6" s="1"/>
  <c r="C46" i="36" s="1"/>
  <c r="D46" i="36" s="1"/>
  <c r="E46" i="36" s="1"/>
  <c r="F46" i="36" s="1"/>
  <c r="G46" i="36" s="1"/>
  <c r="H46" i="36" s="1"/>
  <c r="I46" i="36" s="1"/>
  <c r="E15" i="4"/>
  <c r="F8" i="1" s="1"/>
  <c r="A7" i="1"/>
  <c r="B7" i="1" s="1"/>
  <c r="E7" i="1" s="1"/>
  <c r="A8" i="1"/>
  <c r="B8" i="1" s="1"/>
  <c r="E8" i="1" s="1"/>
  <c r="A9" i="1"/>
  <c r="A10" i="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s="1"/>
  <c r="AZ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L108" i="3" s="1"/>
  <c r="BN108" i="3"/>
  <c r="BM108" i="3"/>
  <c r="BK108" i="3"/>
  <c r="BJ108" i="3"/>
  <c r="BI108" i="3"/>
  <c r="BH108" i="3"/>
  <c r="BG108" i="3"/>
  <c r="BF108" i="3"/>
  <c r="BE108" i="3"/>
  <c r="BD108" i="3"/>
  <c r="BC108" i="3"/>
  <c r="BA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A103" i="3" s="1"/>
  <c r="BC103" i="3"/>
  <c r="BB103" i="3"/>
  <c r="AZ103" i="3"/>
  <c r="AX103" i="3"/>
  <c r="AW103" i="3"/>
  <c r="AV103" i="3"/>
  <c r="AC103" i="3"/>
  <c r="G103" i="3" s="1"/>
  <c r="H103" i="3"/>
  <c r="BT102" i="3"/>
  <c r="BS102" i="3"/>
  <c r="BR102" i="3"/>
  <c r="BQ102" i="3"/>
  <c r="BP102" i="3"/>
  <c r="BO102" i="3"/>
  <c r="BL102" i="3" s="1"/>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A97" i="3" s="1"/>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L91" i="3"/>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L88" i="3" s="1"/>
  <c r="BN88" i="3"/>
  <c r="BM88" i="3"/>
  <c r="BK88" i="3"/>
  <c r="BJ88" i="3"/>
  <c r="BI88" i="3"/>
  <c r="BH88" i="3"/>
  <c r="BG88" i="3"/>
  <c r="BF88" i="3"/>
  <c r="BE88" i="3"/>
  <c r="BD88" i="3"/>
  <c r="BC88" i="3"/>
  <c r="BA88" i="3" s="1"/>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c r="BK86" i="3"/>
  <c r="BJ86" i="3"/>
  <c r="BI86" i="3"/>
  <c r="BH86" i="3"/>
  <c r="BG86" i="3"/>
  <c r="BF86" i="3"/>
  <c r="BE86" i="3"/>
  <c r="BD86" i="3"/>
  <c r="BA86" i="3" s="1"/>
  <c r="BC86" i="3"/>
  <c r="BB86" i="3"/>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BT83" i="3"/>
  <c r="BS83" i="3"/>
  <c r="BR83" i="3"/>
  <c r="BQ83" i="3"/>
  <c r="BP83" i="3"/>
  <c r="BO83" i="3"/>
  <c r="BN83" i="3"/>
  <c r="BL83" i="3" s="1"/>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L79" i="3" s="1"/>
  <c r="BN79" i="3"/>
  <c r="BM79" i="3"/>
  <c r="BK79" i="3"/>
  <c r="BJ79" i="3"/>
  <c r="BI79" i="3"/>
  <c r="BH79" i="3"/>
  <c r="BG79" i="3"/>
  <c r="BF79" i="3"/>
  <c r="BE79" i="3"/>
  <c r="BD79" i="3"/>
  <c r="BC79" i="3"/>
  <c r="BA79" i="3" s="1"/>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G75" i="3" s="1"/>
  <c r="H75" i="3"/>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c r="BK72" i="3"/>
  <c r="BJ72" i="3"/>
  <c r="BI72" i="3"/>
  <c r="BH72" i="3"/>
  <c r="BG72" i="3"/>
  <c r="BF72" i="3"/>
  <c r="BE72" i="3"/>
  <c r="BD72" i="3"/>
  <c r="BA72" i="3" s="1"/>
  <c r="BC72" i="3"/>
  <c r="BB72" i="3"/>
  <c r="AX72" i="3"/>
  <c r="AW72" i="3"/>
  <c r="AV72" i="3"/>
  <c r="AC72" i="3"/>
  <c r="H72" i="3"/>
  <c r="G72" i="3" s="1"/>
  <c r="BT71" i="3"/>
  <c r="BS71" i="3"/>
  <c r="BR71" i="3"/>
  <c r="BQ71" i="3"/>
  <c r="BP71" i="3"/>
  <c r="BO71" i="3"/>
  <c r="BN71" i="3"/>
  <c r="BL71" i="3" s="1"/>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G70" i="3" s="1"/>
  <c r="H70" i="3"/>
  <c r="BT69" i="3"/>
  <c r="BS69" i="3"/>
  <c r="BR69" i="3"/>
  <c r="BQ69" i="3"/>
  <c r="BP69" i="3"/>
  <c r="BO69" i="3"/>
  <c r="BL69" i="3" s="1"/>
  <c r="BN69" i="3"/>
  <c r="BM69" i="3"/>
  <c r="BK69" i="3"/>
  <c r="BJ69" i="3"/>
  <c r="BI69" i="3"/>
  <c r="BH69" i="3"/>
  <c r="BG69" i="3"/>
  <c r="BF69" i="3"/>
  <c r="BE69" i="3"/>
  <c r="BD69" i="3"/>
  <c r="BC69" i="3"/>
  <c r="BA69" i="3" s="1"/>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BT66" i="3"/>
  <c r="BS66" i="3"/>
  <c r="BR66" i="3"/>
  <c r="BQ66" i="3"/>
  <c r="BP66" i="3"/>
  <c r="BO66" i="3"/>
  <c r="BN66" i="3"/>
  <c r="BL66" i="3" s="1"/>
  <c r="BM66" i="3"/>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G65" i="3" s="1"/>
  <c r="H65" i="3"/>
  <c r="BT64" i="3"/>
  <c r="BS64" i="3"/>
  <c r="BR64" i="3"/>
  <c r="BQ64" i="3"/>
  <c r="BP64" i="3"/>
  <c r="BO64" i="3"/>
  <c r="BN64" i="3"/>
  <c r="BM64" i="3"/>
  <c r="BL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G62" i="3" s="1"/>
  <c r="H62" i="3"/>
  <c r="BT61" i="3"/>
  <c r="BS61" i="3"/>
  <c r="BR61" i="3"/>
  <c r="BQ61" i="3"/>
  <c r="BP61" i="3"/>
  <c r="BO61" i="3"/>
  <c r="BL61" i="3" s="1"/>
  <c r="BN61" i="3"/>
  <c r="BM61" i="3"/>
  <c r="BK61" i="3"/>
  <c r="BJ61" i="3"/>
  <c r="BI61" i="3"/>
  <c r="BH61" i="3"/>
  <c r="BG61" i="3"/>
  <c r="BF61" i="3"/>
  <c r="BE61" i="3"/>
  <c r="BD61" i="3"/>
  <c r="BC61" i="3"/>
  <c r="BA61" i="3" s="1"/>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BT58" i="3"/>
  <c r="BS58" i="3"/>
  <c r="BR58" i="3"/>
  <c r="BQ58" i="3"/>
  <c r="BP58" i="3"/>
  <c r="BO58" i="3"/>
  <c r="BN58" i="3"/>
  <c r="BL58" i="3" s="1"/>
  <c r="BM58" i="3"/>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G57" i="3" s="1"/>
  <c r="H57" i="3"/>
  <c r="BT56" i="3"/>
  <c r="BS56" i="3"/>
  <c r="BR56" i="3"/>
  <c r="BQ56" i="3"/>
  <c r="BP56" i="3"/>
  <c r="BO56" i="3"/>
  <c r="BN56" i="3"/>
  <c r="BM56" i="3"/>
  <c r="BL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G54" i="3" s="1"/>
  <c r="H54" i="3"/>
  <c r="BT53" i="3"/>
  <c r="BS53" i="3"/>
  <c r="BR53" i="3"/>
  <c r="BQ53" i="3"/>
  <c r="BP53" i="3"/>
  <c r="BO53" i="3"/>
  <c r="BL53" i="3" s="1"/>
  <c r="BN53" i="3"/>
  <c r="BM53" i="3"/>
  <c r="BK53" i="3"/>
  <c r="BJ53" i="3"/>
  <c r="BI53" i="3"/>
  <c r="BH53" i="3"/>
  <c r="BG53" i="3"/>
  <c r="BF53" i="3"/>
  <c r="BE53" i="3"/>
  <c r="BD53" i="3"/>
  <c r="BC53" i="3"/>
  <c r="BA53" i="3" s="1"/>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L50" i="3" s="1"/>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G49" i="3" s="1"/>
  <c r="H49" i="3"/>
  <c r="BT48" i="3"/>
  <c r="BS48" i="3"/>
  <c r="BR48" i="3"/>
  <c r="BQ48" i="3"/>
  <c r="BP48" i="3"/>
  <c r="BO48" i="3"/>
  <c r="BN48" i="3"/>
  <c r="BM48" i="3"/>
  <c r="BL48" i="3" s="1"/>
  <c r="BK48" i="3"/>
  <c r="BJ48" i="3"/>
  <c r="BI48" i="3"/>
  <c r="BH48" i="3"/>
  <c r="BG48" i="3"/>
  <c r="BF48" i="3"/>
  <c r="BE48" i="3"/>
  <c r="BD48" i="3"/>
  <c r="BC48" i="3"/>
  <c r="BA48" i="3" s="1"/>
  <c r="BB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L40" i="3" s="1"/>
  <c r="BM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A162" i="3" s="1"/>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A161" i="3" s="1"/>
  <c r="AZ161" i="3" s="1"/>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G158" i="3" s="1"/>
  <c r="H158" i="3"/>
  <c r="BT157" i="3"/>
  <c r="BS157" i="3"/>
  <c r="BR157" i="3"/>
  <c r="BQ157" i="3"/>
  <c r="BP157" i="3"/>
  <c r="BO157" i="3"/>
  <c r="BL157" i="3" s="1"/>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G152" i="3" s="1"/>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L146" i="3" s="1"/>
  <c r="BK146" i="3"/>
  <c r="BJ146" i="3"/>
  <c r="BI146" i="3"/>
  <c r="BH146" i="3"/>
  <c r="BG146" i="3"/>
  <c r="BF146" i="3"/>
  <c r="BE146" i="3"/>
  <c r="BD146" i="3"/>
  <c r="BC146" i="3"/>
  <c r="BA146" i="3" s="1"/>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L143" i="3" s="1"/>
  <c r="BM143" i="3"/>
  <c r="BK143" i="3"/>
  <c r="BJ143" i="3"/>
  <c r="BI143" i="3"/>
  <c r="BH143" i="3"/>
  <c r="BG143" i="3"/>
  <c r="BF143" i="3"/>
  <c r="BE143" i="3"/>
  <c r="BD143" i="3"/>
  <c r="BC143" i="3"/>
  <c r="BB143" i="3"/>
  <c r="AX143" i="3"/>
  <c r="AW143" i="3"/>
  <c r="AV143" i="3"/>
  <c r="AC143" i="3"/>
  <c r="G143" i="3" s="1"/>
  <c r="H143" i="3"/>
  <c r="BT142" i="3"/>
  <c r="BS142" i="3"/>
  <c r="BR142" i="3"/>
  <c r="BQ142" i="3"/>
  <c r="BP142" i="3"/>
  <c r="BO142" i="3"/>
  <c r="BN142" i="3"/>
  <c r="BM142" i="3"/>
  <c r="BL142" i="3" s="1"/>
  <c r="BK142" i="3"/>
  <c r="BJ142" i="3"/>
  <c r="BI142" i="3"/>
  <c r="BH142" i="3"/>
  <c r="BG142" i="3"/>
  <c r="BF142" i="3"/>
  <c r="BE142" i="3"/>
  <c r="BD142" i="3"/>
  <c r="BC142" i="3"/>
  <c r="BA142" i="3" s="1"/>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G139" i="3" s="1"/>
  <c r="H139" i="3"/>
  <c r="BT138" i="3"/>
  <c r="BS138" i="3"/>
  <c r="BR138" i="3"/>
  <c r="BQ138" i="3"/>
  <c r="BP138" i="3"/>
  <c r="BO138" i="3"/>
  <c r="BN138" i="3"/>
  <c r="BM138" i="3"/>
  <c r="BL138" i="3" s="1"/>
  <c r="BK138" i="3"/>
  <c r="BJ138" i="3"/>
  <c r="BI138" i="3"/>
  <c r="BH138" i="3"/>
  <c r="BG138" i="3"/>
  <c r="BF138" i="3"/>
  <c r="BE138" i="3"/>
  <c r="BD138" i="3"/>
  <c r="BC138" i="3"/>
  <c r="BA138" i="3" s="1"/>
  <c r="BB138" i="3"/>
  <c r="AX138" i="3"/>
  <c r="AW138" i="3"/>
  <c r="AV138" i="3"/>
  <c r="AC138" i="3"/>
  <c r="G138" i="3" s="1"/>
  <c r="H138" i="3"/>
  <c r="BT137" i="3"/>
  <c r="BS137" i="3"/>
  <c r="BR137" i="3"/>
  <c r="BQ137" i="3"/>
  <c r="BP137" i="3"/>
  <c r="BO137" i="3"/>
  <c r="BN137" i="3"/>
  <c r="BM137" i="3"/>
  <c r="BL137" i="3" s="1"/>
  <c r="BK137" i="3"/>
  <c r="BJ137" i="3"/>
  <c r="BI137" i="3"/>
  <c r="BH137" i="3"/>
  <c r="BG137" i="3"/>
  <c r="BF137" i="3"/>
  <c r="BE137" i="3"/>
  <c r="BD137" i="3"/>
  <c r="BC137" i="3"/>
  <c r="BA137" i="3" s="1"/>
  <c r="AZ137" i="3" s="1"/>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L134" i="3" s="1"/>
  <c r="BM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L126" i="3" s="1"/>
  <c r="BM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A117" i="3" s="1"/>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A116" i="3" s="1"/>
  <c r="BC116" i="3"/>
  <c r="BB116" i="3"/>
  <c r="AX116" i="3"/>
  <c r="AW116" i="3"/>
  <c r="AV116" i="3"/>
  <c r="AC116" i="3"/>
  <c r="H116" i="3"/>
  <c r="G116" i="3" s="1"/>
  <c r="BT115" i="3"/>
  <c r="BS115" i="3"/>
  <c r="BR115" i="3"/>
  <c r="BQ115" i="3"/>
  <c r="BP115" i="3"/>
  <c r="BO115" i="3"/>
  <c r="BN115" i="3"/>
  <c r="BL115" i="3" s="1"/>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L114" i="3" s="1"/>
  <c r="BN114" i="3"/>
  <c r="BM114" i="3"/>
  <c r="BK114" i="3"/>
  <c r="BJ114" i="3"/>
  <c r="BI114" i="3"/>
  <c r="BH114" i="3"/>
  <c r="BG114" i="3"/>
  <c r="BF114" i="3"/>
  <c r="BE114" i="3"/>
  <c r="BD114" i="3"/>
  <c r="BC114" i="3"/>
  <c r="BB114" i="3"/>
  <c r="BA114" i="3" s="1"/>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L302" i="3" s="1"/>
  <c r="BN302" i="3"/>
  <c r="BM302" i="3"/>
  <c r="BK302" i="3"/>
  <c r="BJ302" i="3"/>
  <c r="BI302" i="3"/>
  <c r="BH302" i="3"/>
  <c r="BG302" i="3"/>
  <c r="BF302" i="3"/>
  <c r="BE302" i="3"/>
  <c r="BD302" i="3"/>
  <c r="BC302" i="3"/>
  <c r="BA302" i="3" s="1"/>
  <c r="BB302" i="3"/>
  <c r="AX302" i="3"/>
  <c r="AW302" i="3"/>
  <c r="AV302" i="3"/>
  <c r="AC302" i="3"/>
  <c r="H302" i="3"/>
  <c r="G302" i="3" s="1"/>
  <c r="BT301" i="3"/>
  <c r="BS301" i="3"/>
  <c r="BR301" i="3"/>
  <c r="BQ301" i="3"/>
  <c r="BP301" i="3"/>
  <c r="BO301" i="3"/>
  <c r="BN301" i="3"/>
  <c r="BL301" i="3" s="1"/>
  <c r="BM301" i="3"/>
  <c r="BK301" i="3"/>
  <c r="BJ301" i="3"/>
  <c r="BI301" i="3"/>
  <c r="BH301" i="3"/>
  <c r="BG301" i="3"/>
  <c r="BF301" i="3"/>
  <c r="BE301" i="3"/>
  <c r="BD301" i="3"/>
  <c r="BC301" i="3"/>
  <c r="BB301" i="3"/>
  <c r="BA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s="1"/>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G297" i="3" s="1"/>
  <c r="H297" i="3"/>
  <c r="BT296" i="3"/>
  <c r="BS296" i="3"/>
  <c r="BR296" i="3"/>
  <c r="BQ296" i="3"/>
  <c r="BP296" i="3"/>
  <c r="BO296" i="3"/>
  <c r="BL296" i="3" s="1"/>
  <c r="BN296" i="3"/>
  <c r="BM296" i="3"/>
  <c r="BK296" i="3"/>
  <c r="BJ296" i="3"/>
  <c r="BI296" i="3"/>
  <c r="BH296" i="3"/>
  <c r="BG296" i="3"/>
  <c r="BF296" i="3"/>
  <c r="BE296" i="3"/>
  <c r="BD296" i="3"/>
  <c r="BC296" i="3"/>
  <c r="BA296" i="3" s="1"/>
  <c r="BB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G295" i="3" s="1"/>
  <c r="H295" i="3"/>
  <c r="BT294" i="3"/>
  <c r="BS294" i="3"/>
  <c r="BR294" i="3"/>
  <c r="BQ294" i="3"/>
  <c r="BP294" i="3"/>
  <c r="BO294" i="3"/>
  <c r="BL294" i="3" s="1"/>
  <c r="BN294" i="3"/>
  <c r="BM294" i="3"/>
  <c r="BK294" i="3"/>
  <c r="BJ294" i="3"/>
  <c r="BI294" i="3"/>
  <c r="BH294" i="3"/>
  <c r="BG294" i="3"/>
  <c r="BF294" i="3"/>
  <c r="BE294" i="3"/>
  <c r="BD294" i="3"/>
  <c r="BC294" i="3"/>
  <c r="BA294" i="3" s="1"/>
  <c r="BB294" i="3"/>
  <c r="AX294" i="3"/>
  <c r="AW294" i="3"/>
  <c r="AV294" i="3"/>
  <c r="AC294" i="3"/>
  <c r="H294" i="3"/>
  <c r="G294" i="3" s="1"/>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A288" i="3" s="1"/>
  <c r="BC288" i="3"/>
  <c r="BB288" i="3"/>
  <c r="AX288" i="3"/>
  <c r="AW288" i="3"/>
  <c r="AV288" i="3"/>
  <c r="AC288" i="3"/>
  <c r="H288" i="3"/>
  <c r="G288" i="3" s="1"/>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L285" i="3" s="1"/>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L282" i="3" s="1"/>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N280" i="3"/>
  <c r="BM280" i="3"/>
  <c r="BL280" i="3"/>
  <c r="BK280" i="3"/>
  <c r="BJ280" i="3"/>
  <c r="BI280" i="3"/>
  <c r="BH280" i="3"/>
  <c r="BG280" i="3"/>
  <c r="BF280" i="3"/>
  <c r="BE280" i="3"/>
  <c r="BD280" i="3"/>
  <c r="BC280" i="3"/>
  <c r="BA280" i="3" s="1"/>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N278" i="3"/>
  <c r="BM278" i="3"/>
  <c r="BL278" i="3"/>
  <c r="BK278" i="3"/>
  <c r="BJ278" i="3"/>
  <c r="BI278" i="3"/>
  <c r="BH278" i="3"/>
  <c r="BG278" i="3"/>
  <c r="BF278" i="3"/>
  <c r="BE278" i="3"/>
  <c r="BD278" i="3"/>
  <c r="BC278" i="3"/>
  <c r="BA278" i="3" s="1"/>
  <c r="AZ278" i="3" s="1"/>
  <c r="BB278" i="3"/>
  <c r="AX278" i="3"/>
  <c r="AW278" i="3"/>
  <c r="AV278" i="3"/>
  <c r="AC278" i="3"/>
  <c r="H278" i="3"/>
  <c r="G278" i="3" s="1"/>
  <c r="BT277" i="3"/>
  <c r="BS277" i="3"/>
  <c r="BR277" i="3"/>
  <c r="BQ277" i="3"/>
  <c r="BP277" i="3"/>
  <c r="BO277" i="3"/>
  <c r="BN277" i="3"/>
  <c r="BL277" i="3" s="1"/>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G273" i="3" s="1"/>
  <c r="H273" i="3"/>
  <c r="BT272" i="3"/>
  <c r="BS272" i="3"/>
  <c r="BR272" i="3"/>
  <c r="BQ272" i="3"/>
  <c r="BP272" i="3"/>
  <c r="BO272" i="3"/>
  <c r="BN272" i="3"/>
  <c r="BM272" i="3"/>
  <c r="BL272" i="3"/>
  <c r="BK272" i="3"/>
  <c r="BJ272" i="3"/>
  <c r="BI272" i="3"/>
  <c r="BH272" i="3"/>
  <c r="BG272" i="3"/>
  <c r="BF272" i="3"/>
  <c r="BE272" i="3"/>
  <c r="BD272" i="3"/>
  <c r="BC272" i="3"/>
  <c r="BA272" i="3" s="1"/>
  <c r="AZ272" i="3" s="1"/>
  <c r="BB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L269" i="3" s="1"/>
  <c r="BN269" i="3"/>
  <c r="BM269" i="3"/>
  <c r="BK269" i="3"/>
  <c r="BJ269" i="3"/>
  <c r="BI269" i="3"/>
  <c r="BH269" i="3"/>
  <c r="BG269" i="3"/>
  <c r="BF269" i="3"/>
  <c r="BE269" i="3"/>
  <c r="BD269" i="3"/>
  <c r="BC269" i="3"/>
  <c r="BA269" i="3" s="1"/>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G268" i="3" s="1"/>
  <c r="H268" i="3"/>
  <c r="BT267" i="3"/>
  <c r="BS267" i="3"/>
  <c r="BR267" i="3"/>
  <c r="BQ267" i="3"/>
  <c r="BP267" i="3"/>
  <c r="BO267" i="3"/>
  <c r="BL267" i="3" s="1"/>
  <c r="BN267" i="3"/>
  <c r="BM267" i="3"/>
  <c r="BK267" i="3"/>
  <c r="BJ267" i="3"/>
  <c r="BI267" i="3"/>
  <c r="BH267" i="3"/>
  <c r="BG267" i="3"/>
  <c r="BF267" i="3"/>
  <c r="BE267" i="3"/>
  <c r="BD267" i="3"/>
  <c r="BC267" i="3"/>
  <c r="BA267" i="3" s="1"/>
  <c r="BB267" i="3"/>
  <c r="AX267" i="3"/>
  <c r="AW267" i="3"/>
  <c r="AV267" i="3"/>
  <c r="AC267" i="3"/>
  <c r="H267" i="3"/>
  <c r="G267" i="3" s="1"/>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AZ262" i="3" s="1"/>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H260" i="3"/>
  <c r="G260" i="3" s="1"/>
  <c r="BT259" i="3"/>
  <c r="BS259" i="3"/>
  <c r="BR259" i="3"/>
  <c r="BQ259" i="3"/>
  <c r="BP259" i="3"/>
  <c r="BO259" i="3"/>
  <c r="BL259" i="3" s="1"/>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L256" i="3" s="1"/>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A255" i="3" s="1"/>
  <c r="AZ255" i="3" s="1"/>
  <c r="BC255" i="3"/>
  <c r="BB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L252" i="3" s="1"/>
  <c r="BN252" i="3"/>
  <c r="BM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A250" i="3" s="1"/>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L242" i="3" s="1"/>
  <c r="BN242" i="3"/>
  <c r="BM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A240" i="3" s="1"/>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L237" i="3" s="1"/>
  <c r="BN237" i="3"/>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L232" i="3" s="1"/>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A231" i="3" s="1"/>
  <c r="AZ231" i="3" s="1"/>
  <c r="BC231" i="3"/>
  <c r="BB231" i="3"/>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H228" i="3"/>
  <c r="G228" i="3" s="1"/>
  <c r="BT227" i="3"/>
  <c r="BS227" i="3"/>
  <c r="BR227" i="3"/>
  <c r="BQ227" i="3"/>
  <c r="BP227" i="3"/>
  <c r="BO227" i="3"/>
  <c r="BL227" i="3" s="1"/>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H225" i="3"/>
  <c r="G225" i="3" s="1"/>
  <c r="BT224" i="3"/>
  <c r="BS224" i="3"/>
  <c r="BR224" i="3"/>
  <c r="BQ224" i="3"/>
  <c r="BP224" i="3"/>
  <c r="BO224" i="3"/>
  <c r="BL224" i="3" s="1"/>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A220" i="3" s="1"/>
  <c r="AZ220" i="3" s="1"/>
  <c r="BC220" i="3"/>
  <c r="BB220" i="3"/>
  <c r="AX220" i="3"/>
  <c r="AW220" i="3"/>
  <c r="AV220" i="3"/>
  <c r="AC220" i="3"/>
  <c r="H220" i="3"/>
  <c r="G220" i="3" s="1"/>
  <c r="BT219" i="3"/>
  <c r="BS219" i="3"/>
  <c r="BR219" i="3"/>
  <c r="BQ219" i="3"/>
  <c r="BP219" i="3"/>
  <c r="BO219" i="3"/>
  <c r="BL219" i="3" s="1"/>
  <c r="BN219" i="3"/>
  <c r="BM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A217" i="3" s="1"/>
  <c r="AZ217" i="3" s="1"/>
  <c r="BC217" i="3"/>
  <c r="BB217" i="3"/>
  <c r="AX217" i="3"/>
  <c r="AW217" i="3"/>
  <c r="AV217" i="3"/>
  <c r="AC217" i="3"/>
  <c r="H217" i="3"/>
  <c r="G217" i="3" s="1"/>
  <c r="BT216" i="3"/>
  <c r="BS216" i="3"/>
  <c r="BR216" i="3"/>
  <c r="BQ216" i="3"/>
  <c r="BP216" i="3"/>
  <c r="BO216" i="3"/>
  <c r="BL216" i="3" s="1"/>
  <c r="BN216" i="3"/>
  <c r="BM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A212" i="3" s="1"/>
  <c r="AZ212" i="3" s="1"/>
  <c r="BC212" i="3"/>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L208" i="3" s="1"/>
  <c r="BN208" i="3"/>
  <c r="BM208" i="3"/>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L395" i="3" s="1"/>
  <c r="BN395" i="3"/>
  <c r="BM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L386" i="3" s="1"/>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L350" i="3" s="1"/>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G339" i="3" s="1"/>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A335" i="3" s="1"/>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A319" i="3" s="1"/>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A492" i="3" s="1"/>
  <c r="AZ492" i="3" s="1"/>
  <c r="BC492" i="3"/>
  <c r="BB492" i="3"/>
  <c r="AX492" i="3"/>
  <c r="AW492" i="3"/>
  <c r="AV492" i="3"/>
  <c r="AC492" i="3"/>
  <c r="G492" i="3" s="1"/>
  <c r="H492" i="3"/>
  <c r="BT491" i="3"/>
  <c r="BS491" i="3"/>
  <c r="BR491" i="3"/>
  <c r="BQ491" i="3"/>
  <c r="BP491" i="3"/>
  <c r="BO491" i="3"/>
  <c r="BL491" i="3" s="1"/>
  <c r="BN491" i="3"/>
  <c r="BM491" i="3"/>
  <c r="BK491" i="3"/>
  <c r="BJ491" i="3"/>
  <c r="BI491" i="3"/>
  <c r="BH491" i="3"/>
  <c r="BG491" i="3"/>
  <c r="BF491" i="3"/>
  <c r="BE491" i="3"/>
  <c r="BD491" i="3"/>
  <c r="BC491" i="3"/>
  <c r="BA491" i="3" s="1"/>
  <c r="BB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G490" i="3" s="1"/>
  <c r="H490" i="3"/>
  <c r="BT489" i="3"/>
  <c r="BS489" i="3"/>
  <c r="BR489" i="3"/>
  <c r="BQ489" i="3"/>
  <c r="BP489" i="3"/>
  <c r="BO489" i="3"/>
  <c r="BL489" i="3" s="1"/>
  <c r="BN489" i="3"/>
  <c r="BM489" i="3"/>
  <c r="BK489" i="3"/>
  <c r="BJ489" i="3"/>
  <c r="BI489" i="3"/>
  <c r="BH489" i="3"/>
  <c r="BG489" i="3"/>
  <c r="BF489" i="3"/>
  <c r="BE489" i="3"/>
  <c r="BD489" i="3"/>
  <c r="BC489" i="3"/>
  <c r="BA489" i="3" s="1"/>
  <c r="AZ489" i="3" s="1"/>
  <c r="BB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A486" i="3" s="1"/>
  <c r="AZ486" i="3" s="1"/>
  <c r="BC486" i="3"/>
  <c r="BB486" i="3"/>
  <c r="AX486" i="3"/>
  <c r="AW486" i="3"/>
  <c r="AV486" i="3"/>
  <c r="AC486" i="3"/>
  <c r="G486" i="3" s="1"/>
  <c r="H486" i="3"/>
  <c r="BT485" i="3"/>
  <c r="BS485" i="3"/>
  <c r="BR485" i="3"/>
  <c r="BQ485" i="3"/>
  <c r="BP485" i="3"/>
  <c r="BO485" i="3"/>
  <c r="BL485" i="3" s="1"/>
  <c r="BN485" i="3"/>
  <c r="BM485" i="3"/>
  <c r="BK485" i="3"/>
  <c r="BJ485" i="3"/>
  <c r="BI485" i="3"/>
  <c r="BH485" i="3"/>
  <c r="BG485" i="3"/>
  <c r="BF485" i="3"/>
  <c r="BE485" i="3"/>
  <c r="BD485" i="3"/>
  <c r="BC485" i="3"/>
  <c r="BA485" i="3" s="1"/>
  <c r="BB485" i="3"/>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A482" i="3" s="1"/>
  <c r="AZ482" i="3" s="1"/>
  <c r="BC482" i="3"/>
  <c r="BB482" i="3"/>
  <c r="AX482" i="3"/>
  <c r="AW482" i="3"/>
  <c r="AV482" i="3"/>
  <c r="AC482" i="3"/>
  <c r="G482" i="3" s="1"/>
  <c r="H482" i="3"/>
  <c r="BT481" i="3"/>
  <c r="BS481" i="3"/>
  <c r="BR481" i="3"/>
  <c r="BQ481" i="3"/>
  <c r="BP481" i="3"/>
  <c r="BO481" i="3"/>
  <c r="BL481" i="3" s="1"/>
  <c r="BN481" i="3"/>
  <c r="BM481" i="3"/>
  <c r="BK481" i="3"/>
  <c r="BJ481" i="3"/>
  <c r="BI481" i="3"/>
  <c r="BH481" i="3"/>
  <c r="BG481" i="3"/>
  <c r="BF481" i="3"/>
  <c r="BE481" i="3"/>
  <c r="BD481" i="3"/>
  <c r="BA481" i="3" s="1"/>
  <c r="BC481" i="3"/>
  <c r="BB481" i="3"/>
  <c r="AX481" i="3"/>
  <c r="AW481" i="3"/>
  <c r="AV481" i="3"/>
  <c r="AC481" i="3"/>
  <c r="H481" i="3"/>
  <c r="G481" i="3" s="1"/>
  <c r="BT480" i="3"/>
  <c r="BS480" i="3"/>
  <c r="BR480" i="3"/>
  <c r="BQ480" i="3"/>
  <c r="BP480" i="3"/>
  <c r="BO480" i="3"/>
  <c r="BN480" i="3"/>
  <c r="BL480" i="3" s="1"/>
  <c r="BM480" i="3"/>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A478" i="3" s="1"/>
  <c r="AZ478" i="3" s="1"/>
  <c r="BC478" i="3"/>
  <c r="BB478" i="3"/>
  <c r="AX478" i="3"/>
  <c r="AW478" i="3"/>
  <c r="AV478" i="3"/>
  <c r="AC478" i="3"/>
  <c r="G478" i="3" s="1"/>
  <c r="H478" i="3"/>
  <c r="BT477" i="3"/>
  <c r="BS477" i="3"/>
  <c r="BR477" i="3"/>
  <c r="BQ477" i="3"/>
  <c r="BP477" i="3"/>
  <c r="BO477" i="3"/>
  <c r="BL477" i="3" s="1"/>
  <c r="BN477" i="3"/>
  <c r="BM477" i="3"/>
  <c r="BK477" i="3"/>
  <c r="BJ477" i="3"/>
  <c r="BI477" i="3"/>
  <c r="BH477" i="3"/>
  <c r="BG477" i="3"/>
  <c r="BF477" i="3"/>
  <c r="BE477" i="3"/>
  <c r="BD477" i="3"/>
  <c r="BA477" i="3" s="1"/>
  <c r="BC477" i="3"/>
  <c r="BB477" i="3"/>
  <c r="AX477" i="3"/>
  <c r="AW477" i="3"/>
  <c r="AV477" i="3"/>
  <c r="AC477" i="3"/>
  <c r="H477" i="3"/>
  <c r="G477" i="3" s="1"/>
  <c r="BT476" i="3"/>
  <c r="BS476" i="3"/>
  <c r="BR476" i="3"/>
  <c r="BQ476" i="3"/>
  <c r="BP476" i="3"/>
  <c r="BO476" i="3"/>
  <c r="BN476" i="3"/>
  <c r="BL476" i="3" s="1"/>
  <c r="BM476" i="3"/>
  <c r="BK476" i="3"/>
  <c r="BJ476" i="3"/>
  <c r="BI476" i="3"/>
  <c r="BH476" i="3"/>
  <c r="BG476" i="3"/>
  <c r="BF476" i="3"/>
  <c r="BE476" i="3"/>
  <c r="BD476" i="3"/>
  <c r="BC476" i="3"/>
  <c r="BB476" i="3"/>
  <c r="BA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A474" i="3" s="1"/>
  <c r="BC474" i="3"/>
  <c r="BB474" i="3"/>
  <c r="AZ474" i="3"/>
  <c r="AX474" i="3"/>
  <c r="AW474" i="3"/>
  <c r="AV474" i="3"/>
  <c r="AC474" i="3"/>
  <c r="G474" i="3" s="1"/>
  <c r="H474" i="3"/>
  <c r="BT473" i="3"/>
  <c r="BS473" i="3"/>
  <c r="BR473" i="3"/>
  <c r="BQ473" i="3"/>
  <c r="BP473" i="3"/>
  <c r="BO473" i="3"/>
  <c r="BL473" i="3" s="1"/>
  <c r="BN473" i="3"/>
  <c r="BM473" i="3"/>
  <c r="BK473" i="3"/>
  <c r="BJ473" i="3"/>
  <c r="BI473" i="3"/>
  <c r="BH473" i="3"/>
  <c r="BG473" i="3"/>
  <c r="BF473" i="3"/>
  <c r="BE473" i="3"/>
  <c r="BD473" i="3"/>
  <c r="BC473" i="3"/>
  <c r="BA473" i="3" s="1"/>
  <c r="BB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A471" i="3" s="1"/>
  <c r="BC471" i="3"/>
  <c r="BB471" i="3"/>
  <c r="AZ471" i="3"/>
  <c r="AX471" i="3"/>
  <c r="AW471" i="3"/>
  <c r="AV471" i="3"/>
  <c r="AC471" i="3"/>
  <c r="G471" i="3" s="1"/>
  <c r="H471" i="3"/>
  <c r="BT470" i="3"/>
  <c r="BS470" i="3"/>
  <c r="BR470" i="3"/>
  <c r="BQ470" i="3"/>
  <c r="BP470" i="3"/>
  <c r="BO470" i="3"/>
  <c r="BL470" i="3" s="1"/>
  <c r="BN470" i="3"/>
  <c r="BM470" i="3"/>
  <c r="BK470" i="3"/>
  <c r="BJ470" i="3"/>
  <c r="BI470" i="3"/>
  <c r="BH470" i="3"/>
  <c r="BG470" i="3"/>
  <c r="BF470" i="3"/>
  <c r="BE470" i="3"/>
  <c r="BD470" i="3"/>
  <c r="BC470" i="3"/>
  <c r="BA470" i="3" s="1"/>
  <c r="AZ470" i="3" s="1"/>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A469" i="3" s="1"/>
  <c r="AZ469" i="3" s="1"/>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c r="BK467" i="3"/>
  <c r="BJ467" i="3"/>
  <c r="BI467" i="3"/>
  <c r="BH467" i="3"/>
  <c r="BG467" i="3"/>
  <c r="BF467" i="3"/>
  <c r="BE467" i="3"/>
  <c r="BD467" i="3"/>
  <c r="BA467" i="3" s="1"/>
  <c r="AZ467" i="3" s="1"/>
  <c r="BC467" i="3"/>
  <c r="BB467" i="3"/>
  <c r="AX467" i="3"/>
  <c r="AW467" i="3"/>
  <c r="AV467" i="3"/>
  <c r="AC467" i="3"/>
  <c r="G467" i="3" s="1"/>
  <c r="H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G464" i="3" s="1"/>
  <c r="H464" i="3"/>
  <c r="BT463" i="3"/>
  <c r="BS463" i="3"/>
  <c r="BR463" i="3"/>
  <c r="BQ463" i="3"/>
  <c r="BP463" i="3"/>
  <c r="BO463" i="3"/>
  <c r="BN463" i="3"/>
  <c r="BM463" i="3"/>
  <c r="BL463" i="3" s="1"/>
  <c r="BK463" i="3"/>
  <c r="BJ463" i="3"/>
  <c r="BI463" i="3"/>
  <c r="BH463" i="3"/>
  <c r="BG463" i="3"/>
  <c r="BF463" i="3"/>
  <c r="BE463" i="3"/>
  <c r="BD463" i="3"/>
  <c r="BC463" i="3"/>
  <c r="BA463" i="3" s="1"/>
  <c r="BB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A462" i="3" s="1"/>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G460" i="3" s="1"/>
  <c r="H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AZ438" i="3" s="1"/>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L436" i="3" s="1"/>
  <c r="BK436" i="3"/>
  <c r="BJ436" i="3"/>
  <c r="BI436" i="3"/>
  <c r="BH436" i="3"/>
  <c r="BG436" i="3"/>
  <c r="BF436" i="3"/>
  <c r="BE436" i="3"/>
  <c r="BD436" i="3"/>
  <c r="BC436" i="3"/>
  <c r="BA436" i="3" s="1"/>
  <c r="AZ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A419" i="3" s="1"/>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A406" i="3" s="1"/>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A402" i="3" s="1"/>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G401" i="3" s="1"/>
  <c r="H401" i="3"/>
  <c r="BT400" i="3"/>
  <c r="BS400" i="3"/>
  <c r="BR400" i="3"/>
  <c r="BQ400" i="3"/>
  <c r="BP400" i="3"/>
  <c r="BO400" i="3"/>
  <c r="BL400" i="3" s="1"/>
  <c r="BN400" i="3"/>
  <c r="BM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A24" i="51" s="1"/>
  <c r="B18" i="72" s="1"/>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31" i="1"/>
  <c r="E19" i="11"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L551" i="3" s="1"/>
  <c r="BO551" i="3"/>
  <c r="BP551" i="3"/>
  <c r="BR551" i="3"/>
  <c r="BS551" i="3"/>
  <c r="BT551" i="3"/>
  <c r="H552" i="3"/>
  <c r="AC552" i="3"/>
  <c r="G552" i="3"/>
  <c r="BB552" i="3"/>
  <c r="BC552" i="3"/>
  <c r="BD552" i="3"/>
  <c r="BE552" i="3"/>
  <c r="BF552" i="3"/>
  <c r="BG552" i="3"/>
  <c r="BH552" i="3"/>
  <c r="BI552" i="3"/>
  <c r="BJ552" i="3"/>
  <c r="BK552" i="3"/>
  <c r="BM552" i="3"/>
  <c r="BN552" i="3"/>
  <c r="BL552" i="3" s="1"/>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D87" i="35"/>
  <c r="E87" i="35" s="1"/>
  <c r="F87" i="35" s="1"/>
  <c r="G87" i="35"/>
  <c r="H87" i="35" s="1"/>
  <c r="I87" i="35" s="1"/>
  <c r="J87" i="35" s="1"/>
  <c r="K87" i="35" s="1"/>
  <c r="L87" i="35" s="1"/>
  <c r="M87" i="35" s="1"/>
  <c r="H34" i="37"/>
  <c r="D101" i="37"/>
  <c r="E101" i="37" s="1"/>
  <c r="F101" i="37" s="1"/>
  <c r="G101" i="37" s="1"/>
  <c r="H101" i="37" s="1"/>
  <c r="I101" i="37" s="1"/>
  <c r="J101" i="37" s="1"/>
  <c r="K101" i="37" s="1"/>
  <c r="L101" i="37" s="1"/>
  <c r="M101" i="37" s="1"/>
  <c r="F34" i="37"/>
  <c r="D99" i="37"/>
  <c r="E99" i="37"/>
  <c r="F99" i="37"/>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H40" i="40" s="1"/>
  <c r="B118" i="40"/>
  <c r="B116" i="40"/>
  <c r="H38" i="40" s="1"/>
  <c r="F38" i="40"/>
  <c r="AA38" i="40" s="1"/>
  <c r="D115" i="40"/>
  <c r="E115" i="40"/>
  <c r="F115" i="40"/>
  <c r="G115" i="40" s="1"/>
  <c r="H115" i="40" s="1"/>
  <c r="I115" i="40"/>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c r="B103" i="40"/>
  <c r="J32" i="40" s="1"/>
  <c r="AC32" i="40"/>
  <c r="B101" i="40"/>
  <c r="J31" i="40"/>
  <c r="AC31" i="40" s="1"/>
  <c r="D100" i="40"/>
  <c r="E100" i="40"/>
  <c r="F100" i="40" s="1"/>
  <c r="G100" i="40" s="1"/>
  <c r="H100" i="40" s="1"/>
  <c r="I100" i="40" s="1"/>
  <c r="J100" i="40" s="1"/>
  <c r="K100" i="40" s="1"/>
  <c r="L100" i="40" s="1"/>
  <c r="M100" i="40" s="1"/>
  <c r="D98" i="40"/>
  <c r="J28" i="40"/>
  <c r="AC28" i="40"/>
  <c r="D96" i="40"/>
  <c r="E96" i="40" s="1"/>
  <c r="F96" i="40" s="1"/>
  <c r="G96" i="40"/>
  <c r="H96" i="40" s="1"/>
  <c r="I96" i="40" s="1"/>
  <c r="J96" i="40" s="1"/>
  <c r="K96" i="40" s="1"/>
  <c r="L96" i="40" s="1"/>
  <c r="M96" i="40" s="1"/>
  <c r="B95" i="40"/>
  <c r="D92" i="40"/>
  <c r="E92" i="40"/>
  <c r="F92" i="40" s="1"/>
  <c r="G92" i="40" s="1"/>
  <c r="D90" i="40"/>
  <c r="E90" i="40" s="1"/>
  <c r="F90" i="40" s="1"/>
  <c r="G90" i="40" s="1"/>
  <c r="D88" i="40"/>
  <c r="E88" i="40"/>
  <c r="D86" i="40"/>
  <c r="E86" i="40" s="1"/>
  <c r="F86" i="40"/>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AB40" i="40"/>
  <c r="F40" i="40"/>
  <c r="AA40" i="40"/>
  <c r="Q39" i="40"/>
  <c r="Z39" i="40"/>
  <c r="Q38" i="40"/>
  <c r="Z38" i="40"/>
  <c r="J38" i="40"/>
  <c r="AC38" i="40"/>
  <c r="AB38" i="40"/>
  <c r="Q37" i="40"/>
  <c r="Z37" i="40" s="1"/>
  <c r="Q36" i="40"/>
  <c r="Z36" i="40"/>
  <c r="Q35" i="40"/>
  <c r="Z35" i="40" s="1"/>
  <c r="Q34" i="40"/>
  <c r="Z34" i="40"/>
  <c r="J34" i="40"/>
  <c r="AC34" i="40" s="1"/>
  <c r="H34" i="40"/>
  <c r="AB34" i="40"/>
  <c r="F34" i="40"/>
  <c r="AA34" i="40" s="1"/>
  <c r="Q33" i="40"/>
  <c r="Z33" i="40"/>
  <c r="Q32" i="40"/>
  <c r="Z32" i="40" s="1"/>
  <c r="Q31" i="40"/>
  <c r="Z31" i="40"/>
  <c r="Q30" i="40"/>
  <c r="Z30" i="40" s="1"/>
  <c r="Q28" i="40"/>
  <c r="Z28" i="40"/>
  <c r="Q27" i="40"/>
  <c r="Z27" i="40" s="1"/>
  <c r="Q23" i="40"/>
  <c r="Z23" i="40"/>
  <c r="Q21" i="40"/>
  <c r="Z21" i="40" s="1"/>
  <c r="Q19" i="40"/>
  <c r="Z19" i="40"/>
  <c r="Q17" i="40"/>
  <c r="Z17" i="40" s="1"/>
  <c r="Q15" i="40"/>
  <c r="Z15" i="40"/>
  <c r="Q14" i="40"/>
  <c r="Z14" i="40" s="1"/>
  <c r="Q13" i="40"/>
  <c r="Z13" i="40"/>
  <c r="Q12" i="40"/>
  <c r="Z12" i="40" s="1"/>
  <c r="Q11" i="40"/>
  <c r="Z11" i="40"/>
  <c r="Q10" i="40"/>
  <c r="Z10" i="40" s="1"/>
  <c r="Q9" i="40"/>
  <c r="Z9" i="40"/>
  <c r="J9" i="40"/>
  <c r="W9" i="40" s="1"/>
  <c r="H9" i="40"/>
  <c r="AB9" i="40"/>
  <c r="F9" i="40"/>
  <c r="S9" i="40" s="1"/>
  <c r="J8" i="40"/>
  <c r="AC8" i="40"/>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AA31" i="39" s="1"/>
  <c r="D96" i="39"/>
  <c r="J23" i="39"/>
  <c r="AC23" i="39" s="1"/>
  <c r="D94" i="39"/>
  <c r="E94" i="39" s="1"/>
  <c r="F94" i="39"/>
  <c r="D92" i="39"/>
  <c r="E92" i="39"/>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J38" i="37" s="1"/>
  <c r="C23" i="37"/>
  <c r="C19" i="37"/>
  <c r="C17" i="37"/>
  <c r="C15" i="37"/>
  <c r="B112" i="37"/>
  <c r="D107" i="37"/>
  <c r="E107" i="37" s="1"/>
  <c r="D105" i="37"/>
  <c r="E105" i="37" s="1"/>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H26" i="37" s="1"/>
  <c r="AB26" i="37" s="1"/>
  <c r="D79" i="37"/>
  <c r="E79" i="37"/>
  <c r="D75" i="37"/>
  <c r="E75" i="37" s="1"/>
  <c r="D73" i="37"/>
  <c r="E73" i="37"/>
  <c r="F73" i="37"/>
  <c r="D71" i="37"/>
  <c r="H15" i="37"/>
  <c r="AB15" i="37"/>
  <c r="B68" i="37"/>
  <c r="H14" i="37" s="1"/>
  <c r="AB14" i="37" s="1"/>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c r="Q32" i="37"/>
  <c r="Z32" i="37" s="1"/>
  <c r="Q31" i="37"/>
  <c r="Z31" i="37" s="1"/>
  <c r="J31" i="37"/>
  <c r="AC31" i="37" s="1"/>
  <c r="Q30" i="37"/>
  <c r="Z30" i="37"/>
  <c r="J30" i="37"/>
  <c r="AC30" i="37" s="1"/>
  <c r="H30" i="37"/>
  <c r="AB30" i="37" s="1"/>
  <c r="F30" i="37"/>
  <c r="AA30" i="37" s="1"/>
  <c r="Q29" i="37"/>
  <c r="Z29" i="37" s="1"/>
  <c r="H29" i="37"/>
  <c r="AB29" i="37"/>
  <c r="Q28" i="37"/>
  <c r="Z28" i="37" s="1"/>
  <c r="Q27" i="37"/>
  <c r="Z27" i="37"/>
  <c r="Q26" i="37"/>
  <c r="Z26" i="37" s="1"/>
  <c r="Q25" i="37"/>
  <c r="Z25" i="37" s="1"/>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s="1"/>
  <c r="H81" i="36" s="1"/>
  <c r="I81" i="36" s="1"/>
  <c r="J81" i="36" s="1"/>
  <c r="K81" i="36" s="1"/>
  <c r="L81" i="36" s="1"/>
  <c r="M81" i="36" s="1"/>
  <c r="F79" i="36"/>
  <c r="E79" i="36"/>
  <c r="D79" i="36"/>
  <c r="C79" i="36"/>
  <c r="B93" i="36"/>
  <c r="H33" i="36" s="1"/>
  <c r="B91" i="36"/>
  <c r="F32" i="36"/>
  <c r="B95" i="36"/>
  <c r="H34" i="36" s="1"/>
  <c r="D83" i="36"/>
  <c r="E83" i="36"/>
  <c r="F83" i="36"/>
  <c r="G83" i="36" s="1"/>
  <c r="H83" i="36" s="1"/>
  <c r="I83" i="36"/>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c r="F68" i="36"/>
  <c r="G68" i="36" s="1"/>
  <c r="D64" i="36"/>
  <c r="E64" i="36"/>
  <c r="F64" i="36"/>
  <c r="G64" i="36" s="1"/>
  <c r="J16" i="36"/>
  <c r="W16" i="36"/>
  <c r="D62" i="36"/>
  <c r="E62" i="36" s="1"/>
  <c r="F62" i="36" s="1"/>
  <c r="G62" i="36" s="1"/>
  <c r="B59" i="36"/>
  <c r="B57" i="36"/>
  <c r="B55" i="36"/>
  <c r="C51" i="36"/>
  <c r="P37" i="36"/>
  <c r="P36" i="36"/>
  <c r="V35" i="36"/>
  <c r="T35" i="36"/>
  <c r="R35" i="36"/>
  <c r="P35" i="36"/>
  <c r="Q34" i="36"/>
  <c r="Z34" i="36"/>
  <c r="Q33" i="36"/>
  <c r="Z33" i="36" s="1"/>
  <c r="Q32" i="36"/>
  <c r="Z32" i="36" s="1"/>
  <c r="Q31" i="36"/>
  <c r="Z31" i="36" s="1"/>
  <c r="Q30" i="36"/>
  <c r="Z30" i="36"/>
  <c r="AC30" i="36"/>
  <c r="Q29" i="36"/>
  <c r="Z29" i="36"/>
  <c r="Q28" i="36"/>
  <c r="Z28" i="36" s="1"/>
  <c r="J28" i="36"/>
  <c r="AC28" i="36" s="1"/>
  <c r="Q27" i="36"/>
  <c r="Z27" i="36"/>
  <c r="Q26" i="36"/>
  <c r="Z26" i="36" s="1"/>
  <c r="H26" i="36"/>
  <c r="AB26" i="36" s="1"/>
  <c r="Q25" i="36"/>
  <c r="Z25" i="36" s="1"/>
  <c r="Q24" i="36"/>
  <c r="Z24" i="36"/>
  <c r="H24" i="36"/>
  <c r="AB24" i="36" s="1"/>
  <c r="Q23" i="36"/>
  <c r="Z23" i="36" s="1"/>
  <c r="J23" i="36"/>
  <c r="AC23" i="36" s="1"/>
  <c r="H23" i="36"/>
  <c r="AB23" i="36"/>
  <c r="F23" i="36"/>
  <c r="AA23" i="36" s="1"/>
  <c r="Q22" i="36"/>
  <c r="Z22" i="36" s="1"/>
  <c r="J22" i="36"/>
  <c r="AC22" i="36" s="1"/>
  <c r="Q20" i="36"/>
  <c r="Z20" i="36"/>
  <c r="Q16" i="36"/>
  <c r="Z16" i="36" s="1"/>
  <c r="Q14" i="36"/>
  <c r="Z14" i="36" s="1"/>
  <c r="Q13" i="36"/>
  <c r="Z13" i="36" s="1"/>
  <c r="Q12" i="36"/>
  <c r="Z12" i="36"/>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c r="B73" i="35"/>
  <c r="H23" i="35" s="1"/>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c r="I80" i="35" s="1"/>
  <c r="J80" i="35" s="1"/>
  <c r="K80" i="35" s="1"/>
  <c r="L80" i="35" s="1"/>
  <c r="M80" i="35" s="1"/>
  <c r="D72" i="35"/>
  <c r="E72" i="35" s="1"/>
  <c r="F72" i="35"/>
  <c r="G72" i="35" s="1"/>
  <c r="D70" i="35"/>
  <c r="E70" i="35" s="1"/>
  <c r="F70" i="35" s="1"/>
  <c r="G70" i="35"/>
  <c r="D66" i="35"/>
  <c r="E66" i="35" s="1"/>
  <c r="F66" i="35"/>
  <c r="G66" i="35" s="1"/>
  <c r="D64" i="35"/>
  <c r="E64" i="35" s="1"/>
  <c r="F64" i="35" s="1"/>
  <c r="G64" i="35"/>
  <c r="J14" i="35"/>
  <c r="W14" i="35" s="1"/>
  <c r="C53" i="35"/>
  <c r="J9" i="35" s="1"/>
  <c r="P39" i="35"/>
  <c r="P38" i="35"/>
  <c r="V37" i="35"/>
  <c r="T37" i="35"/>
  <c r="R37" i="35"/>
  <c r="P37" i="35"/>
  <c r="Q36" i="35"/>
  <c r="Z36" i="35" s="1"/>
  <c r="J36" i="35"/>
  <c r="AC36" i="35" s="1"/>
  <c r="Q35" i="35"/>
  <c r="Z35" i="35"/>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c r="G124" i="34" s="1"/>
  <c r="H124" i="34" s="1"/>
  <c r="I124" i="34" s="1"/>
  <c r="J124" i="34" s="1"/>
  <c r="K124" i="34" s="1"/>
  <c r="L124" i="34" s="1"/>
  <c r="M124" i="34" s="1"/>
  <c r="H43" i="34"/>
  <c r="AB43" i="34" s="1"/>
  <c r="D118" i="34"/>
  <c r="E118" i="34" s="1"/>
  <c r="F118" i="34" s="1"/>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c r="G82" i="34" s="1"/>
  <c r="D80" i="34"/>
  <c r="E80" i="34" s="1"/>
  <c r="F80" i="34" s="1"/>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s="1"/>
  <c r="Q42" i="34"/>
  <c r="Z42" i="34" s="1"/>
  <c r="Q41" i="34"/>
  <c r="Z41" i="34" s="1"/>
  <c r="Q40" i="34"/>
  <c r="Z40" i="34"/>
  <c r="Q39" i="34"/>
  <c r="Z39" i="34" s="1"/>
  <c r="H39" i="34"/>
  <c r="AB39" i="34" s="1"/>
  <c r="Q38" i="34"/>
  <c r="Z38" i="34" s="1"/>
  <c r="Q37" i="34"/>
  <c r="Z37" i="34"/>
  <c r="Q36" i="34"/>
  <c r="Z36" i="34" s="1"/>
  <c r="Q35" i="34"/>
  <c r="Z35" i="34" s="1"/>
  <c r="Q34" i="34"/>
  <c r="Z34" i="34" s="1"/>
  <c r="J34" i="34"/>
  <c r="AC34" i="34" s="1"/>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c r="C17" i="34"/>
  <c r="Q15" i="34"/>
  <c r="Z15" i="34" s="1"/>
  <c r="Q14" i="34"/>
  <c r="Z14" i="34" s="1"/>
  <c r="Q13" i="34"/>
  <c r="Z13" i="34"/>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s="1"/>
  <c r="F85" i="33" s="1"/>
  <c r="D81" i="33"/>
  <c r="E81" i="33"/>
  <c r="D79" i="33"/>
  <c r="E79" i="33" s="1"/>
  <c r="D77" i="33"/>
  <c r="E77" i="33"/>
  <c r="F77" i="33"/>
  <c r="G77" i="33" s="1"/>
  <c r="D69" i="33"/>
  <c r="E69" i="33"/>
  <c r="F69" i="33"/>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c r="Q44" i="33"/>
  <c r="Z44" i="33" s="1"/>
  <c r="Q43" i="33"/>
  <c r="Z43" i="33"/>
  <c r="Q42" i="33"/>
  <c r="Z42" i="33" s="1"/>
  <c r="J42" i="33"/>
  <c r="AC42" i="33"/>
  <c r="AC41" i="33"/>
  <c r="W41" i="33"/>
  <c r="Q41" i="33"/>
  <c r="Z41" i="33"/>
  <c r="Q40" i="33"/>
  <c r="Z40" i="33" s="1"/>
  <c r="J40" i="33"/>
  <c r="AC40" i="33"/>
  <c r="H40" i="33"/>
  <c r="AB40" i="33" s="1"/>
  <c r="AA40" i="33"/>
  <c r="Q39" i="33"/>
  <c r="Z39" i="33"/>
  <c r="J39" i="33"/>
  <c r="AC39" i="33" s="1"/>
  <c r="Q38" i="33"/>
  <c r="Z38" i="33" s="1"/>
  <c r="J38" i="33"/>
  <c r="AC38" i="33" s="1"/>
  <c r="H38" i="33"/>
  <c r="AB38" i="33"/>
  <c r="F38" i="33"/>
  <c r="AA38" i="33" s="1"/>
  <c r="Q37" i="33"/>
  <c r="Z37" i="33" s="1"/>
  <c r="Q36" i="33"/>
  <c r="Z36" i="33" s="1"/>
  <c r="Q35" i="33"/>
  <c r="Z35" i="33"/>
  <c r="H35" i="33"/>
  <c r="AB35" i="33" s="1"/>
  <c r="Q34" i="33"/>
  <c r="Z34" i="33" s="1"/>
  <c r="Q33" i="33"/>
  <c r="Z33" i="33" s="1"/>
  <c r="J33" i="33"/>
  <c r="AC33" i="33" s="1"/>
  <c r="H33" i="33"/>
  <c r="AB33" i="33" s="1"/>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Q11" i="33"/>
  <c r="Z11" i="33" s="1"/>
  <c r="Q10" i="33"/>
  <c r="Z10" i="33" s="1"/>
  <c r="Q9" i="33"/>
  <c r="Z9" i="33"/>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c r="G123" i="21" s="1"/>
  <c r="H123" i="21" s="1"/>
  <c r="I123" i="21" s="1"/>
  <c r="J123" i="21" s="1"/>
  <c r="K123" i="21" s="1"/>
  <c r="L123" i="21" s="1"/>
  <c r="M123" i="21" s="1"/>
  <c r="F42" i="21"/>
  <c r="S42" i="21" s="1"/>
  <c r="D119" i="21"/>
  <c r="F40" i="21"/>
  <c r="AA40" i="21" s="1"/>
  <c r="D117" i="21"/>
  <c r="E117" i="21" s="1"/>
  <c r="F117" i="21" s="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c r="F106" i="2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c r="B130" i="21"/>
  <c r="J46" i="21" s="1"/>
  <c r="B128" i="21"/>
  <c r="J45" i="21" s="1"/>
  <c r="W45" i="21"/>
  <c r="B126" i="21"/>
  <c r="B98" i="21"/>
  <c r="H31" i="21" s="1"/>
  <c r="B96" i="21"/>
  <c r="B94" i="21"/>
  <c r="J29" i="21" s="1"/>
  <c r="AC29" i="21" s="1"/>
  <c r="B92" i="21"/>
  <c r="H28" i="21" s="1"/>
  <c r="AB28" i="21" s="1"/>
  <c r="B90" i="21"/>
  <c r="J27" i="21"/>
  <c r="W27" i="21" s="1"/>
  <c r="B74" i="21"/>
  <c r="B72" i="21"/>
  <c r="H13" i="21" s="1"/>
  <c r="B70" i="21"/>
  <c r="F12" i="21"/>
  <c r="S12" i="21" s="1"/>
  <c r="C19" i="21"/>
  <c r="C17" i="21"/>
  <c r="C23" i="21"/>
  <c r="Q9" i="21"/>
  <c r="Z9" i="21"/>
  <c r="Q10" i="21"/>
  <c r="Z10" i="21" s="1"/>
  <c r="Q11" i="21"/>
  <c r="Z11" i="21" s="1"/>
  <c r="Q12" i="21"/>
  <c r="Z12" i="21" s="1"/>
  <c r="Q13" i="21"/>
  <c r="Z13" i="21"/>
  <c r="Q14" i="21"/>
  <c r="Z14" i="21" s="1"/>
  <c r="Q15" i="21"/>
  <c r="Z15" i="21" s="1"/>
  <c r="Q17" i="21"/>
  <c r="Z17" i="21" s="1"/>
  <c r="Q19" i="21"/>
  <c r="Z19" i="21"/>
  <c r="Q23" i="21"/>
  <c r="Z23" i="21" s="1"/>
  <c r="Q25" i="21"/>
  <c r="Z25" i="21" s="1"/>
  <c r="Q26" i="21"/>
  <c r="Z26" i="21" s="1"/>
  <c r="Q27" i="21"/>
  <c r="Z27" i="21"/>
  <c r="Q28" i="21"/>
  <c r="Z28" i="21" s="1"/>
  <c r="Q29" i="21"/>
  <c r="Z29" i="21" s="1"/>
  <c r="Q30" i="21"/>
  <c r="Z30" i="21" s="1"/>
  <c r="Q31" i="21"/>
  <c r="Z31" i="21"/>
  <c r="Q32" i="21"/>
  <c r="Z32" i="21" s="1"/>
  <c r="Q33" i="21"/>
  <c r="Z33" i="21" s="1"/>
  <c r="Q34" i="21"/>
  <c r="Z34" i="21" s="1"/>
  <c r="J35" i="21"/>
  <c r="W35" i="21"/>
  <c r="Q35" i="21"/>
  <c r="Z35" i="21" s="1"/>
  <c r="Q36" i="21"/>
  <c r="Z36" i="21" s="1"/>
  <c r="Q37" i="21"/>
  <c r="Z37" i="21" s="1"/>
  <c r="J38" i="21"/>
  <c r="W38" i="21"/>
  <c r="Q38" i="21"/>
  <c r="Z38" i="21" s="1"/>
  <c r="J39" i="21"/>
  <c r="AC39" i="21" s="1"/>
  <c r="Q39" i="21"/>
  <c r="Z39" i="21" s="1"/>
  <c r="H40" i="21"/>
  <c r="AB40" i="21"/>
  <c r="Q40" i="21"/>
  <c r="Z40" i="21" s="1"/>
  <c r="Q41" i="21"/>
  <c r="Z41" i="21" s="1"/>
  <c r="Q42" i="21"/>
  <c r="Z42" i="21" s="1"/>
  <c r="J43" i="21"/>
  <c r="AC43" i="21" s="1"/>
  <c r="Q43" i="21"/>
  <c r="Z43" i="21" s="1"/>
  <c r="Q44" i="21"/>
  <c r="Z44" i="21" s="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BT585" i="3"/>
  <c r="BB586" i="3"/>
  <c r="BC586" i="3"/>
  <c r="BA586" i="3" s="1"/>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s="1"/>
  <c r="H38" i="21"/>
  <c r="U38" i="21"/>
  <c r="H43" i="21"/>
  <c r="U43" i="21" s="1"/>
  <c r="F38" i="21"/>
  <c r="S38" i="21"/>
  <c r="F36" i="21"/>
  <c r="S36" i="21"/>
  <c r="F39" i="21"/>
  <c r="AA39" i="21"/>
  <c r="J40" i="21"/>
  <c r="W40" i="21"/>
  <c r="H35" i="21"/>
  <c r="AB35" i="21"/>
  <c r="J8" i="21"/>
  <c r="AC8" i="21" s="1"/>
  <c r="H8" i="21"/>
  <c r="U8" i="21" s="1"/>
  <c r="H10" i="21"/>
  <c r="AB10" i="21" s="1"/>
  <c r="H39" i="21"/>
  <c r="U39" i="21" s="1"/>
  <c r="J34" i="21"/>
  <c r="W34" i="21"/>
  <c r="H36" i="21"/>
  <c r="U36" i="21" s="1"/>
  <c r="F35" i="21"/>
  <c r="AA35" i="21" s="1"/>
  <c r="J10" i="21"/>
  <c r="AC10" i="21" s="1"/>
  <c r="H26" i="21"/>
  <c r="AB26" i="21" s="1"/>
  <c r="AB19" i="21"/>
  <c r="J19" i="21"/>
  <c r="W19" i="21" s="1"/>
  <c r="J12" i="21"/>
  <c r="AC12" i="21" s="1"/>
  <c r="H12" i="21"/>
  <c r="AB12" i="21" s="1"/>
  <c r="J26" i="21"/>
  <c r="W26" i="21" s="1"/>
  <c r="F26" i="21"/>
  <c r="S26" i="21" s="1"/>
  <c r="AB41" i="21"/>
  <c r="AA41" i="21"/>
  <c r="F45" i="39"/>
  <c r="S45" i="39"/>
  <c r="J45" i="39"/>
  <c r="W45" i="39"/>
  <c r="J44" i="39"/>
  <c r="AC44" i="39"/>
  <c r="F36" i="39"/>
  <c r="S36" i="39"/>
  <c r="H36" i="39"/>
  <c r="AB36" i="39"/>
  <c r="J35" i="39"/>
  <c r="AC35" i="39"/>
  <c r="F35" i="39"/>
  <c r="AA35" i="39"/>
  <c r="J36" i="39"/>
  <c r="AC36" i="39"/>
  <c r="U9" i="39"/>
  <c r="W40" i="39"/>
  <c r="U30" i="37"/>
  <c r="W31" i="37"/>
  <c r="E103" i="37"/>
  <c r="F103" i="37" s="1"/>
  <c r="G103" i="37" s="1"/>
  <c r="H103" i="37" s="1"/>
  <c r="I103" i="37" s="1"/>
  <c r="J103" i="37" s="1"/>
  <c r="K103" i="37" s="1"/>
  <c r="L103" i="37" s="1"/>
  <c r="M103" i="37" s="1"/>
  <c r="F39" i="37"/>
  <c r="S39" i="37"/>
  <c r="U14" i="37"/>
  <c r="F29" i="36"/>
  <c r="AA29" i="36" s="1"/>
  <c r="F16" i="36"/>
  <c r="AA16" i="36"/>
  <c r="W28" i="36"/>
  <c r="U31" i="36"/>
  <c r="J33" i="36"/>
  <c r="AC33" i="36" s="1"/>
  <c r="H22" i="35"/>
  <c r="AB22" i="35"/>
  <c r="AC27" i="35"/>
  <c r="W28" i="35"/>
  <c r="U31" i="35"/>
  <c r="S34" i="35"/>
  <c r="W22" i="35"/>
  <c r="S31" i="35"/>
  <c r="U34" i="35"/>
  <c r="F36" i="34"/>
  <c r="J35" i="34"/>
  <c r="W9" i="34"/>
  <c r="H39" i="33"/>
  <c r="AB39" i="33" s="1"/>
  <c r="F26" i="33"/>
  <c r="AA26" i="33" s="1"/>
  <c r="U35" i="33"/>
  <c r="S40" i="33"/>
  <c r="W33" i="33"/>
  <c r="W39" i="33"/>
  <c r="H39" i="37"/>
  <c r="AB39" i="37"/>
  <c r="S27" i="35"/>
  <c r="F11" i="40"/>
  <c r="AA11" i="40" s="1"/>
  <c r="H11" i="40"/>
  <c r="AB11" i="40" s="1"/>
  <c r="W8" i="40"/>
  <c r="AC40" i="40"/>
  <c r="AC9" i="40"/>
  <c r="U9" i="40"/>
  <c r="S34" i="40"/>
  <c r="U38" i="40"/>
  <c r="S40" i="40"/>
  <c r="U34" i="40"/>
  <c r="U40" i="40"/>
  <c r="F42" i="39"/>
  <c r="AA42" i="39" s="1"/>
  <c r="F41" i="39"/>
  <c r="S41" i="39" s="1"/>
  <c r="H40" i="39"/>
  <c r="AB40" i="39" s="1"/>
  <c r="H39" i="39"/>
  <c r="U39" i="39" s="1"/>
  <c r="S38" i="39"/>
  <c r="S34" i="39"/>
  <c r="H34" i="39"/>
  <c r="U34" i="39" s="1"/>
  <c r="E108"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A12" i="34"/>
  <c r="AB12" i="35"/>
  <c r="W32" i="40"/>
  <c r="F37" i="39"/>
  <c r="AA37" i="39"/>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S12" i="36" s="1"/>
  <c r="F24" i="36"/>
  <c r="AA24" i="36"/>
  <c r="F14" i="35"/>
  <c r="AA14" i="35"/>
  <c r="F23" i="35"/>
  <c r="AA23" i="35"/>
  <c r="J32" i="35"/>
  <c r="AC32" i="35" s="1"/>
  <c r="J16" i="35"/>
  <c r="AC16" i="35" s="1"/>
  <c r="H16" i="35"/>
  <c r="U16" i="35" s="1"/>
  <c r="F16" i="35"/>
  <c r="S16" i="35" s="1"/>
  <c r="H14" i="35"/>
  <c r="AB14" i="35" s="1"/>
  <c r="J29" i="35"/>
  <c r="W29" i="35" s="1"/>
  <c r="H33" i="35"/>
  <c r="AB33" i="35"/>
  <c r="J20" i="35"/>
  <c r="W20" i="35"/>
  <c r="F35" i="37"/>
  <c r="S35" i="37"/>
  <c r="J34" i="37"/>
  <c r="W34" i="37" s="1"/>
  <c r="AA39" i="37"/>
  <c r="AB34" i="37"/>
  <c r="J33" i="37"/>
  <c r="AC33" i="37" s="1"/>
  <c r="U42" i="34"/>
  <c r="H40" i="34"/>
  <c r="U40" i="34" s="1"/>
  <c r="E114" i="34"/>
  <c r="F114" i="34" s="1"/>
  <c r="G114" i="34" s="1"/>
  <c r="H114" i="34" s="1"/>
  <c r="I114" i="34" s="1"/>
  <c r="J114" i="34" s="1"/>
  <c r="K114" i="34" s="1"/>
  <c r="L114" i="34" s="1"/>
  <c r="M114" i="34" s="1"/>
  <c r="H36" i="34"/>
  <c r="U36" i="34"/>
  <c r="F37" i="34"/>
  <c r="AA37" i="34" s="1"/>
  <c r="S35" i="34"/>
  <c r="F27" i="34"/>
  <c r="AA27" i="34"/>
  <c r="F25" i="34"/>
  <c r="S25" i="34"/>
  <c r="H23" i="34"/>
  <c r="U23" i="34"/>
  <c r="J23" i="34"/>
  <c r="F19" i="34"/>
  <c r="H17" i="34"/>
  <c r="U17" i="34"/>
  <c r="F15" i="34"/>
  <c r="J15" i="34"/>
  <c r="AC15" i="34" s="1"/>
  <c r="H15" i="34"/>
  <c r="AB15" i="34"/>
  <c r="W8" i="34"/>
  <c r="J28" i="34"/>
  <c r="W28" i="34" s="1"/>
  <c r="F41" i="33"/>
  <c r="AA41" i="33" s="1"/>
  <c r="S38"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AA12" i="36"/>
  <c r="AB30" i="36"/>
  <c r="U33" i="35"/>
  <c r="F29" i="35"/>
  <c r="S29" i="35" s="1"/>
  <c r="H29" i="35"/>
  <c r="AB29" i="35" s="1"/>
  <c r="H33" i="37"/>
  <c r="AB33" i="37" s="1"/>
  <c r="F33" i="37"/>
  <c r="AA33" i="37" s="1"/>
  <c r="U34" i="37"/>
  <c r="S34" i="37"/>
  <c r="AA34" i="37"/>
  <c r="J43" i="34"/>
  <c r="AB42" i="34"/>
  <c r="J40" i="34"/>
  <c r="W40" i="34" s="1"/>
  <c r="H38" i="34"/>
  <c r="AB38" i="34"/>
  <c r="J36" i="34"/>
  <c r="W36" i="34"/>
  <c r="H37" i="34"/>
  <c r="U37" i="34" s="1"/>
  <c r="H25" i="34"/>
  <c r="AB25" i="34" s="1"/>
  <c r="J25" i="34"/>
  <c r="AC25" i="34" s="1"/>
  <c r="AB23" i="34"/>
  <c r="F23" i="34"/>
  <c r="AA23" i="34"/>
  <c r="J19" i="34"/>
  <c r="AC19" i="34"/>
  <c r="F17" i="34"/>
  <c r="AA17" i="34"/>
  <c r="J17" i="34"/>
  <c r="W17" i="34"/>
  <c r="AB17" i="34"/>
  <c r="AA15" i="34"/>
  <c r="S15" i="34"/>
  <c r="F113" i="33"/>
  <c r="G113" i="33"/>
  <c r="H113" i="33" s="1"/>
  <c r="I113" i="33" s="1"/>
  <c r="J113" i="33" s="1"/>
  <c r="K113" i="33" s="1"/>
  <c r="L113" i="33" s="1"/>
  <c r="M113" i="33" s="1"/>
  <c r="H37" i="33"/>
  <c r="AB37" i="33"/>
  <c r="H15" i="33"/>
  <c r="AB15" i="33"/>
  <c r="H11" i="33"/>
  <c r="AB11" i="33" s="1"/>
  <c r="F28" i="40"/>
  <c r="AA28" i="40" s="1"/>
  <c r="AA29" i="35"/>
  <c r="AA42" i="34"/>
  <c r="S42" i="34"/>
  <c r="AC38" i="34"/>
  <c r="AA38" i="34"/>
  <c r="J37" i="34"/>
  <c r="AC37" i="34" s="1"/>
  <c r="J11" i="33"/>
  <c r="W11" i="33" s="1"/>
  <c r="U23" i="40"/>
  <c r="J42" i="21"/>
  <c r="AC42" i="21" s="1"/>
  <c r="H42" i="21"/>
  <c r="U42" i="21" s="1"/>
  <c r="J44" i="34"/>
  <c r="F44" i="34"/>
  <c r="AA44" i="34"/>
  <c r="J10" i="35"/>
  <c r="AC10" i="35" s="1"/>
  <c r="BL587" i="3"/>
  <c r="J14" i="21"/>
  <c r="W14" i="21"/>
  <c r="F14" i="21"/>
  <c r="S14" i="21"/>
  <c r="H14" i="21"/>
  <c r="U14" i="21"/>
  <c r="H30" i="21"/>
  <c r="U30" i="21"/>
  <c r="F30" i="21"/>
  <c r="S30" i="21"/>
  <c r="J30" i="21"/>
  <c r="AC30" i="21"/>
  <c r="J44" i="21"/>
  <c r="AC44" i="21"/>
  <c r="H44" i="21"/>
  <c r="U44" i="21"/>
  <c r="F44" i="21"/>
  <c r="AA44"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27" i="21"/>
  <c r="AA27" i="21" s="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AA32" i="34" s="1"/>
  <c r="J32" i="34"/>
  <c r="W32" i="34"/>
  <c r="H46" i="34"/>
  <c r="U46" i="34"/>
  <c r="F46" i="34"/>
  <c r="J46" i="34"/>
  <c r="H11" i="35"/>
  <c r="AB11" i="35" s="1"/>
  <c r="J11" i="35"/>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S30" i="33" s="1"/>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U31" i="34" s="1"/>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F13" i="37"/>
  <c r="S13" i="37" s="1"/>
  <c r="J13" i="37"/>
  <c r="W13" i="37" s="1"/>
  <c r="F28" i="37"/>
  <c r="AA28" i="37"/>
  <c r="J28" i="37"/>
  <c r="AC28" i="37"/>
  <c r="H28" i="37"/>
  <c r="U28" i="37"/>
  <c r="J14" i="39"/>
  <c r="AC14" i="39" s="1"/>
  <c r="F14" i="39"/>
  <c r="H14" i="39"/>
  <c r="AB14" i="39" s="1"/>
  <c r="F12" i="40"/>
  <c r="S12" i="40" s="1"/>
  <c r="H12" i="40"/>
  <c r="AB12" i="40" s="1"/>
  <c r="H30" i="40"/>
  <c r="AB30" i="40" s="1"/>
  <c r="F33" i="40"/>
  <c r="AA33" i="40" s="1"/>
  <c r="H33" i="40"/>
  <c r="J35" i="40"/>
  <c r="AC35" i="40" s="1"/>
  <c r="J37" i="40"/>
  <c r="AC37" i="40" s="1"/>
  <c r="H13" i="40"/>
  <c r="U13" i="40" s="1"/>
  <c r="J13" i="40"/>
  <c r="F13" i="40"/>
  <c r="AA13" i="40" s="1"/>
  <c r="F14" i="37"/>
  <c r="S14" i="37" s="1"/>
  <c r="F27" i="37"/>
  <c r="AA27" i="37" s="1"/>
  <c r="F13" i="39"/>
  <c r="S13" i="39" s="1"/>
  <c r="J13" i="39"/>
  <c r="W13" i="39" s="1"/>
  <c r="H13" i="39"/>
  <c r="H14" i="40"/>
  <c r="AB14" i="40"/>
  <c r="J14" i="40"/>
  <c r="W14" i="40"/>
  <c r="F14" i="40"/>
  <c r="AA14" i="40"/>
  <c r="J14" i="37"/>
  <c r="AC14" i="37"/>
  <c r="J27" i="37"/>
  <c r="AC27" i="37"/>
  <c r="AA44" i="33"/>
  <c r="AA13" i="35"/>
  <c r="U46" i="33"/>
  <c r="AA14" i="33"/>
  <c r="J36" i="37"/>
  <c r="AC36" i="37" s="1"/>
  <c r="G105" i="37"/>
  <c r="J10" i="36"/>
  <c r="AC10" i="36" s="1"/>
  <c r="AB26" i="33"/>
  <c r="AB30" i="21"/>
  <c r="AA14" i="37"/>
  <c r="W31" i="34"/>
  <c r="AC13" i="36"/>
  <c r="W13" i="36"/>
  <c r="S11" i="36"/>
  <c r="AB46" i="34"/>
  <c r="AC30" i="34"/>
  <c r="AA14" i="34"/>
  <c r="S45" i="33"/>
  <c r="AB45" i="33"/>
  <c r="AB31" i="33"/>
  <c r="U31" i="33"/>
  <c r="W29" i="33"/>
  <c r="S44" i="34"/>
  <c r="BA585" i="3"/>
  <c r="AZ585" i="3" s="1"/>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AZ506" i="3" s="1"/>
  <c r="BL502" i="3"/>
  <c r="BL498" i="3"/>
  <c r="BL494" i="3"/>
  <c r="BL582" i="3"/>
  <c r="AZ582" i="3" s="1"/>
  <c r="BL578" i="3"/>
  <c r="BL574" i="3"/>
  <c r="BL570" i="3"/>
  <c r="BL566" i="3"/>
  <c r="AZ566" i="3" s="1"/>
  <c r="BL562" i="3"/>
  <c r="BL556" i="3"/>
  <c r="BL544" i="3"/>
  <c r="BL540" i="3"/>
  <c r="BL536" i="3"/>
  <c r="G533" i="3"/>
  <c r="BL532" i="3"/>
  <c r="G529" i="3"/>
  <c r="BL528" i="3"/>
  <c r="G525" i="3"/>
  <c r="BL524" i="3"/>
  <c r="AZ524" i="3" s="1"/>
  <c r="BL518" i="3"/>
  <c r="BL514" i="3"/>
  <c r="AZ514" i="3" s="1"/>
  <c r="BL510" i="3"/>
  <c r="BL504" i="3"/>
  <c r="BL500" i="3"/>
  <c r="BL496" i="3"/>
  <c r="G493" i="3"/>
  <c r="BA584" i="3"/>
  <c r="BA582" i="3"/>
  <c r="BA580" i="3"/>
  <c r="AZ580" i="3"/>
  <c r="BA578" i="3"/>
  <c r="AZ578" i="3"/>
  <c r="BA576" i="3"/>
  <c r="AZ576" i="3"/>
  <c r="BA574" i="3"/>
  <c r="AZ574" i="3"/>
  <c r="BA572" i="3"/>
  <c r="AZ572" i="3"/>
  <c r="BA570" i="3"/>
  <c r="AZ570" i="3"/>
  <c r="BA568" i="3"/>
  <c r="AZ568" i="3"/>
  <c r="BA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BA522" i="3"/>
  <c r="BA520" i="3"/>
  <c r="AZ520" i="3" s="1"/>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AZ583" i="3" s="1"/>
  <c r="BA581" i="3"/>
  <c r="AZ581" i="3"/>
  <c r="BA579" i="3"/>
  <c r="BA577" i="3"/>
  <c r="AZ577" i="3" s="1"/>
  <c r="BA575" i="3"/>
  <c r="BA573" i="3"/>
  <c r="BA571" i="3"/>
  <c r="BA569" i="3"/>
  <c r="AZ569" i="3" s="1"/>
  <c r="BA567" i="3"/>
  <c r="BA565" i="3"/>
  <c r="BA563" i="3"/>
  <c r="BA561" i="3"/>
  <c r="BA559" i="3"/>
  <c r="BA555" i="3"/>
  <c r="BA553" i="3"/>
  <c r="BA549" i="3"/>
  <c r="BA547" i="3"/>
  <c r="BA545" i="3"/>
  <c r="AZ545" i="3" s="1"/>
  <c r="BA543" i="3"/>
  <c r="BA541" i="3"/>
  <c r="BA539" i="3"/>
  <c r="BA537" i="3"/>
  <c r="BA535" i="3"/>
  <c r="BA533" i="3"/>
  <c r="BA531" i="3"/>
  <c r="BA529" i="3"/>
  <c r="BA527" i="3"/>
  <c r="BA525" i="3"/>
  <c r="BA523" i="3"/>
  <c r="BA519" i="3"/>
  <c r="AZ519" i="3" s="1"/>
  <c r="BA517" i="3"/>
  <c r="BA515" i="3"/>
  <c r="AZ515" i="3" s="1"/>
  <c r="BA513" i="3"/>
  <c r="BA511" i="3"/>
  <c r="AZ511" i="3" s="1"/>
  <c r="BA507" i="3"/>
  <c r="AZ507" i="3" s="1"/>
  <c r="BA505" i="3"/>
  <c r="BA503" i="3"/>
  <c r="BA501" i="3"/>
  <c r="BA499" i="3"/>
  <c r="BA497" i="3"/>
  <c r="AZ497" i="3" s="1"/>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BQ579" i="3"/>
  <c r="BL579" i="3" s="1"/>
  <c r="AZ579" i="3"/>
  <c r="BQ577" i="3"/>
  <c r="BL577" i="3"/>
  <c r="BQ575" i="3"/>
  <c r="BL575" i="3" s="1"/>
  <c r="AZ575" i="3" s="1"/>
  <c r="BQ573" i="3"/>
  <c r="BL573" i="3"/>
  <c r="BQ571" i="3"/>
  <c r="BL571" i="3" s="1"/>
  <c r="AZ571" i="3"/>
  <c r="BQ569" i="3"/>
  <c r="BL569" i="3"/>
  <c r="BQ567" i="3"/>
  <c r="BL567" i="3" s="1"/>
  <c r="AZ567" i="3" s="1"/>
  <c r="BQ565" i="3"/>
  <c r="BL565" i="3"/>
  <c r="BQ563" i="3"/>
  <c r="BL563" i="3" s="1"/>
  <c r="BQ561" i="3"/>
  <c r="BL561" i="3" s="1"/>
  <c r="AZ561" i="3" s="1"/>
  <c r="BQ559" i="3"/>
  <c r="BL559" i="3"/>
  <c r="AZ559" i="3" s="1"/>
  <c r="G559" i="3"/>
  <c r="G555" i="3"/>
  <c r="G553" i="3"/>
  <c r="G549" i="3"/>
  <c r="G547" i="3"/>
  <c r="G545" i="3"/>
  <c r="G543" i="3"/>
  <c r="G541" i="3"/>
  <c r="G539" i="3"/>
  <c r="G537" i="3"/>
  <c r="BQ555" i="3"/>
  <c r="BL555" i="3" s="1"/>
  <c r="BQ553" i="3"/>
  <c r="BL553" i="3"/>
  <c r="AZ553" i="3" s="1"/>
  <c r="BQ551" i="3"/>
  <c r="BQ549" i="3"/>
  <c r="BQ547" i="3"/>
  <c r="BL547" i="3"/>
  <c r="AZ547" i="3" s="1"/>
  <c r="BQ545" i="3"/>
  <c r="BL545" i="3" s="1"/>
  <c r="BQ543" i="3"/>
  <c r="BL543" i="3"/>
  <c r="AZ543" i="3" s="1"/>
  <c r="BQ541" i="3"/>
  <c r="BL541" i="3" s="1"/>
  <c r="AZ541" i="3" s="1"/>
  <c r="BQ539" i="3"/>
  <c r="BL539" i="3"/>
  <c r="AZ539" i="3" s="1"/>
  <c r="BQ537" i="3"/>
  <c r="BL537" i="3" s="1"/>
  <c r="BQ535" i="3"/>
  <c r="BL535" i="3"/>
  <c r="AZ535" i="3" s="1"/>
  <c r="BQ533" i="3"/>
  <c r="BL533" i="3" s="1"/>
  <c r="AZ533" i="3"/>
  <c r="BQ531" i="3"/>
  <c r="BL531" i="3"/>
  <c r="AZ531" i="3" s="1"/>
  <c r="BQ529" i="3"/>
  <c r="BL529" i="3" s="1"/>
  <c r="BQ527" i="3"/>
  <c r="BL527" i="3"/>
  <c r="AZ527" i="3" s="1"/>
  <c r="BQ525" i="3"/>
  <c r="BL525" i="3" s="1"/>
  <c r="AZ525" i="3"/>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BQ505" i="3"/>
  <c r="BL505" i="3" s="1"/>
  <c r="AZ505" i="3" s="1"/>
  <c r="BQ503" i="3"/>
  <c r="BL503" i="3"/>
  <c r="AZ503" i="3" s="1"/>
  <c r="BQ501" i="3"/>
  <c r="BL501" i="3" s="1"/>
  <c r="BQ499" i="3"/>
  <c r="BL499" i="3" s="1"/>
  <c r="AZ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s="1"/>
  <c r="H43" i="33"/>
  <c r="AB43" i="33"/>
  <c r="H17" i="37"/>
  <c r="U17" i="37"/>
  <c r="AB27" i="37"/>
  <c r="U32" i="33"/>
  <c r="AA36" i="39"/>
  <c r="F39" i="33"/>
  <c r="AA39" i="33" s="1"/>
  <c r="E123" i="33"/>
  <c r="F123" i="33" s="1"/>
  <c r="G123" i="33" s="1"/>
  <c r="H123" i="33" s="1"/>
  <c r="F42" i="33"/>
  <c r="AA42" i="33"/>
  <c r="F14" i="36"/>
  <c r="AA14" i="36"/>
  <c r="F22" i="36"/>
  <c r="S22" i="36"/>
  <c r="F26" i="36"/>
  <c r="S26" i="36"/>
  <c r="H27" i="34"/>
  <c r="AB27" i="34"/>
  <c r="H35" i="34"/>
  <c r="U35" i="34"/>
  <c r="F41" i="34"/>
  <c r="S41" i="34"/>
  <c r="H41" i="34"/>
  <c r="U41" i="34"/>
  <c r="J41" i="34"/>
  <c r="AC41" i="34"/>
  <c r="F10" i="35"/>
  <c r="S10" i="35" s="1"/>
  <c r="F24" i="35"/>
  <c r="H24" i="35"/>
  <c r="AB24" i="35" s="1"/>
  <c r="H23" i="37"/>
  <c r="AB23" i="37" s="1"/>
  <c r="J32" i="37"/>
  <c r="AC32" i="37" s="1"/>
  <c r="F36" i="37"/>
  <c r="AA36" i="37" s="1"/>
  <c r="F37" i="37"/>
  <c r="AA37" i="37" s="1"/>
  <c r="F31" i="40"/>
  <c r="AA31" i="40" s="1"/>
  <c r="H31" i="40"/>
  <c r="U31" i="40" s="1"/>
  <c r="F32" i="40"/>
  <c r="H32" i="40"/>
  <c r="AB32" i="40" s="1"/>
  <c r="J36" i="40"/>
  <c r="AA41" i="34"/>
  <c r="H19" i="37"/>
  <c r="AB19" i="37"/>
  <c r="I123" i="33"/>
  <c r="J123" i="33" s="1"/>
  <c r="K123" i="33" s="1"/>
  <c r="L123" i="33" s="1"/>
  <c r="M123" i="33"/>
  <c r="H42" i="33"/>
  <c r="AB42" i="33"/>
  <c r="J43" i="33"/>
  <c r="U43" i="33"/>
  <c r="S28" i="31"/>
  <c r="S27" i="31"/>
  <c r="S26" i="31"/>
  <c r="U14" i="40"/>
  <c r="U35" i="35"/>
  <c r="AA12" i="35"/>
  <c r="W23" i="35"/>
  <c r="W14" i="37"/>
  <c r="AB28" i="37"/>
  <c r="U33" i="37"/>
  <c r="U39" i="37"/>
  <c r="U26" i="37"/>
  <c r="W47" i="34"/>
  <c r="AB13" i="34"/>
  <c r="AC36" i="34"/>
  <c r="AA13" i="33"/>
  <c r="AC31" i="33"/>
  <c r="AC45" i="33"/>
  <c r="W44" i="33"/>
  <c r="U11" i="33"/>
  <c r="U19" i="21"/>
  <c r="W44" i="21"/>
  <c r="AB38" i="21"/>
  <c r="F43" i="33"/>
  <c r="AA43" i="33" s="1"/>
  <c r="W15" i="34"/>
  <c r="W16" i="35"/>
  <c r="W40" i="37"/>
  <c r="G107" i="37"/>
  <c r="H107" i="37" s="1"/>
  <c r="I107" i="37" s="1"/>
  <c r="J107" i="37" s="1"/>
  <c r="K107" i="37"/>
  <c r="L107" i="37" s="1"/>
  <c r="M107" i="37" s="1"/>
  <c r="H37" i="21"/>
  <c r="U37" i="21" s="1"/>
  <c r="H19" i="34"/>
  <c r="AB19" i="34"/>
  <c r="F36" i="35"/>
  <c r="S36" i="35"/>
  <c r="J9" i="37"/>
  <c r="W9" i="37" s="1"/>
  <c r="H9" i="37"/>
  <c r="U9" i="37" s="1"/>
  <c r="F9" i="37"/>
  <c r="S9" i="37" s="1"/>
  <c r="J12" i="37"/>
  <c r="H12" i="37"/>
  <c r="AB12" i="37" s="1"/>
  <c r="F12" i="37"/>
  <c r="S12" i="37" s="1"/>
  <c r="E71" i="37"/>
  <c r="F15" i="37"/>
  <c r="E94" i="37"/>
  <c r="F31" i="37"/>
  <c r="S31" i="37"/>
  <c r="F12" i="39"/>
  <c r="S12" i="39" s="1"/>
  <c r="J42" i="39"/>
  <c r="AC42" i="39" s="1"/>
  <c r="H21" i="40"/>
  <c r="AB21" i="40"/>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W23" i="39"/>
  <c r="AC43" i="39"/>
  <c r="W43" i="39"/>
  <c r="U45" i="39"/>
  <c r="AB45" i="39"/>
  <c r="G100" i="39"/>
  <c r="H37" i="39"/>
  <c r="AC37" i="39"/>
  <c r="W37" i="39"/>
  <c r="H25" i="39"/>
  <c r="J25" i="39"/>
  <c r="AC25" i="39" s="1"/>
  <c r="F25" i="39"/>
  <c r="AA25" i="39" s="1"/>
  <c r="F15" i="39"/>
  <c r="H15" i="39"/>
  <c r="U15" i="39" s="1"/>
  <c r="J15" i="39"/>
  <c r="W15" i="39" s="1"/>
  <c r="H41" i="39"/>
  <c r="AB41" i="39" s="1"/>
  <c r="W27" i="39"/>
  <c r="AB34" i="39"/>
  <c r="U40" i="39"/>
  <c r="S42" i="39"/>
  <c r="AA41" i="39"/>
  <c r="W9" i="39"/>
  <c r="W8" i="39"/>
  <c r="J19" i="40"/>
  <c r="AC19" i="40"/>
  <c r="J50" i="40"/>
  <c r="H103" i="9"/>
  <c r="B16" i="53"/>
  <c r="B33" i="72" s="1"/>
  <c r="C7" i="34"/>
  <c r="A118" i="9"/>
  <c r="A4" i="52"/>
  <c r="B41" i="72" s="1"/>
  <c r="J11" i="39"/>
  <c r="F11" i="39"/>
  <c r="AA11" i="39" s="1"/>
  <c r="G4" i="4"/>
  <c r="I4" i="4"/>
  <c r="A2" i="9"/>
  <c r="F61" i="43"/>
  <c r="AZ20" i="3"/>
  <c r="AZ24" i="3"/>
  <c r="AZ28" i="3"/>
  <c r="AZ32" i="3"/>
  <c r="BL549" i="3"/>
  <c r="AZ494" i="3"/>
  <c r="AZ502" i="3"/>
  <c r="AZ522" i="3"/>
  <c r="AZ546" i="3"/>
  <c r="G546" i="3"/>
  <c r="G524" i="3"/>
  <c r="G303" i="3"/>
  <c r="BL304" i="3"/>
  <c r="G305" i="3"/>
  <c r="BL306" i="3"/>
  <c r="BA308" i="3"/>
  <c r="AZ308" i="3"/>
  <c r="BA309" i="3"/>
  <c r="BL309" i="3"/>
  <c r="G310" i="3"/>
  <c r="BA311" i="3"/>
  <c r="G319" i="3"/>
  <c r="BL320" i="3"/>
  <c r="AZ320" i="3" s="1"/>
  <c r="G321" i="3"/>
  <c r="BL322" i="3"/>
  <c r="BA324" i="3"/>
  <c r="AZ324" i="3"/>
  <c r="BA325" i="3"/>
  <c r="BL325" i="3"/>
  <c r="AZ325" i="3" s="1"/>
  <c r="G326" i="3"/>
  <c r="BA327" i="3"/>
  <c r="AZ327" i="3" s="1"/>
  <c r="G335" i="3"/>
  <c r="BL336" i="3"/>
  <c r="G337" i="3"/>
  <c r="BL338" i="3"/>
  <c r="BA340" i="3"/>
  <c r="AZ340" i="3"/>
  <c r="BA341" i="3"/>
  <c r="BL341" i="3"/>
  <c r="BA343" i="3"/>
  <c r="BA345" i="3"/>
  <c r="AZ345" i="3" s="1"/>
  <c r="BL355" i="3"/>
  <c r="G356" i="3"/>
  <c r="BL357" i="3"/>
  <c r="BA359" i="3"/>
  <c r="AZ359" i="3" s="1"/>
  <c r="BA360" i="3"/>
  <c r="BL360" i="3"/>
  <c r="G361" i="3"/>
  <c r="BA362" i="3"/>
  <c r="G370" i="3"/>
  <c r="BL371" i="3"/>
  <c r="G372" i="3"/>
  <c r="BL373" i="3"/>
  <c r="BA375" i="3"/>
  <c r="AZ375" i="3"/>
  <c r="BA376" i="3"/>
  <c r="BL376" i="3"/>
  <c r="G377" i="3"/>
  <c r="BA378" i="3"/>
  <c r="BL378" i="3"/>
  <c r="G379" i="3"/>
  <c r="BA380" i="3"/>
  <c r="AZ380" i="3" s="1"/>
  <c r="G388" i="3"/>
  <c r="BL389" i="3"/>
  <c r="G390" i="3"/>
  <c r="BL391" i="3"/>
  <c r="AZ391" i="3" s="1"/>
  <c r="BA393" i="3"/>
  <c r="AZ393" i="3"/>
  <c r="BA394" i="3"/>
  <c r="BL394" i="3"/>
  <c r="AZ394" i="3" s="1"/>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AZ144" i="3" s="1"/>
  <c r="G145" i="3"/>
  <c r="BA147" i="3"/>
  <c r="AZ147" i="3" s="1"/>
  <c r="BL148" i="3"/>
  <c r="AZ148" i="3" s="1"/>
  <c r="G149" i="3"/>
  <c r="BA151" i="3"/>
  <c r="AZ151" i="3"/>
  <c r="BL152" i="3"/>
  <c r="AZ152" i="3" s="1"/>
  <c r="G153" i="3"/>
  <c r="BA155" i="3"/>
  <c r="AZ155" i="3"/>
  <c r="BL156" i="3"/>
  <c r="AZ156" i="3"/>
  <c r="G157" i="3"/>
  <c r="BA159" i="3"/>
  <c r="AZ159" i="3" s="1"/>
  <c r="BL160" i="3"/>
  <c r="G161" i="3"/>
  <c r="BA163" i="3"/>
  <c r="AZ163" i="3" s="1"/>
  <c r="BL164" i="3"/>
  <c r="AZ164" i="3" s="1"/>
  <c r="G165" i="3"/>
  <c r="BA167" i="3"/>
  <c r="BL168" i="3"/>
  <c r="G169" i="3"/>
  <c r="BA171" i="3"/>
  <c r="AZ171" i="3"/>
  <c r="BL172" i="3"/>
  <c r="G173" i="3"/>
  <c r="BA175" i="3"/>
  <c r="AZ175" i="3" s="1"/>
  <c r="BL176" i="3"/>
  <c r="G177" i="3"/>
  <c r="BA179" i="3"/>
  <c r="AZ179" i="3" s="1"/>
  <c r="BL180" i="3"/>
  <c r="AZ180" i="3" s="1"/>
  <c r="G181" i="3"/>
  <c r="BA183" i="3"/>
  <c r="AZ183" i="3"/>
  <c r="BL184" i="3"/>
  <c r="AZ184" i="3" s="1"/>
  <c r="G185" i="3"/>
  <c r="BA187" i="3"/>
  <c r="AZ187" i="3"/>
  <c r="BL188" i="3"/>
  <c r="AZ188" i="3"/>
  <c r="G189" i="3"/>
  <c r="BA191" i="3"/>
  <c r="AZ191" i="3" s="1"/>
  <c r="BL192" i="3"/>
  <c r="AZ192" i="3" s="1"/>
  <c r="G193" i="3"/>
  <c r="BA195" i="3"/>
  <c r="AZ195" i="3" s="1"/>
  <c r="BL196" i="3"/>
  <c r="AZ196" i="3" s="1"/>
  <c r="G197" i="3"/>
  <c r="BA199" i="3"/>
  <c r="AZ199" i="3"/>
  <c r="BL200" i="3"/>
  <c r="G201" i="3"/>
  <c r="BA203" i="3"/>
  <c r="AZ203" i="3"/>
  <c r="BL204" i="3"/>
  <c r="AZ204" i="3"/>
  <c r="AZ39" i="3"/>
  <c r="AZ43" i="3"/>
  <c r="AZ51" i="3"/>
  <c r="AZ59" i="3"/>
  <c r="AZ67" i="3"/>
  <c r="AZ79" i="3"/>
  <c r="AZ83" i="3"/>
  <c r="AZ136" i="3"/>
  <c r="AZ168" i="3"/>
  <c r="AZ176" i="3"/>
  <c r="AZ200" i="3"/>
  <c r="AZ97" i="3"/>
  <c r="AZ105"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AZ382" i="3" s="1"/>
  <c r="BL382" i="3"/>
  <c r="G383" i="3"/>
  <c r="G386" i="3"/>
  <c r="BL387" i="3"/>
  <c r="AZ387" i="3" s="1"/>
  <c r="BA389" i="3"/>
  <c r="AZ389" i="3"/>
  <c r="BA390" i="3"/>
  <c r="BL390" i="3"/>
  <c r="G391" i="3"/>
  <c r="G394" i="3"/>
  <c r="AZ138" i="3"/>
  <c r="AZ142" i="3"/>
  <c r="AZ146" i="3"/>
  <c r="AZ150" i="3"/>
  <c r="AZ158" i="3"/>
  <c r="AZ162" i="3"/>
  <c r="AZ166" i="3"/>
  <c r="AZ174"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BL339" i="3"/>
  <c r="AZ339" i="3" s="1"/>
  <c r="G340" i="3"/>
  <c r="BL343" i="3"/>
  <c r="G344" i="3"/>
  <c r="G348" i="3"/>
  <c r="G355" i="3"/>
  <c r="AZ209" i="3"/>
  <c r="AZ214" i="3"/>
  <c r="AZ218" i="3"/>
  <c r="AZ222" i="3"/>
  <c r="AZ319" i="3"/>
  <c r="G342" i="3"/>
  <c r="BL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BL388" i="3"/>
  <c r="G389" i="3"/>
  <c r="BA391" i="3"/>
  <c r="BL392" i="3"/>
  <c r="G393" i="3"/>
  <c r="AZ263" i="3"/>
  <c r="AZ275" i="3"/>
  <c r="AZ279" i="3"/>
  <c r="AZ283" i="3"/>
  <c r="AZ287" i="3"/>
  <c r="AZ291" i="3"/>
  <c r="AZ295" i="3"/>
  <c r="AZ299" i="3"/>
  <c r="BO5" i="3"/>
  <c r="BM5" i="3"/>
  <c r="F29" i="6" s="1"/>
  <c r="BJ5" i="3"/>
  <c r="BH5" i="3"/>
  <c r="BF5" i="3"/>
  <c r="BD5" i="3"/>
  <c r="AZ317" i="3"/>
  <c r="AZ333" i="3"/>
  <c r="BQ5" i="3"/>
  <c r="AZ549" i="3"/>
  <c r="AZ496" i="3"/>
  <c r="G548" i="3"/>
  <c r="G538" i="3"/>
  <c r="G520" i="3"/>
  <c r="G502" i="3"/>
  <c r="BS5" i="3"/>
  <c r="F28" i="6" s="1"/>
  <c r="BP5" i="3"/>
  <c r="G29" i="6" s="1"/>
  <c r="BN5" i="3"/>
  <c r="AZ343" i="3"/>
  <c r="BK5" i="3"/>
  <c r="BI5" i="3"/>
  <c r="BG5" i="3"/>
  <c r="BE5" i="3"/>
  <c r="BC5" i="3"/>
  <c r="G17" i="3"/>
  <c r="BA17" i="3"/>
  <c r="BT5" i="3"/>
  <c r="AZ350" i="3"/>
  <c r="AZ352" i="3"/>
  <c r="AZ360" i="3"/>
  <c r="AZ368" i="3"/>
  <c r="BA15" i="3"/>
  <c r="AZ15" i="3"/>
  <c r="BB5" i="3"/>
  <c r="BR5" i="3"/>
  <c r="AZ384" i="3"/>
  <c r="AZ388" i="3"/>
  <c r="AZ392" i="3"/>
  <c r="AZ396" i="3"/>
  <c r="AZ509" i="3"/>
  <c r="G509" i="3"/>
  <c r="BL493" i="3"/>
  <c r="AZ491" i="3"/>
  <c r="AZ376" i="3"/>
  <c r="U36" i="40"/>
  <c r="F83" i="43"/>
  <c r="H85" i="43" s="1"/>
  <c r="F50" i="43"/>
  <c r="H54" i="43" s="1"/>
  <c r="F72" i="43"/>
  <c r="H75" i="43" s="1"/>
  <c r="U17" i="39"/>
  <c r="S14" i="35"/>
  <c r="U35" i="21"/>
  <c r="AC35" i="21"/>
  <c r="G8" i="1"/>
  <c r="G10" i="1"/>
  <c r="AZ563" i="3"/>
  <c r="W37" i="37"/>
  <c r="W44" i="34"/>
  <c r="AC44" i="34"/>
  <c r="U13" i="37"/>
  <c r="AA12" i="40"/>
  <c r="J37" i="33"/>
  <c r="W37" i="33"/>
  <c r="AC17" i="34"/>
  <c r="F106" i="33"/>
  <c r="G106" i="33" s="1"/>
  <c r="H106" i="33" s="1"/>
  <c r="I106" i="33" s="1"/>
  <c r="J106" i="33" s="1"/>
  <c r="K106" i="33" s="1"/>
  <c r="L106" i="33" s="1"/>
  <c r="M106" i="33" s="1"/>
  <c r="J34" i="33"/>
  <c r="F33" i="34"/>
  <c r="S33" i="34" s="1"/>
  <c r="H20" i="36"/>
  <c r="J20" i="36"/>
  <c r="W20" i="36" s="1"/>
  <c r="W24" i="36"/>
  <c r="J27" i="36"/>
  <c r="W27" i="36" s="1"/>
  <c r="AC33" i="40"/>
  <c r="F111" i="40"/>
  <c r="G111" i="40" s="1"/>
  <c r="H111" i="40"/>
  <c r="I111" i="40" s="1"/>
  <c r="J111" i="40" s="1"/>
  <c r="K111" i="40" s="1"/>
  <c r="L111" i="40" s="1"/>
  <c r="M111" i="40" s="1"/>
  <c r="H35" i="40"/>
  <c r="AB35" i="40" s="1"/>
  <c r="AC29" i="35"/>
  <c r="H35" i="37"/>
  <c r="U35" i="37" s="1"/>
  <c r="AC14" i="35"/>
  <c r="H20" i="35"/>
  <c r="U20" i="35"/>
  <c r="F20" i="35"/>
  <c r="AA20" i="35"/>
  <c r="AB23" i="35"/>
  <c r="AB29" i="36"/>
  <c r="U29" i="36"/>
  <c r="H32" i="37"/>
  <c r="AB32" i="37" s="1"/>
  <c r="F96" i="37"/>
  <c r="G96" i="37" s="1"/>
  <c r="H27" i="40"/>
  <c r="U27" i="40"/>
  <c r="J27" i="40"/>
  <c r="AC27" i="40"/>
  <c r="F27" i="40"/>
  <c r="S27" i="40"/>
  <c r="J30" i="40"/>
  <c r="AC30" i="40"/>
  <c r="F30" i="40"/>
  <c r="S30" i="40" s="1"/>
  <c r="AA30" i="40"/>
  <c r="AC21" i="40"/>
  <c r="S31" i="39"/>
  <c r="S11" i="40"/>
  <c r="E98" i="40"/>
  <c r="F98" i="40" s="1"/>
  <c r="G98" i="40"/>
  <c r="H98" i="40" s="1"/>
  <c r="I98" i="40" s="1"/>
  <c r="J98" i="40" s="1"/>
  <c r="K98" i="40" s="1"/>
  <c r="L98" i="40" s="1"/>
  <c r="M98" i="40" s="1"/>
  <c r="F10" i="33"/>
  <c r="S10" i="33" s="1"/>
  <c r="F34" i="33"/>
  <c r="S34" i="33" s="1"/>
  <c r="H34" i="33"/>
  <c r="U34" i="33" s="1"/>
  <c r="F35" i="33"/>
  <c r="F39" i="34"/>
  <c r="J39" i="34"/>
  <c r="F40" i="34"/>
  <c r="F43" i="34"/>
  <c r="AA43" i="34" s="1"/>
  <c r="H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5" i="3"/>
  <c r="AZ53" i="3"/>
  <c r="AZ61" i="3"/>
  <c r="AZ69" i="3"/>
  <c r="AZ72" i="3"/>
  <c r="AZ77" i="3"/>
  <c r="AZ82" i="3"/>
  <c r="AZ86" i="3"/>
  <c r="AZ94" i="3"/>
  <c r="AZ102" i="3"/>
  <c r="AZ110" i="3"/>
  <c r="F23" i="39"/>
  <c r="AA23" i="39"/>
  <c r="H27" i="36"/>
  <c r="U27" i="36" s="1"/>
  <c r="F27" i="36"/>
  <c r="AA27" i="36" s="1"/>
  <c r="H33" i="34"/>
  <c r="U33" i="34"/>
  <c r="F32" i="37"/>
  <c r="AA32" i="37"/>
  <c r="H96" i="37"/>
  <c r="I96" i="37" s="1"/>
  <c r="J96" i="37"/>
  <c r="K96" i="37" s="1"/>
  <c r="L96" i="37"/>
  <c r="M96" i="37" s="1"/>
  <c r="F20" i="36"/>
  <c r="AA20" i="36" s="1"/>
  <c r="J33" i="34"/>
  <c r="H23" i="39"/>
  <c r="U23" i="39" s="1"/>
  <c r="D48" i="9"/>
  <c r="M52" i="9" s="1"/>
  <c r="K9" i="1"/>
  <c r="M9" i="1" s="1"/>
  <c r="D93" i="9"/>
  <c r="K6" i="1"/>
  <c r="AP6" i="1" s="1"/>
  <c r="AC26" i="33"/>
  <c r="W26" i="33"/>
  <c r="W27" i="34"/>
  <c r="AC27" i="34"/>
  <c r="AB34" i="36"/>
  <c r="U34" i="36"/>
  <c r="AB33" i="36"/>
  <c r="U33" i="36"/>
  <c r="AC12" i="39"/>
  <c r="W12" i="39"/>
  <c r="AZ401" i="3"/>
  <c r="AZ412" i="3"/>
  <c r="AZ417" i="3"/>
  <c r="AZ428" i="3"/>
  <c r="AZ433" i="3"/>
  <c r="AA32" i="36"/>
  <c r="S32" i="36"/>
  <c r="AZ408" i="3"/>
  <c r="AZ437" i="3"/>
  <c r="AZ441" i="3"/>
  <c r="AZ457" i="3"/>
  <c r="AZ473" i="3"/>
  <c r="AZ490" i="3"/>
  <c r="BL14" i="3"/>
  <c r="AZ266" i="3"/>
  <c r="U30" i="33"/>
  <c r="AC13" i="34"/>
  <c r="AA47" i="34"/>
  <c r="W28" i="37"/>
  <c r="S19" i="39"/>
  <c r="F12" i="33"/>
  <c r="AA12" i="33" s="1"/>
  <c r="H12" i="39"/>
  <c r="AB12" i="39"/>
  <c r="F39" i="40"/>
  <c r="BA14" i="3"/>
  <c r="AZ14" i="3" s="1"/>
  <c r="AZ367" i="3"/>
  <c r="AZ213" i="3"/>
  <c r="AZ224" i="3"/>
  <c r="AZ234" i="3"/>
  <c r="AZ238" i="3"/>
  <c r="AZ250" i="3"/>
  <c r="AZ254" i="3"/>
  <c r="AZ281" i="3"/>
  <c r="AZ286" i="3"/>
  <c r="AZ297" i="3"/>
  <c r="AZ149" i="3"/>
  <c r="AZ157" i="3"/>
  <c r="AZ181" i="3"/>
  <c r="AZ189" i="3"/>
  <c r="AZ197" i="3"/>
  <c r="AZ19" i="3"/>
  <c r="AZ26" i="3"/>
  <c r="AZ35" i="3"/>
  <c r="AZ41" i="3"/>
  <c r="B12" i="1"/>
  <c r="E12" i="1" s="1"/>
  <c r="B10" i="1"/>
  <c r="E10" i="1" s="1"/>
  <c r="AZ84" i="3"/>
  <c r="AZ88" i="3"/>
  <c r="AZ107" i="3"/>
  <c r="K12" i="1"/>
  <c r="M12" i="1" s="1"/>
  <c r="S13" i="1"/>
  <c r="AR13" i="1" s="1"/>
  <c r="R13" i="1"/>
  <c r="J51" i="67"/>
  <c r="C42" i="1"/>
  <c r="C24" i="12" s="1"/>
  <c r="AA34" i="33"/>
  <c r="B41" i="1"/>
  <c r="F48" i="9" s="1"/>
  <c r="O52" i="9" s="1"/>
  <c r="AB37" i="40"/>
  <c r="S35" i="40"/>
  <c r="U35" i="40"/>
  <c r="W38" i="40"/>
  <c r="S17" i="40"/>
  <c r="AC17" i="40"/>
  <c r="AC15" i="40"/>
  <c r="AB27" i="40"/>
  <c r="AA19" i="40"/>
  <c r="AA27" i="40"/>
  <c r="U21" i="40"/>
  <c r="AB19" i="40"/>
  <c r="S37" i="39"/>
  <c r="U35" i="39"/>
  <c r="F32" i="39"/>
  <c r="F106" i="39"/>
  <c r="G106" i="39" s="1"/>
  <c r="H106" i="39" s="1"/>
  <c r="I106" i="39" s="1"/>
  <c r="J106" i="39" s="1"/>
  <c r="K106" i="39" s="1"/>
  <c r="L106" i="39" s="1"/>
  <c r="M106" i="39" s="1"/>
  <c r="AB27" i="39"/>
  <c r="J21" i="39"/>
  <c r="W21" i="39" s="1"/>
  <c r="F21" i="39"/>
  <c r="G94" i="39"/>
  <c r="H21" i="39"/>
  <c r="W19" i="39"/>
  <c r="U19" i="39"/>
  <c r="S17" i="39"/>
  <c r="AA12" i="39"/>
  <c r="S9" i="39"/>
  <c r="U14" i="39"/>
  <c r="AC13" i="39"/>
  <c r="U12" i="39"/>
  <c r="S23" i="36"/>
  <c r="U13" i="36"/>
  <c r="U26" i="36"/>
  <c r="S33" i="36"/>
  <c r="AA26" i="36"/>
  <c r="AC26" i="36"/>
  <c r="AA22" i="36"/>
  <c r="AB14" i="36"/>
  <c r="U22" i="36"/>
  <c r="S16" i="36"/>
  <c r="AA25" i="36"/>
  <c r="S24" i="36"/>
  <c r="U24" i="36"/>
  <c r="U23"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U32" i="37"/>
  <c r="AC35" i="37"/>
  <c r="W39" i="37"/>
  <c r="S30" i="37"/>
  <c r="S37" i="37"/>
  <c r="AC15" i="37"/>
  <c r="J17" i="37"/>
  <c r="W17" i="37"/>
  <c r="G73" i="37"/>
  <c r="F17" i="37"/>
  <c r="AB17" i="37"/>
  <c r="F75" i="37"/>
  <c r="F19" i="37"/>
  <c r="AA19" i="37" s="1"/>
  <c r="F79" i="37"/>
  <c r="F23" i="37"/>
  <c r="S23" i="37" s="1"/>
  <c r="U23" i="37"/>
  <c r="U15" i="37"/>
  <c r="AC13" i="37"/>
  <c r="AA13" i="37"/>
  <c r="H10" i="37"/>
  <c r="AB10" i="37" s="1"/>
  <c r="F63" i="37"/>
  <c r="F11" i="37"/>
  <c r="S11" i="37" s="1"/>
  <c r="S27" i="34"/>
  <c r="W25" i="34"/>
  <c r="AB8" i="34"/>
  <c r="AA33" i="34"/>
  <c r="U43" i="34"/>
  <c r="W41" i="34"/>
  <c r="AC42" i="34"/>
  <c r="AB35" i="34"/>
  <c r="U39" i="34"/>
  <c r="S43" i="34"/>
  <c r="AB41" i="34"/>
  <c r="AA45" i="34"/>
  <c r="AA25" i="34"/>
  <c r="S17" i="34"/>
  <c r="AA29" i="34"/>
  <c r="U27" i="34"/>
  <c r="S23" i="34"/>
  <c r="U15" i="34"/>
  <c r="S13"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S43" i="33"/>
  <c r="F91" i="33"/>
  <c r="H27" i="33"/>
  <c r="F87" i="33"/>
  <c r="H25" i="33"/>
  <c r="AB25" i="33" s="1"/>
  <c r="F25" i="33"/>
  <c r="J23" i="33"/>
  <c r="W23" i="33" s="1"/>
  <c r="H23" i="33"/>
  <c r="U23" i="33" s="1"/>
  <c r="F81" i="33"/>
  <c r="F19" i="33"/>
  <c r="S19" i="33" s="1"/>
  <c r="W19" i="33"/>
  <c r="J17" i="33"/>
  <c r="AC17" i="33" s="1"/>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F34" i="67"/>
  <c r="F62" i="67" s="1"/>
  <c r="M20" i="67"/>
  <c r="F34" i="15"/>
  <c r="F62" i="15" s="1"/>
  <c r="G13" i="3"/>
  <c r="BA13" i="3"/>
  <c r="BL17" i="3"/>
  <c r="AZ17" i="3"/>
  <c r="BL13" i="3"/>
  <c r="J56" i="9"/>
  <c r="J57" i="9" s="1"/>
  <c r="J59" i="9" s="1"/>
  <c r="J61" i="9" s="1"/>
  <c r="U29" i="34"/>
  <c r="E5" i="6"/>
  <c r="E32" i="6"/>
  <c r="G1" i="68"/>
  <c r="K1" i="12"/>
  <c r="E19" i="68"/>
  <c r="E1" i="73"/>
  <c r="G22" i="69"/>
  <c r="G22" i="68"/>
  <c r="G26" i="12"/>
  <c r="G22" i="11"/>
  <c r="C6" i="43"/>
  <c r="B19" i="53"/>
  <c r="B37" i="72" s="1"/>
  <c r="C7" i="39"/>
  <c r="C67" i="39" s="1"/>
  <c r="C7" i="40"/>
  <c r="C63" i="40"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U13" i="39"/>
  <c r="AB13" i="39"/>
  <c r="AA13" i="39"/>
  <c r="S14" i="39"/>
  <c r="AA14" i="39"/>
  <c r="AB11" i="39"/>
  <c r="U11" i="39"/>
  <c r="AA27" i="39"/>
  <c r="S27" i="39"/>
  <c r="W17" i="39"/>
  <c r="AC17" i="39"/>
  <c r="S23" i="39"/>
  <c r="AA45" i="39"/>
  <c r="AB39" i="39"/>
  <c r="W34" i="39"/>
  <c r="U38" i="39"/>
  <c r="S8" i="39"/>
  <c r="S20" i="36"/>
  <c r="AC25" i="36"/>
  <c r="U32" i="36"/>
  <c r="W29" i="36"/>
  <c r="U25" i="36"/>
  <c r="AB28" i="36"/>
  <c r="AA13" i="36"/>
  <c r="W22" i="36"/>
  <c r="W23" i="36"/>
  <c r="AB20" i="35"/>
  <c r="AC25" i="35"/>
  <c r="U25" i="35"/>
  <c r="U24" i="35"/>
  <c r="S35" i="35"/>
  <c r="W35" i="35"/>
  <c r="AA16" i="35"/>
  <c r="AA35" i="37"/>
  <c r="W36" i="37"/>
  <c r="S27" i="37"/>
  <c r="S28" i="37"/>
  <c r="W32" i="37"/>
  <c r="U36" i="37"/>
  <c r="S40" i="37"/>
  <c r="AB37" i="37"/>
  <c r="AC34" i="37"/>
  <c r="AB35" i="37"/>
  <c r="AA31" i="37"/>
  <c r="U19" i="37"/>
  <c r="AA29" i="37"/>
  <c r="U8" i="37"/>
  <c r="AB40" i="34"/>
  <c r="U19" i="34"/>
  <c r="W19" i="34"/>
  <c r="AB33" i="34"/>
  <c r="AC45" i="34"/>
  <c r="AA31" i="34"/>
  <c r="AA30" i="34"/>
  <c r="AB45" i="34"/>
  <c r="AB47" i="34"/>
  <c r="U25" i="34"/>
  <c r="AB36" i="34"/>
  <c r="AC14" i="34"/>
  <c r="AC32" i="34"/>
  <c r="AC29" i="34"/>
  <c r="W29" i="34"/>
  <c r="W46" i="34"/>
  <c r="AC46" i="34"/>
  <c r="S32" i="34"/>
  <c r="U30" i="34"/>
  <c r="AB30" i="34"/>
  <c r="S37" i="34"/>
  <c r="U38" i="34"/>
  <c r="AC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AA30" i="33"/>
  <c r="AC14" i="33"/>
  <c r="W14" i="33"/>
  <c r="AC30" i="33"/>
  <c r="W30" i="33"/>
  <c r="S31" i="33"/>
  <c r="AA31" i="33"/>
  <c r="W13" i="33"/>
  <c r="AC13" i="33"/>
  <c r="U15" i="33"/>
  <c r="S11" i="33"/>
  <c r="U37" i="33"/>
  <c r="AC28" i="33"/>
  <c r="S28" i="33"/>
  <c r="W8" i="33"/>
  <c r="S44" i="21"/>
  <c r="U28" i="21"/>
  <c r="S45" i="21"/>
  <c r="I101" i="21"/>
  <c r="J101" i="21" s="1"/>
  <c r="K101" i="21"/>
  <c r="L101" i="21" s="1"/>
  <c r="M101" i="21" s="1"/>
  <c r="F33" i="21"/>
  <c r="AA33" i="21" s="1"/>
  <c r="J33" i="21"/>
  <c r="AC33" i="21" s="1"/>
  <c r="H33" i="21"/>
  <c r="AB33" i="21" s="1"/>
  <c r="F37" i="21"/>
  <c r="AA37" i="21" s="1"/>
  <c r="AB14" i="21"/>
  <c r="U40" i="21"/>
  <c r="AB31" i="21"/>
  <c r="U31" i="21"/>
  <c r="AC15" i="21"/>
  <c r="U13" i="21"/>
  <c r="AB13" i="21"/>
  <c r="S35" i="21"/>
  <c r="J37" i="21"/>
  <c r="W37" i="21" s="1"/>
  <c r="H15" i="21"/>
  <c r="AB15" i="21" s="1"/>
  <c r="J17" i="21"/>
  <c r="AC17" i="21"/>
  <c r="AC19" i="21"/>
  <c r="W39" i="21"/>
  <c r="AC14" i="21"/>
  <c r="W30" i="21"/>
  <c r="H45" i="21"/>
  <c r="U45" i="21" s="1"/>
  <c r="F29" i="21"/>
  <c r="S29" i="21" s="1"/>
  <c r="F13" i="21"/>
  <c r="AC38" i="21"/>
  <c r="H32" i="21"/>
  <c r="AB32" i="21" s="1"/>
  <c r="H9" i="21"/>
  <c r="AB9" i="21" s="1"/>
  <c r="J9" i="21"/>
  <c r="AC9" i="21" s="1"/>
  <c r="J32" i="21"/>
  <c r="W32" i="21" s="1"/>
  <c r="F32" i="21"/>
  <c r="AA32" i="21" s="1"/>
  <c r="U17" i="21"/>
  <c r="W29" i="21"/>
  <c r="S19" i="21"/>
  <c r="S9" i="21"/>
  <c r="AA9" i="21"/>
  <c r="K141" i="21"/>
  <c r="K144" i="21"/>
  <c r="K143" i="21"/>
  <c r="AB25" i="21"/>
  <c r="AB44" i="21"/>
  <c r="AA30" i="21"/>
  <c r="AC45" i="21"/>
  <c r="F10" i="21"/>
  <c r="AA10" i="21" s="1"/>
  <c r="K145" i="21"/>
  <c r="W17" i="21"/>
  <c r="W25" i="21"/>
  <c r="AA29" i="21"/>
  <c r="S17" i="21"/>
  <c r="AA15" i="21"/>
  <c r="AC34"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J32" i="39"/>
  <c r="AC32" i="39" s="1"/>
  <c r="H32" i="39"/>
  <c r="AB32" i="39" s="1"/>
  <c r="AA32" i="39"/>
  <c r="S32" i="39"/>
  <c r="AB21" i="39"/>
  <c r="U21" i="39"/>
  <c r="AA21" i="39"/>
  <c r="S21" i="39"/>
  <c r="AC17" i="37"/>
  <c r="J19" i="37"/>
  <c r="G75" i="37"/>
  <c r="AA23" i="37"/>
  <c r="J23" i="37"/>
  <c r="G79" i="37"/>
  <c r="J10" i="37"/>
  <c r="W10" i="37" s="1"/>
  <c r="G63" i="37"/>
  <c r="H63" i="37" s="1"/>
  <c r="I63" i="37" s="1"/>
  <c r="J63" i="37" s="1"/>
  <c r="K63" i="37" s="1"/>
  <c r="L63" i="37" s="1"/>
  <c r="M63" i="37" s="1"/>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c r="J91" i="33" s="1"/>
  <c r="K91" i="33" s="1"/>
  <c r="L91" i="33" s="1"/>
  <c r="M91" i="33" s="1"/>
  <c r="J27" i="33"/>
  <c r="U25" i="33"/>
  <c r="S25" i="33"/>
  <c r="AA25" i="33"/>
  <c r="G87" i="33"/>
  <c r="H87" i="33" s="1"/>
  <c r="I87" i="33" s="1"/>
  <c r="J87" i="33" s="1"/>
  <c r="K87" i="33" s="1"/>
  <c r="L87" i="33" s="1"/>
  <c r="M87" i="33" s="1"/>
  <c r="J25" i="33"/>
  <c r="AB23" i="33"/>
  <c r="F23" i="33"/>
  <c r="G85" i="33"/>
  <c r="AC23" i="33"/>
  <c r="H19" i="33"/>
  <c r="U19" i="33" s="1"/>
  <c r="G81" i="33"/>
  <c r="H17" i="33"/>
  <c r="F17" i="33"/>
  <c r="S17" i="33" s="1"/>
  <c r="W17" i="33"/>
  <c r="S37" i="21"/>
  <c r="AA23" i="21"/>
  <c r="J23" i="21"/>
  <c r="F85" i="21"/>
  <c r="G85" i="21" s="1"/>
  <c r="H23" i="21"/>
  <c r="AB23" i="21" s="1"/>
  <c r="AP7" i="1"/>
  <c r="AB45" i="21"/>
  <c r="S32" i="21"/>
  <c r="U32" i="21"/>
  <c r="U32" i="39"/>
  <c r="W32" i="39"/>
  <c r="W19" i="37"/>
  <c r="AC19" i="37"/>
  <c r="W23" i="37"/>
  <c r="AC23" i="37"/>
  <c r="J11" i="37"/>
  <c r="AC11" i="37" s="1"/>
  <c r="H70" i="34"/>
  <c r="I70" i="34" s="1"/>
  <c r="J70" i="34" s="1"/>
  <c r="K70" i="34" s="1"/>
  <c r="L70" i="34" s="1"/>
  <c r="M70" i="34" s="1"/>
  <c r="J11" i="34"/>
  <c r="W11" i="34" s="1"/>
  <c r="AB36" i="33"/>
  <c r="W27" i="33"/>
  <c r="AC27" i="33"/>
  <c r="W25" i="33"/>
  <c r="AC25" i="33"/>
  <c r="AA23" i="33"/>
  <c r="S23" i="33"/>
  <c r="AB19" i="33"/>
  <c r="AA17" i="33"/>
  <c r="U17" i="33"/>
  <c r="AB17" i="33"/>
  <c r="U23" i="21"/>
  <c r="AC23" i="21"/>
  <c r="W23" i="21"/>
  <c r="H109" i="9"/>
  <c r="M49" i="9" s="1"/>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T20" i="71"/>
  <c r="D19" i="71"/>
  <c r="D20" i="71"/>
  <c r="U20" i="71" s="1"/>
  <c r="F7" i="15"/>
  <c r="M22" i="15"/>
  <c r="J15" i="15"/>
  <c r="F36" i="15"/>
  <c r="D5" i="73"/>
  <c r="D6" i="73"/>
  <c r="F43" i="67"/>
  <c r="L47" i="67"/>
  <c r="B11" i="76"/>
  <c r="M24" i="15"/>
  <c r="M26" i="15"/>
  <c r="F26" i="15"/>
  <c r="F43" i="15"/>
  <c r="F13" i="15"/>
  <c r="E2" i="68"/>
  <c r="E11" i="76"/>
  <c r="AO13" i="1"/>
  <c r="F6" i="67"/>
  <c r="B8" i="76"/>
  <c r="E8" i="76"/>
  <c r="M9" i="67"/>
  <c r="E2" i="69"/>
  <c r="M9" i="15"/>
  <c r="E12" i="76"/>
  <c r="F16" i="67"/>
  <c r="F8" i="67"/>
  <c r="B12" i="76"/>
  <c r="F7" i="73"/>
  <c r="F13" i="67"/>
  <c r="F42" i="67"/>
  <c r="F16" i="15"/>
  <c r="M8" i="67"/>
  <c r="F26" i="67"/>
  <c r="M29" i="15"/>
  <c r="M28" i="15"/>
  <c r="M22" i="67"/>
  <c r="F40" i="15"/>
  <c r="M24" i="67"/>
  <c r="F9" i="67"/>
  <c r="M29" i="67"/>
  <c r="F40" i="67"/>
  <c r="M23" i="67"/>
  <c r="L47" i="15"/>
  <c r="E9" i="76"/>
  <c r="J15" i="67"/>
  <c r="F3" i="73"/>
  <c r="B9" i="76"/>
  <c r="E10" i="76"/>
  <c r="F37" i="67"/>
  <c r="F6" i="73"/>
  <c r="M23" i="15"/>
  <c r="D4" i="73"/>
  <c r="F9" i="15"/>
  <c r="F8" i="15"/>
  <c r="B7" i="76"/>
  <c r="E7" i="76"/>
  <c r="E13" i="76"/>
  <c r="M6" i="15"/>
  <c r="F42" i="15"/>
  <c r="F38" i="67"/>
  <c r="F20" i="31"/>
  <c r="D35" i="9"/>
  <c r="C76" i="15"/>
  <c r="C76" i="67"/>
  <c r="B10" i="76"/>
  <c r="F7" i="67"/>
  <c r="F6" i="15"/>
  <c r="M8" i="15"/>
  <c r="F37" i="15"/>
  <c r="D34" i="9"/>
  <c r="L48" i="15"/>
  <c r="F38" i="15"/>
  <c r="F5" i="73"/>
  <c r="F36" i="67"/>
  <c r="L48" i="67"/>
  <c r="B13" i="76"/>
  <c r="D7" i="73"/>
  <c r="F4" i="73"/>
  <c r="M6" i="67"/>
  <c r="D3" i="73"/>
  <c r="M26" i="67"/>
  <c r="M28" i="67"/>
  <c r="U12" i="21" l="1"/>
  <c r="W12" i="21"/>
  <c r="AA12" i="21"/>
  <c r="S27" i="21"/>
  <c r="C40" i="68"/>
  <c r="AB43" i="21"/>
  <c r="W42" i="21"/>
  <c r="AB42" i="21"/>
  <c r="U9" i="21"/>
  <c r="W9" i="21"/>
  <c r="AA26" i="21"/>
  <c r="AC26" i="21"/>
  <c r="U26" i="21"/>
  <c r="AC27" i="21"/>
  <c r="U27" i="21"/>
  <c r="AA42" i="21"/>
  <c r="G6" i="1"/>
  <c r="I24" i="43"/>
  <c r="C24" i="43" s="1"/>
  <c r="F54" i="9"/>
  <c r="F30" i="69"/>
  <c r="F48" i="69" s="1"/>
  <c r="F31" i="12"/>
  <c r="D68" i="9"/>
  <c r="F28" i="15"/>
  <c r="F32" i="67"/>
  <c r="F60" i="67" s="1"/>
  <c r="F28" i="67"/>
  <c r="C28" i="67" s="1"/>
  <c r="M18" i="67"/>
  <c r="M18" i="15"/>
  <c r="F30" i="11"/>
  <c r="C48" i="11" s="1"/>
  <c r="F32" i="15"/>
  <c r="F60" i="15" s="1"/>
  <c r="F52" i="9"/>
  <c r="F30" i="68"/>
  <c r="F48" i="68" s="1"/>
  <c r="C21" i="68"/>
  <c r="C40" i="69"/>
  <c r="E19" i="69"/>
  <c r="C7" i="21"/>
  <c r="C7" i="37"/>
  <c r="C52" i="37" s="1"/>
  <c r="D52" i="37" s="1"/>
  <c r="G23" i="43"/>
  <c r="C7" i="33"/>
  <c r="M47" i="9"/>
  <c r="C7" i="35"/>
  <c r="C48" i="35" s="1"/>
  <c r="D48" i="35" s="1"/>
  <c r="E19" i="71"/>
  <c r="E18" i="71" s="1"/>
  <c r="E17" i="71" s="1"/>
  <c r="E16" i="71" s="1"/>
  <c r="V20" i="71"/>
  <c r="AB44" i="34"/>
  <c r="U44" i="34"/>
  <c r="S39" i="34"/>
  <c r="AA39" i="34"/>
  <c r="W34" i="33"/>
  <c r="AC34" i="33"/>
  <c r="D18" i="71"/>
  <c r="S19" i="37"/>
  <c r="AC20" i="36"/>
  <c r="AA35" i="33"/>
  <c r="S35" i="33"/>
  <c r="AB20" i="36"/>
  <c r="U20" i="36"/>
  <c r="AZ338" i="3"/>
  <c r="AZ351" i="3"/>
  <c r="AZ341" i="3"/>
  <c r="AZ309" i="3"/>
  <c r="W11" i="39"/>
  <c r="AC11" i="39"/>
  <c r="AB25" i="39"/>
  <c r="U25" i="39"/>
  <c r="AZ521" i="3"/>
  <c r="AZ493" i="3"/>
  <c r="AZ501" i="3"/>
  <c r="AZ529" i="3"/>
  <c r="AZ537" i="3"/>
  <c r="AZ555" i="3"/>
  <c r="AZ565" i="3"/>
  <c r="AZ573" i="3"/>
  <c r="W13" i="40"/>
  <c r="AC13" i="40"/>
  <c r="U33" i="40"/>
  <c r="AB33" i="40"/>
  <c r="W11" i="35"/>
  <c r="AC11" i="35"/>
  <c r="AC33" i="34"/>
  <c r="W33" i="34"/>
  <c r="S40" i="34"/>
  <c r="AA40" i="34"/>
  <c r="AA15" i="39"/>
  <c r="S15" i="39"/>
  <c r="AA15" i="37"/>
  <c r="S15" i="37"/>
  <c r="W12" i="37"/>
  <c r="AC12" i="37"/>
  <c r="S32" i="40"/>
  <c r="AA32" i="40"/>
  <c r="AA24" i="35"/>
  <c r="S24" i="35"/>
  <c r="AA13" i="21"/>
  <c r="S13" i="21"/>
  <c r="C16" i="71"/>
  <c r="D17" i="71"/>
  <c r="D19" i="53"/>
  <c r="B38" i="72" s="1"/>
  <c r="D16" i="53"/>
  <c r="B34" i="72" s="1"/>
  <c r="U15" i="21"/>
  <c r="AA17" i="37"/>
  <c r="S17" i="37"/>
  <c r="AC39" i="34"/>
  <c r="W39" i="34"/>
  <c r="AZ390" i="3"/>
  <c r="AZ378" i="3"/>
  <c r="H64" i="43"/>
  <c r="H67" i="43"/>
  <c r="S11" i="39"/>
  <c r="AA19" i="33"/>
  <c r="G28" i="6"/>
  <c r="D8" i="53"/>
  <c r="D120" i="9"/>
  <c r="AB37" i="39"/>
  <c r="U37" i="39"/>
  <c r="AC43" i="33"/>
  <c r="W43" i="33"/>
  <c r="W36" i="40"/>
  <c r="AC36" i="40"/>
  <c r="AZ508" i="3"/>
  <c r="W46" i="21"/>
  <c r="AC46" i="21"/>
  <c r="S28" i="34"/>
  <c r="AA28" i="34"/>
  <c r="AC38" i="37"/>
  <c r="W38" i="37"/>
  <c r="J25" i="37"/>
  <c r="H25" i="37"/>
  <c r="F25" i="37"/>
  <c r="J39" i="40"/>
  <c r="H39" i="40"/>
  <c r="BL548" i="3"/>
  <c r="AZ548" i="3" s="1"/>
  <c r="S28" i="40"/>
  <c r="U12" i="40"/>
  <c r="AC5" i="3"/>
  <c r="W35" i="40"/>
  <c r="S21" i="40"/>
  <c r="H43" i="39"/>
  <c r="F38" i="37"/>
  <c r="H38" i="37"/>
  <c r="F31" i="21"/>
  <c r="H29" i="21"/>
  <c r="F46" i="21"/>
  <c r="H46" i="21"/>
  <c r="F28" i="21"/>
  <c r="S26" i="33"/>
  <c r="J34" i="36"/>
  <c r="W34" i="36" s="1"/>
  <c r="AC12" i="34"/>
  <c r="H31" i="39"/>
  <c r="W31" i="40"/>
  <c r="U9" i="36"/>
  <c r="BL586" i="3"/>
  <c r="AZ586" i="3" s="1"/>
  <c r="J9" i="33"/>
  <c r="J12" i="33"/>
  <c r="H12" i="33"/>
  <c r="J9" i="36"/>
  <c r="F9" i="36"/>
  <c r="S41" i="33"/>
  <c r="U33" i="33"/>
  <c r="W36" i="35"/>
  <c r="BL550" i="3"/>
  <c r="AZ550" i="3" s="1"/>
  <c r="W14" i="36"/>
  <c r="S23" i="40"/>
  <c r="H28" i="34"/>
  <c r="F43" i="39"/>
  <c r="J31" i="21"/>
  <c r="J13" i="21"/>
  <c r="J28" i="21"/>
  <c r="F34" i="36"/>
  <c r="AB8" i="39"/>
  <c r="J31" i="39"/>
  <c r="S38" i="40"/>
  <c r="AA9" i="40"/>
  <c r="U34" i="34"/>
  <c r="W34" i="35"/>
  <c r="J12" i="36"/>
  <c r="H12" i="36"/>
  <c r="AZ398" i="3"/>
  <c r="AZ413" i="3"/>
  <c r="AZ420" i="3"/>
  <c r="AZ432" i="3"/>
  <c r="AZ444" i="3"/>
  <c r="AZ452" i="3"/>
  <c r="AZ461" i="3"/>
  <c r="AZ462" i="3"/>
  <c r="AZ464" i="3"/>
  <c r="H44" i="39"/>
  <c r="F44" i="39"/>
  <c r="BA551" i="3"/>
  <c r="AZ551" i="3" s="1"/>
  <c r="AZ402" i="3"/>
  <c r="AZ411" i="3"/>
  <c r="AZ414" i="3"/>
  <c r="AZ421" i="3"/>
  <c r="AZ425" i="3"/>
  <c r="AZ431" i="3"/>
  <c r="AZ442" i="3"/>
  <c r="AZ443" i="3"/>
  <c r="AZ450" i="3"/>
  <c r="AZ451" i="3"/>
  <c r="AZ405" i="3"/>
  <c r="AZ406" i="3"/>
  <c r="AZ409" i="3"/>
  <c r="AZ418" i="3"/>
  <c r="AZ419" i="3"/>
  <c r="AZ424" i="3"/>
  <c r="AZ430" i="3"/>
  <c r="AZ440" i="3"/>
  <c r="AZ448" i="3"/>
  <c r="AZ460" i="3"/>
  <c r="AZ463" i="3"/>
  <c r="J26" i="37"/>
  <c r="F26" i="37"/>
  <c r="G526" i="3"/>
  <c r="BL461" i="3"/>
  <c r="BL465" i="3"/>
  <c r="AZ465" i="3" s="1"/>
  <c r="AZ476" i="3"/>
  <c r="AZ480" i="3"/>
  <c r="AZ484" i="3"/>
  <c r="AZ485" i="3"/>
  <c r="AZ226" i="3"/>
  <c r="AZ236" i="3"/>
  <c r="AZ244" i="3"/>
  <c r="AZ246" i="3"/>
  <c r="AZ258" i="3"/>
  <c r="AZ277" i="3"/>
  <c r="AZ285" i="3"/>
  <c r="AZ289" i="3"/>
  <c r="AZ113" i="3"/>
  <c r="AZ121" i="3"/>
  <c r="A15" i="62"/>
  <c r="B61" i="72" s="1"/>
  <c r="AZ477" i="3"/>
  <c r="AZ481" i="3"/>
  <c r="AZ316" i="3"/>
  <c r="AZ239" i="3"/>
  <c r="AZ247" i="3"/>
  <c r="AZ276" i="3"/>
  <c r="AZ284" i="3"/>
  <c r="AZ122" i="3"/>
  <c r="G459" i="3"/>
  <c r="BA466" i="3"/>
  <c r="AZ466" i="3" s="1"/>
  <c r="AZ264" i="3"/>
  <c r="AZ267" i="3"/>
  <c r="AZ270" i="3"/>
  <c r="AZ293" i="3"/>
  <c r="AZ294" i="3"/>
  <c r="AZ301" i="3"/>
  <c r="AZ302" i="3"/>
  <c r="AZ126" i="3"/>
  <c r="BA154" i="3"/>
  <c r="AZ154" i="3" s="1"/>
  <c r="BA160" i="3"/>
  <c r="AZ160" i="3" s="1"/>
  <c r="G164" i="3"/>
  <c r="BL165" i="3"/>
  <c r="AZ165" i="3" s="1"/>
  <c r="BL167" i="3"/>
  <c r="AZ167" i="3" s="1"/>
  <c r="G168" i="3"/>
  <c r="BL170" i="3"/>
  <c r="AZ170" i="3" s="1"/>
  <c r="BA173" i="3"/>
  <c r="AZ173" i="3" s="1"/>
  <c r="BA178" i="3"/>
  <c r="AZ178" i="3" s="1"/>
  <c r="AZ46" i="3"/>
  <c r="AZ48" i="3"/>
  <c r="BA172" i="3"/>
  <c r="AZ172" i="3" s="1"/>
  <c r="AZ98" i="3"/>
  <c r="G174" i="3"/>
  <c r="AZ205" i="3"/>
  <c r="AZ18" i="3"/>
  <c r="AZ23" i="3"/>
  <c r="AZ62" i="3"/>
  <c r="AZ65" i="3"/>
  <c r="AZ87" i="3"/>
  <c r="AZ177" i="3"/>
  <c r="AZ185" i="3"/>
  <c r="AZ193" i="3"/>
  <c r="AZ54" i="3"/>
  <c r="AZ57" i="3"/>
  <c r="AZ92" i="3"/>
  <c r="G38" i="3"/>
  <c r="BA42" i="3"/>
  <c r="AZ42" i="3" s="1"/>
  <c r="BA47" i="3"/>
  <c r="AZ47" i="3" s="1"/>
  <c r="BL55" i="3"/>
  <c r="BA58" i="3"/>
  <c r="AZ58" i="3" s="1"/>
  <c r="BL60" i="3"/>
  <c r="AZ60" i="3" s="1"/>
  <c r="BL63" i="3"/>
  <c r="BA66" i="3"/>
  <c r="AZ66" i="3" s="1"/>
  <c r="BL68" i="3"/>
  <c r="AZ68" i="3" s="1"/>
  <c r="BA74" i="3"/>
  <c r="AZ74" i="3" s="1"/>
  <c r="BA76" i="3"/>
  <c r="AZ76" i="3" s="1"/>
  <c r="BL78" i="3"/>
  <c r="AZ78" i="3" s="1"/>
  <c r="AZ90" i="3"/>
  <c r="AZ95" i="3"/>
  <c r="BL96" i="3"/>
  <c r="BA100" i="3"/>
  <c r="AZ100" i="3" s="1"/>
  <c r="AZ108" i="3"/>
  <c r="G41" i="3"/>
  <c r="BL44" i="3"/>
  <c r="BL5" i="3" s="1"/>
  <c r="G51" i="3"/>
  <c r="BA55" i="3"/>
  <c r="AZ55" i="3" s="1"/>
  <c r="BA63" i="3"/>
  <c r="BA71" i="3"/>
  <c r="AZ71" i="3" s="1"/>
  <c r="BL73" i="3"/>
  <c r="AZ73" i="3" s="1"/>
  <c r="BL80" i="3"/>
  <c r="AZ80" i="3" s="1"/>
  <c r="G82" i="3"/>
  <c r="BA85" i="3"/>
  <c r="AZ85" i="3" s="1"/>
  <c r="BL87" i="3"/>
  <c r="BA91" i="3"/>
  <c r="AZ91" i="3" s="1"/>
  <c r="G94" i="3"/>
  <c r="BA96" i="3"/>
  <c r="AZ96" i="3" s="1"/>
  <c r="BL98" i="3"/>
  <c r="G100" i="3"/>
  <c r="BA40" i="3"/>
  <c r="AZ40" i="3" s="1"/>
  <c r="BA50" i="3"/>
  <c r="AZ50" i="3" s="1"/>
  <c r="BA56" i="3"/>
  <c r="AZ56" i="3" s="1"/>
  <c r="G59" i="3"/>
  <c r="BA64" i="3"/>
  <c r="AZ64" i="3" s="1"/>
  <c r="G67" i="3"/>
  <c r="BL75" i="3"/>
  <c r="AZ75" i="3" s="1"/>
  <c r="G77" i="3"/>
  <c r="BL81" i="3"/>
  <c r="AZ81" i="3" s="1"/>
  <c r="G84" i="3"/>
  <c r="BL89" i="3"/>
  <c r="AZ89" i="3" s="1"/>
  <c r="G91" i="3"/>
  <c r="BL93" i="3"/>
  <c r="AZ93" i="3" s="1"/>
  <c r="BL99" i="3"/>
  <c r="AZ99" i="3" s="1"/>
  <c r="BL101" i="3"/>
  <c r="AZ101" i="3" s="1"/>
  <c r="AB21" i="33"/>
  <c r="BL104" i="3"/>
  <c r="AZ104" i="3" s="1"/>
  <c r="BL111" i="3"/>
  <c r="AZ111" i="3" s="1"/>
  <c r="K13" i="1"/>
  <c r="M13" i="1" s="1"/>
  <c r="O13" i="1" s="1"/>
  <c r="P13" i="1" s="1"/>
  <c r="AC21" i="34"/>
  <c r="U18" i="35"/>
  <c r="U21" i="34"/>
  <c r="AA21" i="21"/>
  <c r="S21" i="21"/>
  <c r="T60" i="71"/>
  <c r="D60" i="71"/>
  <c r="BL109" i="3"/>
  <c r="AZ109" i="3" s="1"/>
  <c r="AB21" i="21"/>
  <c r="W18" i="36"/>
  <c r="U18" i="36"/>
  <c r="D27" i="71"/>
  <c r="C40" i="71"/>
  <c r="AA26" i="71"/>
  <c r="AA27" i="71"/>
  <c r="AB33" i="71"/>
  <c r="AA29" i="71"/>
  <c r="AB29" i="71"/>
  <c r="Y30" i="71"/>
  <c r="Z30" i="71" s="1"/>
  <c r="Y25" i="71"/>
  <c r="Z25" i="71" s="1"/>
  <c r="Y27" i="71"/>
  <c r="Z27" i="71" s="1"/>
  <c r="AB34" i="71"/>
  <c r="Y36" i="71"/>
  <c r="Z36" i="71" s="1"/>
  <c r="B38" i="71"/>
  <c r="B39" i="71" s="1"/>
  <c r="B40" i="71" s="1"/>
  <c r="S40" i="71" s="1"/>
  <c r="X37" i="71"/>
  <c r="Y9" i="71"/>
  <c r="Z9" i="71" s="1"/>
  <c r="Y10" i="71"/>
  <c r="Z10" i="71" s="1"/>
  <c r="Y39" i="71"/>
  <c r="Z39" i="71" s="1"/>
  <c r="AA24" i="71"/>
  <c r="X21" i="71"/>
  <c r="AA18" i="71"/>
  <c r="X13" i="71"/>
  <c r="X17" i="71"/>
  <c r="X26" i="71"/>
  <c r="X27" i="71"/>
  <c r="AA34" i="71"/>
  <c r="AA36" i="71"/>
  <c r="C43" i="71"/>
  <c r="D42" i="71"/>
  <c r="AB24" i="71"/>
  <c r="AB23" i="71"/>
  <c r="AB21" i="71"/>
  <c r="X18" i="71"/>
  <c r="Y13" i="71"/>
  <c r="Z13" i="71" s="1"/>
  <c r="D64" i="71"/>
  <c r="C82" i="71"/>
  <c r="D82" i="71" s="1"/>
  <c r="AA3" i="71"/>
  <c r="AB26" i="71"/>
  <c r="AA35" i="71"/>
  <c r="C35" i="71"/>
  <c r="D34" i="71"/>
  <c r="E31" i="71"/>
  <c r="E32" i="71" s="1"/>
  <c r="U32" i="71" s="1"/>
  <c r="F30" i="71"/>
  <c r="F31" i="71" s="1"/>
  <c r="F32" i="71" s="1"/>
  <c r="V32" i="71" s="1"/>
  <c r="AB30" i="71"/>
  <c r="AA31" i="71"/>
  <c r="Y33" i="71"/>
  <c r="Z33" i="71" s="1"/>
  <c r="AB35" i="71"/>
  <c r="AB36" i="71"/>
  <c r="F66" i="71"/>
  <c r="Q67" i="71"/>
  <c r="X24" i="71"/>
  <c r="AA22" i="71"/>
  <c r="Y18" i="71"/>
  <c r="Z18" i="71" s="1"/>
  <c r="AA12" i="71"/>
  <c r="AA17" i="71"/>
  <c r="AB25" i="71"/>
  <c r="AA32" i="71"/>
  <c r="X29" i="71"/>
  <c r="E34" i="71"/>
  <c r="E35" i="71" s="1"/>
  <c r="E36" i="71" s="1"/>
  <c r="U36" i="71" s="1"/>
  <c r="AA33" i="71"/>
  <c r="X33" i="71"/>
  <c r="X34" i="71"/>
  <c r="X36" i="71"/>
  <c r="X32" i="71"/>
  <c r="X9" i="71"/>
  <c r="X10" i="71"/>
  <c r="B47" i="71"/>
  <c r="B48" i="71" s="1"/>
  <c r="S48" i="71" s="1"/>
  <c r="Y22" i="71"/>
  <c r="Z22" i="71" s="1"/>
  <c r="Y21" i="71"/>
  <c r="Z21" i="71" s="1"/>
  <c r="Y17" i="71"/>
  <c r="Z17" i="71" s="1"/>
  <c r="AB17" i="71"/>
  <c r="AB14" i="71"/>
  <c r="Y24" i="71"/>
  <c r="Z24" i="71" s="1"/>
  <c r="AA21" i="71"/>
  <c r="AB18" i="71"/>
  <c r="AB12" i="71"/>
  <c r="Y12" i="71"/>
  <c r="Z12" i="71" s="1"/>
  <c r="X11" i="71"/>
  <c r="AA9" i="71"/>
  <c r="AA10" i="71"/>
  <c r="K56" i="9"/>
  <c r="Y23" i="71"/>
  <c r="Z23" i="71" s="1"/>
  <c r="AA23" i="71"/>
  <c r="X22" i="71"/>
  <c r="AA15" i="71"/>
  <c r="AB11" i="71"/>
  <c r="Y11" i="71"/>
  <c r="Z11" i="71" s="1"/>
  <c r="AA13" i="71"/>
  <c r="AB10" i="71"/>
  <c r="N56" i="9"/>
  <c r="AB15" i="71"/>
  <c r="AB13" i="71"/>
  <c r="Y14" i="71"/>
  <c r="Z14" i="71" s="1"/>
  <c r="AA14" i="71"/>
  <c r="X15" i="71"/>
  <c r="AB9" i="71"/>
  <c r="AA11" i="71"/>
  <c r="X12"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J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G1" i="73"/>
  <c r="C16" i="15"/>
  <c r="C16" i="67"/>
  <c r="C30" i="11" l="1"/>
  <c r="C30" i="69"/>
  <c r="C48" i="69"/>
  <c r="G26" i="43"/>
  <c r="H26" i="43"/>
  <c r="N370" i="46"/>
  <c r="G16" i="1"/>
  <c r="F10" i="39" s="1"/>
  <c r="S10" i="39" s="1"/>
  <c r="P6" i="1"/>
  <c r="C13" i="12" s="1"/>
  <c r="K16" i="1"/>
  <c r="H16" i="1"/>
  <c r="E26" i="43"/>
  <c r="F26" i="43"/>
  <c r="D26" i="43" s="1"/>
  <c r="C25" i="43" s="1"/>
  <c r="N94" i="46"/>
  <c r="B15" i="71"/>
  <c r="B14" i="71" s="1"/>
  <c r="B13" i="71" s="1"/>
  <c r="B12" i="71" s="1"/>
  <c r="S16" i="71"/>
  <c r="AZ44" i="3"/>
  <c r="W31" i="21"/>
  <c r="AC31" i="21"/>
  <c r="U12" i="33"/>
  <c r="AB12" i="33"/>
  <c r="AA46" i="21"/>
  <c r="S46" i="21"/>
  <c r="AA38" i="37"/>
  <c r="S38" i="37"/>
  <c r="AA25" i="37"/>
  <c r="S25" i="37"/>
  <c r="C15" i="71"/>
  <c r="T16" i="71"/>
  <c r="Q65" i="71"/>
  <c r="Q66" i="71"/>
  <c r="AZ63" i="3"/>
  <c r="U12" i="36"/>
  <c r="AB12" i="36"/>
  <c r="S34" i="36"/>
  <c r="AA34" i="36"/>
  <c r="AA43" i="39"/>
  <c r="S43" i="39"/>
  <c r="W12" i="33"/>
  <c r="AC12" i="33"/>
  <c r="AB29" i="21"/>
  <c r="U29" i="21"/>
  <c r="AB43" i="39"/>
  <c r="U43" i="39"/>
  <c r="U25" i="37"/>
  <c r="AB25" i="37"/>
  <c r="D121" i="9"/>
  <c r="D7" i="52" s="1"/>
  <c r="D6" i="52"/>
  <c r="J7" i="37"/>
  <c r="W7" i="37" s="1"/>
  <c r="AZ5" i="3"/>
  <c r="AY6" i="3" s="1"/>
  <c r="C36" i="71"/>
  <c r="D35" i="71"/>
  <c r="C44" i="71"/>
  <c r="D43" i="71"/>
  <c r="AA26" i="37"/>
  <c r="S26" i="37"/>
  <c r="AA44" i="39"/>
  <c r="S44" i="39"/>
  <c r="AC12" i="36"/>
  <c r="W12" i="36"/>
  <c r="AC28" i="21"/>
  <c r="W28" i="21"/>
  <c r="AB28" i="34"/>
  <c r="U28" i="34"/>
  <c r="AA9" i="36"/>
  <c r="S9" i="36"/>
  <c r="AC9" i="33"/>
  <c r="W9" i="33"/>
  <c r="U31" i="39"/>
  <c r="AB31" i="39"/>
  <c r="AA28" i="21"/>
  <c r="S28" i="21"/>
  <c r="S31" i="21"/>
  <c r="AA31" i="21"/>
  <c r="U39" i="40"/>
  <c r="AB39" i="40"/>
  <c r="AC25" i="37"/>
  <c r="W25" i="37"/>
  <c r="T40" i="71"/>
  <c r="D40" i="71"/>
  <c r="AC26" i="37"/>
  <c r="W26" i="37"/>
  <c r="AB44" i="39"/>
  <c r="U44" i="39"/>
  <c r="AC31" i="39"/>
  <c r="W31" i="39"/>
  <c r="W13" i="21"/>
  <c r="AC13" i="21"/>
  <c r="AC9" i="36"/>
  <c r="W9" i="36"/>
  <c r="U46" i="21"/>
  <c r="AB46" i="21"/>
  <c r="U38" i="37"/>
  <c r="AB38" i="37"/>
  <c r="G5" i="3"/>
  <c r="B3" i="3" s="1"/>
  <c r="W39" i="40"/>
  <c r="AC39" i="40"/>
  <c r="BA5" i="3"/>
  <c r="E27" i="6" s="1"/>
  <c r="K26" i="6" s="1"/>
  <c r="M26" i="6" s="1"/>
  <c r="I26" i="6" s="1"/>
  <c r="S26" i="6" s="1"/>
  <c r="E15" i="71"/>
  <c r="E14" i="71" s="1"/>
  <c r="E13" i="71" s="1"/>
  <c r="E12" i="71" s="1"/>
  <c r="V16" i="71"/>
  <c r="E61" i="43"/>
  <c r="B59"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C7" i="43"/>
  <c r="C5" i="43" s="1"/>
  <c r="D10" i="52"/>
  <c r="D125" i="9"/>
  <c r="D11" i="52" s="1"/>
  <c r="B7" i="74"/>
  <c r="C7" i="74" s="1"/>
  <c r="F67" i="39"/>
  <c r="E69" i="39"/>
  <c r="F59" i="67"/>
  <c r="H7" i="37"/>
  <c r="AB7" i="37" s="1"/>
  <c r="T42" i="37" s="1"/>
  <c r="G42" i="37" s="1"/>
  <c r="B40" i="1"/>
  <c r="L36" i="43" s="1"/>
  <c r="H7" i="33"/>
  <c r="J7" i="33"/>
  <c r="D65" i="40"/>
  <c r="E63" i="40"/>
  <c r="F48" i="35"/>
  <c r="S7" i="36"/>
  <c r="AA7" i="36"/>
  <c r="R36" i="36" s="1"/>
  <c r="AC7" i="37"/>
  <c r="V42" i="37" s="1"/>
  <c r="I42" i="37" s="1"/>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C28" i="43" l="1"/>
  <c r="T11" i="43" s="1"/>
  <c r="V11" i="43" s="1"/>
  <c r="J10" i="39"/>
  <c r="W10" i="39" s="1"/>
  <c r="AA10" i="39"/>
  <c r="H10" i="40"/>
  <c r="AB10" i="40" s="1"/>
  <c r="F10" i="40"/>
  <c r="S10" i="40" s="1"/>
  <c r="J10" i="40"/>
  <c r="AC10" i="40" s="1"/>
  <c r="H10" i="39"/>
  <c r="U10" i="39" s="1"/>
  <c r="E3" i="6"/>
  <c r="E11" i="71"/>
  <c r="E10" i="71" s="1"/>
  <c r="E9" i="71" s="1"/>
  <c r="E8" i="71" s="1"/>
  <c r="E7" i="71" s="1"/>
  <c r="E6" i="71" s="1"/>
  <c r="E5" i="71" s="1"/>
  <c r="V12" i="71"/>
  <c r="E510" i="3"/>
  <c r="E205" i="3"/>
  <c r="E296" i="3"/>
  <c r="E140" i="3"/>
  <c r="E173" i="3"/>
  <c r="E369" i="3"/>
  <c r="E525" i="3"/>
  <c r="E534" i="3"/>
  <c r="T6" i="3"/>
  <c r="E405" i="3"/>
  <c r="E456" i="3"/>
  <c r="E469" i="3"/>
  <c r="E512" i="3"/>
  <c r="E408" i="3"/>
  <c r="E451" i="3"/>
  <c r="E556" i="3"/>
  <c r="E497" i="3"/>
  <c r="E13" i="3"/>
  <c r="E452" i="3"/>
  <c r="E470" i="3"/>
  <c r="E420" i="3"/>
  <c r="E26" i="3"/>
  <c r="E104" i="3"/>
  <c r="E115" i="3"/>
  <c r="E198" i="3"/>
  <c r="E139" i="3"/>
  <c r="E225" i="3"/>
  <c r="E281" i="3"/>
  <c r="E243" i="3"/>
  <c r="E332" i="3"/>
  <c r="E391" i="3"/>
  <c r="E365" i="3"/>
  <c r="E16" i="3"/>
  <c r="E148" i="3"/>
  <c r="E167" i="3"/>
  <c r="E105" i="3"/>
  <c r="E575" i="3"/>
  <c r="E542" i="3"/>
  <c r="E543" i="3"/>
  <c r="E442" i="3"/>
  <c r="E487" i="3"/>
  <c r="E422" i="3"/>
  <c r="E449" i="3"/>
  <c r="E374" i="3"/>
  <c r="AH6" i="3"/>
  <c r="E554" i="3"/>
  <c r="E413" i="3"/>
  <c r="E483" i="3"/>
  <c r="E417" i="3"/>
  <c r="E39" i="3"/>
  <c r="E25" i="3"/>
  <c r="E95" i="3"/>
  <c r="E187" i="3"/>
  <c r="E202" i="3"/>
  <c r="E258" i="3"/>
  <c r="E259" i="3"/>
  <c r="E346" i="3"/>
  <c r="E349" i="3"/>
  <c r="E389" i="3"/>
  <c r="E544" i="3"/>
  <c r="E76" i="3"/>
  <c r="E409" i="3"/>
  <c r="E484" i="3"/>
  <c r="E425" i="3"/>
  <c r="E467" i="3"/>
  <c r="E64" i="3"/>
  <c r="E46" i="3"/>
  <c r="E103" i="3"/>
  <c r="E160" i="3"/>
  <c r="E142" i="3"/>
  <c r="E200" i="3"/>
  <c r="E267" i="3"/>
  <c r="E249" i="3"/>
  <c r="E300" i="3"/>
  <c r="E371" i="3"/>
  <c r="E310" i="3"/>
  <c r="E492" i="3"/>
  <c r="E23" i="3"/>
  <c r="E33" i="3"/>
  <c r="E144" i="3"/>
  <c r="E184" i="3"/>
  <c r="E233" i="3"/>
  <c r="E355" i="3"/>
  <c r="E381" i="3"/>
  <c r="E68" i="3"/>
  <c r="E63" i="3"/>
  <c r="E81" i="3"/>
  <c r="E118" i="3"/>
  <c r="E264" i="3"/>
  <c r="E283" i="3"/>
  <c r="E309" i="3"/>
  <c r="E513" i="3"/>
  <c r="E21" i="3"/>
  <c r="E265" i="3"/>
  <c r="E329" i="3"/>
  <c r="E536" i="3"/>
  <c r="E149" i="3"/>
  <c r="E116" i="3"/>
  <c r="E286" i="3"/>
  <c r="AD6" i="3"/>
  <c r="E564" i="3"/>
  <c r="E502" i="3"/>
  <c r="E464" i="3"/>
  <c r="E507" i="3"/>
  <c r="E430" i="3"/>
  <c r="E376" i="3"/>
  <c r="AP6" i="3"/>
  <c r="E582" i="3"/>
  <c r="E419" i="3"/>
  <c r="E491" i="3"/>
  <c r="E436" i="3"/>
  <c r="E40" i="3"/>
  <c r="E37" i="3"/>
  <c r="E131" i="3"/>
  <c r="E119" i="3"/>
  <c r="E192" i="3"/>
  <c r="E297" i="3"/>
  <c r="E276" i="3"/>
  <c r="E363" i="3"/>
  <c r="E356" i="3"/>
  <c r="AL6" i="3"/>
  <c r="E42" i="3"/>
  <c r="E75" i="3"/>
  <c r="E428" i="3"/>
  <c r="E482" i="3"/>
  <c r="E412" i="3"/>
  <c r="E18" i="3"/>
  <c r="E96" i="3"/>
  <c r="E78" i="3"/>
  <c r="E129" i="3"/>
  <c r="E190" i="3"/>
  <c r="E220" i="3"/>
  <c r="E275" i="3"/>
  <c r="E235" i="3"/>
  <c r="E324" i="3"/>
  <c r="E383" i="3"/>
  <c r="E342" i="3"/>
  <c r="E522" i="3"/>
  <c r="E35" i="3"/>
  <c r="E86" i="3"/>
  <c r="E34" i="3"/>
  <c r="E49" i="3"/>
  <c r="E206" i="3"/>
  <c r="E232" i="3"/>
  <c r="E251" i="3"/>
  <c r="E370" i="3"/>
  <c r="AF6" i="3"/>
  <c r="E102" i="3"/>
  <c r="E80" i="3"/>
  <c r="E113" i="3"/>
  <c r="E158" i="3"/>
  <c r="E287" i="3"/>
  <c r="E308" i="3"/>
  <c r="E326" i="3"/>
  <c r="E22" i="3"/>
  <c r="E83" i="3"/>
  <c r="E165" i="3"/>
  <c r="E188" i="3"/>
  <c r="E212" i="3"/>
  <c r="E141" i="3"/>
  <c r="E393" i="3"/>
  <c r="E499" i="3"/>
  <c r="E552" i="3"/>
  <c r="E427" i="3"/>
  <c r="E466" i="3"/>
  <c r="E398" i="3"/>
  <c r="E440" i="3"/>
  <c r="E255" i="3"/>
  <c r="E566" i="3"/>
  <c r="J6" i="3"/>
  <c r="E517" i="3"/>
  <c r="E460" i="3"/>
  <c r="E401" i="3"/>
  <c r="E479" i="3"/>
  <c r="E90" i="3"/>
  <c r="E108" i="3"/>
  <c r="E152" i="3"/>
  <c r="E155" i="3"/>
  <c r="E242" i="3"/>
  <c r="E241" i="3"/>
  <c r="E348" i="3"/>
  <c r="E333" i="3"/>
  <c r="E372" i="3"/>
  <c r="L6" i="3"/>
  <c r="E60" i="3"/>
  <c r="E43" i="3"/>
  <c r="E540" i="3"/>
  <c r="E473" i="3"/>
  <c r="E15" i="3"/>
  <c r="E79" i="3"/>
  <c r="E170" i="3"/>
  <c r="E137" i="3"/>
  <c r="E194" i="3"/>
  <c r="E234" i="3"/>
  <c r="E219" i="3"/>
  <c r="E299" i="3"/>
  <c r="E339" i="3"/>
  <c r="E325" i="3"/>
  <c r="AQ6" i="3"/>
  <c r="E52" i="3"/>
  <c r="E36" i="3"/>
  <c r="E123" i="3"/>
  <c r="E147" i="3"/>
  <c r="E340" i="3"/>
  <c r="E50" i="3"/>
  <c r="E62" i="3"/>
  <c r="E218" i="3"/>
  <c r="E101" i="3"/>
  <c r="E539" i="3"/>
  <c r="E244" i="3"/>
  <c r="E223" i="3"/>
  <c r="E199" i="3"/>
  <c r="E312" i="3"/>
  <c r="E493" i="3"/>
  <c r="R6" i="3"/>
  <c r="E421" i="3"/>
  <c r="E486" i="3"/>
  <c r="E541" i="3"/>
  <c r="E416" i="3"/>
  <c r="E490" i="3"/>
  <c r="I3" i="6"/>
  <c r="E500" i="3"/>
  <c r="E498" i="3"/>
  <c r="E435" i="3"/>
  <c r="E520" i="3"/>
  <c r="E463" i="3"/>
  <c r="E56" i="3"/>
  <c r="E57" i="3"/>
  <c r="E178" i="3"/>
  <c r="E132" i="3"/>
  <c r="E240" i="3"/>
  <c r="E226" i="3"/>
  <c r="E292"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19" i="3"/>
  <c r="E154" i="3"/>
  <c r="E179" i="3"/>
  <c r="E222" i="3"/>
  <c r="E323" i="3"/>
  <c r="E373" i="3"/>
  <c r="E455" i="3"/>
  <c r="E392" i="3"/>
  <c r="E112" i="3"/>
  <c r="E289" i="3"/>
  <c r="E364" i="3"/>
  <c r="E20" i="3"/>
  <c r="E176" i="3"/>
  <c r="E524" i="3"/>
  <c r="E360"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197"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494"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51" i="3"/>
  <c r="T44" i="71"/>
  <c r="D44" i="71"/>
  <c r="E82" i="3"/>
  <c r="E65" i="39"/>
  <c r="E67" i="3"/>
  <c r="E38" i="3"/>
  <c r="E174" i="3"/>
  <c r="E94" i="3"/>
  <c r="E84" i="3"/>
  <c r="E100" i="3"/>
  <c r="T36" i="71"/>
  <c r="D36" i="71"/>
  <c r="E41" i="3"/>
  <c r="E59" i="3"/>
  <c r="D15" i="71"/>
  <c r="C14" i="71"/>
  <c r="E459" i="3"/>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7" i="43"/>
  <c r="V7" i="43" s="1"/>
  <c r="T16" i="43"/>
  <c r="V16" i="43" s="1"/>
  <c r="T12" i="43"/>
  <c r="V12" i="43" s="1"/>
  <c r="T8" i="43"/>
  <c r="V8" i="43" s="1"/>
  <c r="T3" i="43"/>
  <c r="V3" i="43" s="1"/>
  <c r="T2" i="43"/>
  <c r="V2" i="43" s="1"/>
  <c r="C33" i="43"/>
  <c r="C6" i="69" s="1"/>
  <c r="C7" i="69" s="1"/>
  <c r="C40" i="43"/>
  <c r="C37"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67"/>
  <c r="M27" i="15"/>
  <c r="F41" i="15"/>
  <c r="F69" i="67" l="1"/>
  <c r="U10" i="40"/>
  <c r="T6" i="43"/>
  <c r="V6" i="43" s="1"/>
  <c r="T10" i="43"/>
  <c r="V10" i="43" s="1"/>
  <c r="T9" i="43"/>
  <c r="V9" i="43" s="1"/>
  <c r="C41" i="43"/>
  <c r="E41" i="43" s="1"/>
  <c r="T5" i="43"/>
  <c r="V5" i="43" s="1"/>
  <c r="T4" i="43"/>
  <c r="V4" i="43" s="1"/>
  <c r="T14" i="43"/>
  <c r="V14" i="43" s="1"/>
  <c r="H6" i="3"/>
  <c r="AC6" i="3"/>
  <c r="D14" i="71"/>
  <c r="C13" i="7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7" i="15"/>
  <c r="C14" i="67"/>
  <c r="C17" i="67"/>
  <c r="G41" i="43" l="1"/>
  <c r="I41" i="43" s="1"/>
  <c r="E6" i="3"/>
  <c r="H25" i="6"/>
  <c r="C25" i="11"/>
  <c r="C22" i="11" s="1"/>
  <c r="C31" i="11" s="1"/>
  <c r="C12" i="71"/>
  <c r="D13"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0" i="71" l="1"/>
  <c r="D11"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E48" i="21" s="1"/>
  <c r="D10" i="71"/>
  <c r="C9" i="71"/>
  <c r="J7" i="35"/>
  <c r="AC7" i="35" s="1"/>
  <c r="V38" i="35" s="1"/>
  <c r="I38"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J65" i="40"/>
  <c r="K63" i="40"/>
  <c r="I52" i="21"/>
  <c r="J52" i="21" s="1"/>
  <c r="U7" i="35"/>
  <c r="AB7" i="35"/>
  <c r="T38" i="35" s="1"/>
  <c r="G38" i="35" s="1"/>
  <c r="G52" i="21"/>
  <c r="H52" i="21" s="1"/>
  <c r="G53" i="21"/>
  <c r="H53" i="21" s="1"/>
  <c r="F7" i="35"/>
  <c r="M21" i="15"/>
  <c r="F35" i="15"/>
  <c r="M21" i="67"/>
  <c r="F35" i="67"/>
  <c r="R49" i="21" l="1"/>
  <c r="C49" i="2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E52" i="21"/>
  <c r="F52" i="21" s="1"/>
  <c r="E53" i="21"/>
  <c r="F53" i="21" s="1"/>
  <c r="G42" i="35"/>
  <c r="H42" i="35" s="1"/>
  <c r="G43" i="35"/>
  <c r="H43" i="35" s="1"/>
  <c r="I53" i="21"/>
  <c r="J53" i="21" s="1"/>
  <c r="K65" i="40"/>
  <c r="L63" i="40"/>
  <c r="I42" i="35"/>
  <c r="J42" i="35" s="1"/>
  <c r="C48" i="21" l="1"/>
  <c r="B3" i="69"/>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7" i="71" l="1"/>
  <c r="C6"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19" i="9"/>
  <c r="L51" i="67"/>
  <c r="D2" i="33"/>
  <c r="D102" i="9" l="1"/>
  <c r="D21" i="9"/>
  <c r="B3" i="21"/>
  <c r="D6" i="7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C19" i="9"/>
  <c r="D2" i="34"/>
  <c r="D20" i="9"/>
  <c r="L51" i="15"/>
  <c r="D2" i="35"/>
  <c r="D2" i="36"/>
  <c r="D2" i="37"/>
  <c r="C102" i="9" l="1"/>
  <c r="C21" i="9"/>
  <c r="D22" i="9"/>
  <c r="G19" i="9"/>
  <c r="G21" i="9" s="1"/>
  <c r="D103" i="9"/>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10" i="1"/>
  <c r="AO6" i="1"/>
  <c r="AO11" i="1"/>
  <c r="AO7" i="1"/>
  <c r="AO8" i="1"/>
  <c r="AO12" i="1"/>
  <c r="C20" i="9"/>
  <c r="C103" i="9" l="1"/>
  <c r="G20" i="9"/>
  <c r="E14" i="74" s="1"/>
  <c r="D14" i="74"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M54" i="9"/>
  <c r="D56" i="9"/>
  <c r="D58" i="9"/>
  <c r="C97" i="9"/>
  <c r="B21" i="72"/>
  <c r="D7" i="53"/>
  <c r="C73" i="9"/>
  <c r="C78" i="9"/>
  <c r="D54" i="9"/>
  <c r="C68" i="9"/>
  <c r="E81" i="9"/>
  <c r="E80" i="9"/>
  <c r="C80" i="9"/>
  <c r="F119" i="9"/>
  <c r="F5" i="52"/>
  <c r="B53" i="72"/>
  <c r="H102" i="9"/>
  <c r="C5" i="74"/>
  <c r="D9" i="52"/>
  <c r="D123" i="9"/>
  <c r="B48" i="72"/>
  <c r="E4" i="52"/>
  <c r="B49" i="72"/>
  <c r="D5" i="52"/>
  <c r="D119" i="9"/>
  <c r="B51" i="72"/>
  <c r="F4" i="52"/>
  <c r="B31" i="72"/>
  <c r="D15" i="53"/>
  <c r="C104" i="9"/>
  <c r="H4" i="52"/>
  <c r="B47" i="72"/>
  <c r="E118" i="9"/>
  <c r="D118" i="9"/>
  <c r="D4" i="52"/>
  <c r="H119" i="9"/>
  <c r="H5" i="52"/>
  <c r="C105" i="9"/>
  <c r="I4" i="52"/>
  <c r="B30" i="72"/>
  <c r="C64" i="9"/>
  <c r="C63" i="9"/>
  <c r="C67" i="9"/>
  <c r="D59" i="9"/>
  <c r="M55" i="9"/>
  <c r="B22" i="72"/>
  <c r="D6" i="53"/>
  <c r="F118" i="9"/>
  <c r="G118" i="9"/>
  <c r="G4" i="52"/>
  <c r="B52" i="72"/>
  <c r="D5" i="53"/>
  <c r="B20" i="72"/>
  <c r="N58" i="9"/>
  <c r="P57" i="9"/>
  <c r="M48" i="9"/>
  <c r="C72" i="9"/>
  <c r="C79" i="9"/>
  <c r="C81" i="9"/>
  <c r="H108" i="9"/>
  <c r="C6" i="74"/>
  <c r="C85" i="9"/>
  <c r="C95" i="9"/>
  <c r="C96" i="9"/>
  <c r="E96" i="9"/>
  <c r="E97" i="9"/>
  <c r="N60" i="9"/>
  <c r="D55" i="9"/>
  <c r="M53" i="9"/>
  <c r="N57" i="9"/>
  <c r="N59" i="9"/>
  <c r="N61" i="9"/>
  <c r="C86" i="9"/>
  <c r="C93" i="9"/>
  <c r="D13" i="53"/>
  <c r="D14" i="53"/>
  <c r="B32" i="72"/>
  <c r="H107" i="9"/>
  <c r="D122" i="9"/>
  <c r="D8" i="52"/>
  <c r="D52" i="9"/>
  <c r="I118" i="9"/>
  <c r="H118" i="9"/>
  <c r="H101" i="9"/>
  <c r="D45" i="9"/>
  <c r="D5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<sst xmlns="http://schemas.openxmlformats.org/spreadsheetml/2006/main" count="7985" uniqueCount="3484">
  <si>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</si>
  <si>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</si>
  <si>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</si>
  <si>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</si>
  <si>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</si>
  <si>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</si>
  <si>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</si>
  <si>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</si>
  <si>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</si>
  <si>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</si>
  <si>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</si>
  <si>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</si>
  <si>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</si>
  <si>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</si>
  <si>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</si>
  <si>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</si>
  <si>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</si>
  <si>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</si>
  <si>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</si>
  <si>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</si>
  <si>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</si>
  <si>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</si>
  <si>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</si>
  <si>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</si>
  <si>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</si>
  <si>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</si>
  <si>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</si>
  <si>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</si>
  <si>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</si>
  <si>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</si>
  <si>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</si>
  <si>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</si>
  <si>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</si>
  <si>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</si>
  <si>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</si>
  <si>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</si>
  <si>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</si>
  <si>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</si>
  <si>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</si>
  <si>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</si>
  <si>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</si>
  <si>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</si>
  <si>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</si>
  <si>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</si>
  <si>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</si>
  <si>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</si>
  <si>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</si>
  <si>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</si>
  <si>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</si>
  <si>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</si>
  <si>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</si>
  <si>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</si>
  <si>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</si>
  <si>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</si>
  <si>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</si>
  <si>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</si>
  <si>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</si>
  <si>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</si>
  <si>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</si>
  <si>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</si>
  <si>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</si>
  <si>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</si>
  <si>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</si>
  <si>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</si>
  <si>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</si>
  <si>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</si>
  <si>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</si>
  <si>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</si>
  <si>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</si>
  <si>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</si>
  <si>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</si>
  <si>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</si>
  <si>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</si>
  <si>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</si>
  <si>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</si>
  <si>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</si>
  <si>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</si>
  <si>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</si>
  <si>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</si>
  <si>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</si>
  <si>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</si>
  <si>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</si>
  <si>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</si>
  <si>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</si>
  <si>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</si>
  <si>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</si>
  <si>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</si>
  <si>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</si>
  <si>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</si>
  <si>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</si>
  <si>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</si>
  <si>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</si>
  <si>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</si>
  <si>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</si>
  <si>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</si>
  <si>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</si>
  <si>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</si>
  <si>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</si>
  <si>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</si>
  <si>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</si>
  <si>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</si>
  <si>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</si>
  <si>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</si>
  <si>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</si>
  <si>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</si>
  <si>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</si>
  <si>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</si>
  <si>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</si>
  <si>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</si>
  <si>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</si>
  <si>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</si>
  <si>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</si>
  <si>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</si>
  <si>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</si>
  <si>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</si>
  <si>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</si>
  <si>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</si>
  <si>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</si>
  <si>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</si>
  <si>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</si>
  <si>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</si>
  <si>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</si>
  <si>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</si>
  <si>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</si>
  <si>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</si>
  <si>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</si>
  <si>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</si>
  <si>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</si>
  <si>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</si>
  <si>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</si>
  <si>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</si>
  <si>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</si>
  <si>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</si>
  <si>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</si>
  <si>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</si>
  <si>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</si>
  <si>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</si>
  <si>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</si>
  <si>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</si>
  <si>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</si>
  <si>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</si>
  <si>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</si>
  <si>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</si>
  <si>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</si>
  <si>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</si>
  <si>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</si>
  <si>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</si>
  <si>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</si>
  <si>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</si>
  <si>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</si>
  <si>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</si>
  <si>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</si>
  <si>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</si>
  <si>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</si>
  <si>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</si>
  <si>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</si>
  <si>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</si>
  <si>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</si>
  <si>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</si>
  <si>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</si>
  <si>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</si>
  <si>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</si>
  <si>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</si>
  <si>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</si>
  <si>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</si>
  <si>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</si>
  <si>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</si>
  <si>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</si>
  <si>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</si>
  <si>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</si>
  <si>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</si>
  <si>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</si>
  <si>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</si>
  <si>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</si>
  <si>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</si>
  <si>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</si>
  <si>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</si>
  <si>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</si>
  <si>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</si>
  <si>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</si>
  <si>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</si>
  <si>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</si>
  <si>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</si>
  <si>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</si>
  <si>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</si>
  <si>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</si>
  <si>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</si>
  <si>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</si>
  <si>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</si>
  <si>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</si>
  <si>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</si>
  <si>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</si>
  <si>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</si>
  <si>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</si>
  <si>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</si>
  <si>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</si>
  <si>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</si>
  <si>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</si>
  <si>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</si>
  <si>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</si>
  <si>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</si>
  <si>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</si>
  <si>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</si>
  <si>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</si>
  <si>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</si>
  <si>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</si>
  <si>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</si>
  <si>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</si>
  <si>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</si>
  <si>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</si>
  <si>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</si>
  <si>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</si>
  <si>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</si>
  <si>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</si>
  <si>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</si>
  <si>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</si>
  <si>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</si>
  <si>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</si>
  <si>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</si>
  <si>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</si>
  <si>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</si>
  <si>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</si>
  <si>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</si>
  <si>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</si>
  <si>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</si>
  <si>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</si>
  <si>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</si>
  <si>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</si>
  <si>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</si>
  <si>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</si>
  <si>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</si>
  <si>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</si>
  <si>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</si>
  <si>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</si>
  <si>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</si>
  <si>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</si>
  <si>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</si>
  <si>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</si>
  <si>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</si>
  <si>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</si>
  <si>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</si>
  <si>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</si>
  <si>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</si>
  <si>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</si>
  <si>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</si>
  <si>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</si>
  <si>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</si>
  <si>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</si>
  <si>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</si>
  <si>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</si>
  <si>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</si>
  <si>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</si>
  <si>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</si>
  <si>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</si>
  <si>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</si>
  <si>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</si>
  <si>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</si>
  <si>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</si>
  <si>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</si>
  <si>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</si>
  <si>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</si>
  <si>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</si>
  <si>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</si>
  <si>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</si>
  <si>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</si>
  <si>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</si>
  <si>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</si>
  <si>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</si>
  <si>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</si>
  <si>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</si>
  <si>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</si>
  <si>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</si>
  <si>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</si>
  <si>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</si>
  <si>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</si>
  <si>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</si>
  <si>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</si>
  <si>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</si>
  <si>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</si>
  <si>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</si>
  <si>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</si>
  <si>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</si>
  <si>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</si>
  <si>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</si>
  <si>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</si>
  <si>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</si>
  <si>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</si>
  <si>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</si>
  <si>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</si>
  <si>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</si>
  <si>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</si>
  <si>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</si>
  <si>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</si>
  <si>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</si>
  <si>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</si>
  <si>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</si>
  <si>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</si>
  <si>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</si>
  <si>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</si>
  <si>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</si>
  <si>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</si>
  <si>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</si>
  <si>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</si>
  <si>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</si>
  <si>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</si>
  <si>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</si>
  <si>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</si>
  <si>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</si>
  <si>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</si>
  <si>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</si>
  <si>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</si>
  <si>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</si>
  <si>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</si>
  <si>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</si>
  <si>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</si>
  <si>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</si>
  <si>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</si>
  <si>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</si>
  <si>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</si>
  <si>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</si>
  <si>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</si>
  <si>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</si>
  <si>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</si>
  <si>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</si>
  <si>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</si>
  <si>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</si>
  <si>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</si>
  <si>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</si>
  <si>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</si>
  <si>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</si>
  <si>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</si>
  <si>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</si>
  <si>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</si>
  <si>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</si>
  <si>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</si>
  <si>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</si>
  <si>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</si>
  <si>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</si>
  <si>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</si>
  <si>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</si>
  <si>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</si>
  <si>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</si>
  <si>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</si>
  <si>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</si>
  <si>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</si>
  <si>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</si>
  <si>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</si>
  <si>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</si>
  <si>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</si>
  <si>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</si>
  <si>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</si>
  <si>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</si>
  <si>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</si>
  <si>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</si>
  <si>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</si>
  <si>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</si>
  <si>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</si>
  <si>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</si>
  <si>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</si>
  <si>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</si>
  <si>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</si>
  <si>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</si>
  <si>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</si>
  <si>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</si>
  <si>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</si>
  <si>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</si>
  <si>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</si>
  <si>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</si>
  <si>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</si>
  <si>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</si>
  <si>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</si>
  <si>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</si>
  <si>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</si>
  <si>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</si>
  <si>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</si>
  <si>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</si>
  <si>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</si>
  <si>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</si>
  <si>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</si>
  <si>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</si>
  <si>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</si>
  <si>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</si>
  <si>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</si>
  <si>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</si>
  <si>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</si>
  <si>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</si>
  <si>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</si>
  <si>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</si>
  <si>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</si>
  <si>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</si>
  <si>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</si>
  <si>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</si>
  <si>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</si>
  <si>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</si>
  <si>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</si>
  <si>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</si>
  <si>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</si>
  <si>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</si>
  <si>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</si>
  <si>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</si>
  <si>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</si>
  <si>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</si>
  <si>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</si>
  <si>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</si>
  <si>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</si>
  <si>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</si>
  <si>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</si>
  <si>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</si>
  <si>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</si>
  <si>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</si>
  <si>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</si>
  <si>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</si>
  <si>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</si>
  <si>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</si>
  <si>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</si>
  <si>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</si>
  <si>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</si>
  <si>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</si>
  <si>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</si>
  <si>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</si>
  <si>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</si>
  <si>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</si>
  <si>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</si>
  <si>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</si>
  <si>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</si>
  <si>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</si>
  <si>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</si>
  <si>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</si>
  <si>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</si>
  <si>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</si>
  <si>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</si>
  <si>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</si>
  <si>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</si>
  <si>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</si>
  <si>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</si>
  <si>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</si>
  <si>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</si>
  <si>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</si>
  <si>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</si>
  <si>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</si>
  <si>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</si>
  <si>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</si>
  <si>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</si>
  <si>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</si>
  <si>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</si>
  <si>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</si>
  <si>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</si>
  <si>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</si>
  <si>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</si>
  <si>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</si>
  <si>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</si>
  <si>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</si>
  <si>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</si>
  <si>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</si>
  <si>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</si>
  <si>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</si>
  <si>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</si>
  <si>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</si>
  <si>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</si>
  <si>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</si>
  <si>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</si>
  <si>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</si>
  <si>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</si>
  <si>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</si>
  <si>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</si>
  <si>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</si>
  <si>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</si>
  <si>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</si>
  <si>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</si>
  <si>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</si>
  <si>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</si>
  <si>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</si>
  <si>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</si>
  <si>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</si>
  <si>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</si>
  <si>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</si>
  <si>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</si>
  <si>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</si>
  <si>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</si>
  <si>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</si>
  <si>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</si>
  <si>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</si>
  <si>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</si>
  <si>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</si>
  <si>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</si>
  <si>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</si>
  <si>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</si>
  <si>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</si>
  <si>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</si>
  <si>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</si>
  <si>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</si>
  <si>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</si>
  <si>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</si>
  <si>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</si>
  <si>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</si>
  <si>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</si>
  <si>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</si>
  <si>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</si>
  <si>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</si>
  <si>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</si>
  <si>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</si>
  <si>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</si>
  <si>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</si>
  <si>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</si>
  <si>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</si>
  <si>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</si>
  <si>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</si>
  <si>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</si>
  <si>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</si>
  <si>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</si>
  <si>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</si>
  <si>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</si>
  <si>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</si>
  <si>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</si>
  <si>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</si>
  <si>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</si>
  <si>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</si>
  <si>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</si>
  <si>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</si>
  <si>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</si>
  <si>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</si>
  <si>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</si>
  <si>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</si>
  <si>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</si>
  <si>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</si>
  <si>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</si>
  <si>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</si>
  <si>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</si>
  <si>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</si>
  <si>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</si>
  <si>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</si>
  <si>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</si>
  <si>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</si>
  <si>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</si>
  <si>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</si>
  <si>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</si>
  <si>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</si>
  <si>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</si>
  <si>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</si>
  <si>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</si>
  <si>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</si>
  <si>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</si>
  <si>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</si>
  <si>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</si>
  <si>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</si>
  <si>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</si>
  <si>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</si>
  <si>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</si>
  <si>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</si>
  <si>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</si>
  <si>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</si>
  <si>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</si>
  <si>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</si>
  <si>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</si>
  <si>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</si>
  <si>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</si>
  <si>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</si>
  <si>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</si>
  <si>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</si>
  <si>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</si>
  <si>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</si>
  <si>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</si>
  <si>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</si>
  <si>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</si>
  <si>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</si>
  <si>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</si>
  <si>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</si>
  <si>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</si>
  <si>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</si>
  <si>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</si>
  <si>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</si>
  <si>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</si>
  <si>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</si>
  <si>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</si>
  <si>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</si>
  <si>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</si>
  <si>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</si>
  <si>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</si>
  <si>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</si>
  <si>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</si>
  <si>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</si>
  <si>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</si>
  <si>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</si>
  <si>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</si>
  <si>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</si>
  <si>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</si>
  <si>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</si>
  <si>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</si>
  <si>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</si>
  <si>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</si>
  <si>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</si>
  <si>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</si>
  <si>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</si>
  <si>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</si>
  <si>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</si>
  <si>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</si>
  <si>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</si>
  <si>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</si>
  <si>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</si>
  <si>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</si>
  <si>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</si>
  <si>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</si>
  <si>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</si>
  <si>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</si>
  <si>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</si>
  <si>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</si>
  <si>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</si>
  <si>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</si>
  <si>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</si>
  <si>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</si>
  <si>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</si>
  <si>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</si>
  <si>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</si>
  <si>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</si>
  <si>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</si>
  <si>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</si>
  <si>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</si>
  <si>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</si>
  <si>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</si>
  <si>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</si>
  <si>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</si>
  <si>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</si>
  <si>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</si>
  <si>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</si>
  <si>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</si>
  <si>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</si>
  <si>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</si>
  <si>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</si>
  <si>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</si>
  <si>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</si>
  <si>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</si>
  <si>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</si>
  <si>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</si>
  <si>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</si>
  <si>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</si>
  <si>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</si>
  <si>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</si>
  <si>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</si>
  <si>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</si>
  <si>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</si>
  <si>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</si>
  <si>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</si>
  <si>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</si>
  <si>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</si>
  <si>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</si>
  <si>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</si>
  <si>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</si>
  <si>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</si>
  <si>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</si>
  <si>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</si>
  <si>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</si>
  <si>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</si>
  <si>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</si>
  <si>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</si>
  <si>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</si>
  <si>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</si>
  <si>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</si>
  <si>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</si>
  <si>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</si>
  <si>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</si>
  <si>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</si>
  <si>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</si>
  <si>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</si>
  <si>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</si>
  <si>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</si>
  <si>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</si>
  <si>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</si>
  <si>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</si>
  <si>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</si>
  <si>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</si>
  <si>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</si>
  <si>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</si>
  <si>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</si>
  <si>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</si>
  <si>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</si>
  <si>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</si>
  <si>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</si>
  <si>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</si>
  <si>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</si>
  <si>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</si>
  <si>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</si>
  <si>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</si>
  <si>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</si>
  <si>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</si>
  <si>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</si>
  <si>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</si>
  <si>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</si>
  <si>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</si>
  <si>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</si>
  <si>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</si>
  <si>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</si>
  <si>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</si>
  <si>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</si>
  <si>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</si>
  <si>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</si>
  <si>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</si>
  <si>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</si>
  <si>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</si>
  <si>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</si>
  <si>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</si>
  <si>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</si>
  <si>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</si>
  <si>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</si>
  <si>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</si>
  <si>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</si>
  <si>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</si>
  <si>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</si>
  <si>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</si>
  <si>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</si>
  <si>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</si>
  <si>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</si>
  <si>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</si>
  <si>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</si>
  <si>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</si>
  <si>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</si>
  <si>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</si>
  <si>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</si>
  <si>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</si>
  <si>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</si>
  <si>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</si>
  <si>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</si>
  <si>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</si>
  <si>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</si>
  <si>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</si>
  <si>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</si>
  <si>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</si>
  <si>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</si>
  <si>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</si>
  <si>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</si>
  <si>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</si>
  <si>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</si>
  <si>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</si>
  <si>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</si>
  <si>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</si>
  <si>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</si>
  <si>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</si>
  <si>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</si>
  <si>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</si>
  <si>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</si>
  <si>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</si>
  <si>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</si>
  <si>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</si>
  <si>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</si>
  <si>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</si>
  <si>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</si>
  <si>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</si>
  <si>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</si>
  <si>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</si>
  <si>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</si>
  <si>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</si>
  <si>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</si>
  <si>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</si>
  <si>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</si>
  <si>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</si>
  <si>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</si>
  <si>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</si>
  <si>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</si>
  <si>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</si>
  <si>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</si>
  <si>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</si>
  <si>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</si>
  <si>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</si>
  <si>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</si>
  <si>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</si>
  <si>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</si>
  <si>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</si>
  <si>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</si>
  <si>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</si>
  <si>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</si>
  <si>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</si>
  <si>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</si>
  <si>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</si>
  <si>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</si>
  <si>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</si>
  <si>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</si>
  <si>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</si>
  <si>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</si>
  <si>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</si>
  <si>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</si>
  <si>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</si>
  <si>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</si>
  <si>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</si>
  <si>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</si>
  <si>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</si>
  <si>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</si>
  <si>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</si>
  <si>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</si>
  <si>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</si>
  <si>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</si>
  <si>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</si>
  <si>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</si>
  <si>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</si>
  <si>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</si>
  <si>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</si>
  <si>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</si>
  <si>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</si>
  <si>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</si>
  <si>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</si>
  <si>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</si>
  <si>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</si>
  <si>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</si>
  <si>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</si>
  <si>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</si>
  <si>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</si>
  <si>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</si>
  <si>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</si>
  <si>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</si>
  <si>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</si>
  <si>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</si>
  <si>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</si>
  <si>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</si>
  <si>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</si>
  <si>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</si>
  <si>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</si>
  <si>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</si>
  <si>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</si>
  <si>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</si>
  <si>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</si>
  <si>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</si>
  <si>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</si>
  <si>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</si>
  <si>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</si>
  <si>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</si>
  <si>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</si>
  <si>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</si>
  <si>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</si>
  <si>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</si>
  <si>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</si>
  <si>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</si>
  <si>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</si>
  <si>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</si>
  <si>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</si>
  <si>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</si>
  <si>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</si>
  <si>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</si>
  <si>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</si>
  <si>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</si>
  <si>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</si>
  <si>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</si>
  <si>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</si>
  <si>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</si>
  <si>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</si>
  <si>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</si>
  <si>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</si>
  <si>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</si>
  <si>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</si>
  <si>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</si>
  <si>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</si>
  <si>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</si>
  <si>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</si>
  <si>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</si>
  <si>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</si>
  <si>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</si>
  <si>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</si>
  <si>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</si>
  <si>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</si>
  <si>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</si>
  <si>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</si>
  <si>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</si>
  <si>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</si>
  <si>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</si>
  <si>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</si>
  <si>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</si>
  <si>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</si>
  <si>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</si>
  <si>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</si>
  <si>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</si>
  <si>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</si>
  <si>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</si>
  <si>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</si>
  <si>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</si>
  <si>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</si>
  <si>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</si>
  <si>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</si>
  <si>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</si>
  <si>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</si>
  <si>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</si>
  <si>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</si>
  <si>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</si>
  <si>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</si>
  <si>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</si>
  <si>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</si>
  <si>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</si>
  <si>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</si>
  <si>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</si>
  <si>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</si>
  <si>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</si>
  <si>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</si>
  <si>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</si>
  <si>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</si>
  <si>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</si>
  <si>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</si>
  <si>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</si>
  <si>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</si>
  <si>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</si>
  <si>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</si>
  <si>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</si>
  <si>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</si>
  <si>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</si>
  <si>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</si>
  <si>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</si>
  <si>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</si>
  <si>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</si>
  <si>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</si>
  <si>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</si>
  <si>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</si>
  <si>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</si>
  <si>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</si>
  <si>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</si>
  <si>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</si>
  <si>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</si>
  <si>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</si>
  <si>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</si>
  <si>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</si>
  <si>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</si>
  <si>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</si>
  <si>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</si>
  <si>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</si>
  <si>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</si>
  <si>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</si>
  <si>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</si>
  <si>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</si>
  <si>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</si>
  <si>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</si>
  <si>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</si>
  <si>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</si>
  <si>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</si>
  <si>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</si>
  <si>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</si>
  <si>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</si>
  <si>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</si>
  <si>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</si>
  <si>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</si>
  <si>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</si>
  <si>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</si>
  <si>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</si>
  <si>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</si>
  <si>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</si>
  <si>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</si>
  <si>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</si>
  <si>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</si>
  <si>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</si>
  <si>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</si>
  <si>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</si>
  <si>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</si>
  <si>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</si>
  <si>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</si>
  <si>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</si>
  <si>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</si>
  <si>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</si>
  <si>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</si>
  <si>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</si>
  <si>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</si>
  <si>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</si>
  <si>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</si>
  <si>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</si>
  <si>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</si>
  <si>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</si>
  <si>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</si>
  <si>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</si>
  <si>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</si>
  <si>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</si>
  <si>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</si>
  <si>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</si>
  <si>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</si>
  <si>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</si>
  <si>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</si>
  <si>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</si>
  <si>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</si>
  <si>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</si>
  <si>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</si>
  <si>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</si>
  <si>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</si>
  <si>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</si>
  <si>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</si>
  <si>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</si>
  <si>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</si>
  <si>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</si>
  <si>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</si>
  <si>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</si>
  <si>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</si>
  <si>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</si>
  <si>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</si>
  <si>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</si>
  <si>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</si>
  <si>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</si>
  <si>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</si>
  <si>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</si>
  <si>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</si>
  <si>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</si>
  <si>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</si>
  <si>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</si>
  <si>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</si>
  <si>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</si>
  <si>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</si>
  <si>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</si>
  <si>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</si>
  <si>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</si>
  <si>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</si>
  <si>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</si>
  <si>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</si>
  <si>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</si>
  <si>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</si>
  <si>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</si>
  <si>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</si>
  <si>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</si>
  <si>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</si>
  <si>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</si>
  <si>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</si>
  <si>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</si>
  <si>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</si>
  <si>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</si>
  <si>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</si>
  <si>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</si>
  <si>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</si>
  <si>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</si>
  <si>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</si>
  <si>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</si>
  <si>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</si>
  <si>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</si>
  <si>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</si>
  <si>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</si>
  <si>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</si>
  <si>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</si>
  <si>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</si>
  <si>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</si>
  <si>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</si>
  <si>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</si>
  <si>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</si>
  <si>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</si>
  <si>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</si>
  <si>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</si>
  <si>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</si>
  <si>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</si>
  <si>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</si>
  <si>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</si>
  <si>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</si>
  <si>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</si>
  <si>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</si>
  <si>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</si>
  <si>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</si>
  <si>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</si>
  <si>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</si>
  <si>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</si>
  <si>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</si>
  <si>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</si>
  <si>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</si>
  <si>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</si>
  <si>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</si>
  <si>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</si>
  <si>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</si>
  <si>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</si>
  <si>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</si>
  <si>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</si>
  <si>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</si>
  <si>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</si>
  <si>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</si>
  <si>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</si>
  <si>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</si>
  <si>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</si>
  <si>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</si>
  <si>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</si>
  <si>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</si>
  <si>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</si>
  <si>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</si>
  <si>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</si>
  <si>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</si>
  <si>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</si>
  <si>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</si>
  <si>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</si>
  <si>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</si>
  <si>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</si>
  <si>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</si>
  <si>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</si>
  <si>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</si>
  <si>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</si>
  <si>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</si>
  <si>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</si>
  <si>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</si>
  <si>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</si>
  <si>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</si>
  <si>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</si>
  <si>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</si>
  <si>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</si>
  <si>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</si>
  <si>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</si>
  <si>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</si>
  <si>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</si>
  <si>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</si>
  <si>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</si>
  <si>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</si>
  <si>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</si>
  <si>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</si>
  <si>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</si>
  <si>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</si>
  <si>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</si>
  <si>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</si>
  <si>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</si>
  <si>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</si>
  <si>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</si>
  <si>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</si>
  <si>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</si>
  <si>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</si>
  <si>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</si>
  <si>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</si>
  <si>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</si>
  <si>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</si>
  <si>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</si>
  <si>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</si>
  <si>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</si>
  <si>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</si>
  <si>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</si>
  <si>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</si>
  <si>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</si>
  <si>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</si>
  <si>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</si>
  <si>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</si>
  <si>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</si>
  <si>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</si>
  <si>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</si>
  <si>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</si>
  <si>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</si>
  <si>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</si>
  <si>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</si>
  <si>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</si>
  <si>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</si>
  <si>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</si>
  <si>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</si>
  <si>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</si>
  <si>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</si>
  <si>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</si>
  <si>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</si>
  <si>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</si>
  <si>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</si>
  <si>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</si>
  <si>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</si>
  <si>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</si>
  <si>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</si>
  <si>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</si>
  <si>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</si>
  <si>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</si>
  <si>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</si>
  <si>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</si>
  <si>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</si>
  <si>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</si>
  <si>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</si>
  <si>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</si>
  <si>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</si>
  <si>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</si>
  <si>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</si>
  <si>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</si>
  <si>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</si>
  <si>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</si>
  <si>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</si>
  <si>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</si>
  <si>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</si>
  <si>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</si>
  <si>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</si>
  <si>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</si>
  <si>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</si>
  <si>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</si>
  <si>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</si>
  <si>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</si>
  <si>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</si>
  <si>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</si>
  <si>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</si>
  <si>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</si>
  <si>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</si>
  <si>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</si>
  <si>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</si>
  <si>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</si>
  <si>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</si>
  <si>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</si>
  <si>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</si>
  <si>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</si>
  <si>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</si>
  <si>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</si>
  <si>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</si>
  <si>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</si>
  <si>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</si>
  <si>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</si>
  <si>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</si>
  <si>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</si>
  <si>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</si>
  <si>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</si>
  <si>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</si>
  <si>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</si>
  <si>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</si>
  <si>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</si>
  <si>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</si>
  <si>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</si>
  <si>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</si>
  <si>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</si>
  <si>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</si>
  <si>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</si>
  <si>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</si>
  <si>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</si>
  <si>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</si>
  <si>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</si>
  <si>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</si>
  <si>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</si>
  <si>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</si>
  <si>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</si>
  <si>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</si>
  <si>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</si>
  <si>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</si>
  <si>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</si>
  <si>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</si>
  <si>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</si>
  <si>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</si>
  <si>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</si>
  <si>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</si>
  <si>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</si>
  <si>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</si>
  <si>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</si>
  <si>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</si>
  <si>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</si>
  <si>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</si>
  <si>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</si>
  <si>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</si>
  <si>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</si>
  <si>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</si>
  <si>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</si>
  <si>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</si>
  <si>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</si>
  <si>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</si>
  <si>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</si>
  <si>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</si>
  <si>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</si>
  <si>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</si>
  <si>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</si>
  <si>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</si>
  <si>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</si>
  <si>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</si>
  <si>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</si>
  <si>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</si>
  <si>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</si>
  <si>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</si>
  <si>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</si>
  <si>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</si>
  <si>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</si>
  <si>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</si>
  <si>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</si>
  <si>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</si>
  <si>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</si>
  <si>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</si>
  <si>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</si>
  <si>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</si>
  <si>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</si>
  <si>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</si>
  <si>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</si>
  <si>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</si>
  <si>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</si>
  <si>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</si>
  <si>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</si>
  <si>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</si>
  <si>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</si>
  <si>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</si>
  <si>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</si>
  <si>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</si>
  <si>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</si>
  <si>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</si>
  <si>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</si>
  <si>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</si>
  <si>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</si>
  <si>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</si>
  <si>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</si>
  <si>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</si>
  <si>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</si>
  <si>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</si>
  <si>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</si>
  <si>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</si>
  <si>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</si>
  <si>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</si>
  <si>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</si>
  <si>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</si>
  <si>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</si>
  <si>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</si>
  <si>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</si>
  <si>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</si>
  <si>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</si>
  <si>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</si>
  <si>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</si>
  <si>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</si>
  <si>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</si>
  <si>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</si>
  <si>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</si>
  <si>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</si>
  <si>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</si>
  <si>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</si>
  <si>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</si>
  <si>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</si>
  <si>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</si>
  <si>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</si>
  <si>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</si>
  <si>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</si>
  <si>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</si>
  <si>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</si>
  <si>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</si>
  <si>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</si>
  <si>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</si>
  <si>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</si>
  <si>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</si>
  <si>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</si>
  <si>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</si>
  <si>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</si>
  <si>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</si>
  <si>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</si>
  <si>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</si>
  <si>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</si>
  <si>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</si>
  <si>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</si>
  <si>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</si>
  <si>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</si>
  <si>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</si>
  <si>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</si>
  <si>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</si>
  <si>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</si>
  <si>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</si>
  <si>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</si>
  <si>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</si>
  <si>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</si>
  <si>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</si>
  <si>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</si>
  <si>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</si>
  <si>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</si>
  <si>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</si>
  <si>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</si>
  <si>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</si>
  <si>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</si>
  <si>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</si>
  <si>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</si>
  <si>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</si>
  <si>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</si>
  <si>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</si>
  <si>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</si>
  <si>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</si>
  <si>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</si>
  <si>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</si>
  <si>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</si>
  <si>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</si>
  <si>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</si>
  <si>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</si>
  <si>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</si>
  <si>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</si>
  <si>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</si>
  <si>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</si>
  <si>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</si>
  <si>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</si>
  <si>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</si>
  <si>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</si>
  <si>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</si>
  <si>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</si>
  <si>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</si>
  <si>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</si>
  <si>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</si>
  <si>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</si>
  <si>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</si>
  <si>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</si>
  <si>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</si>
  <si>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</si>
  <si>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</si>
  <si>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</si>
  <si>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</si>
  <si>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</si>
  <si>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</si>
  <si>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</si>
  <si>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</si>
  <si>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</si>
  <si>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</si>
  <si>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</si>
  <si>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</si>
  <si>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</si>
  <si>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</si>
  <si>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</si>
  <si>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</si>
  <si>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</si>
  <si>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</si>
  <si>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</si>
  <si>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</si>
  <si>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</si>
  <si>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</si>
  <si>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</si>
  <si>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</si>
  <si>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</si>
  <si>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</si>
  <si>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</si>
  <si>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</si>
  <si>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</si>
  <si>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</si>
  <si>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</si>
  <si>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</si>
  <si>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</si>
  <si>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</si>
  <si>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</si>
  <si>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</si>
  <si>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</si>
  <si>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</si>
  <si>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</si>
  <si>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</si>
  <si>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</si>
  <si>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</si>
  <si>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</si>
  <si>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</si>
  <si>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</si>
  <si>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</si>
  <si>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</si>
  <si>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</si>
  <si>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</si>
  <si>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</si>
  <si>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</si>
  <si>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</si>
  <si>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</si>
  <si>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</si>
  <si>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</si>
  <si>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</si>
  <si>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</si>
  <si>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</si>
  <si>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</si>
  <si>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</si>
  <si>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</si>
  <si>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</si>
  <si>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</si>
  <si>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</si>
  <si>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</si>
  <si>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</si>
  <si>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</si>
  <si>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</si>
  <si>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</si>
  <si>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</si>
  <si>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</si>
  <si>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</si>
  <si>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</si>
  <si>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</si>
  <si>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</si>
  <si>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</si>
  <si>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</si>
  <si>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</si>
  <si>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</si>
  <si>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</si>
  <si>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</si>
  <si>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</si>
  <si>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</si>
  <si>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</si>
  <si>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</si>
  <si>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</si>
  <si>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</si>
  <si>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</si>
  <si>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</si>
  <si>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</si>
  <si>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</si>
  <si>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</si>
  <si>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</si>
  <si>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</si>
  <si>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</si>
  <si>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</si>
  <si>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</si>
  <si>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</si>
  <si>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</si>
  <si>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</si>
  <si>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</si>
  <si>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</si>
  <si>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</si>
  <si>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</si>
  <si>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</si>
  <si>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</si>
  <si>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</si>
  <si>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</si>
  <si>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</si>
  <si>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</si>
  <si>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</si>
  <si>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</si>
  <si>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</si>
  <si>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</si>
  <si>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</si>
  <si>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</si>
  <si>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</si>
  <si>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</si>
  <si>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</si>
  <si>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</si>
  <si>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</si>
  <si>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</si>
  <si>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</si>
  <si>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</si>
  <si>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</si>
  <si>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</si>
  <si>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</si>
  <si>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</si>
  <si>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</si>
  <si>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</si>
  <si>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</si>
  <si>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</si>
  <si>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</si>
  <si>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</si>
  <si>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</si>
  <si>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</si>
  <si>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</si>
  <si>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</si>
  <si>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</si>
  <si>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</si>
  <si>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</si>
  <si>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</si>
  <si>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</si>
  <si>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</si>
  <si>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</si>
  <si>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</si>
  <si>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</si>
  <si>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</si>
  <si>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</si>
  <si>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</si>
  <si>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</si>
  <si>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</si>
  <si>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</si>
  <si>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</si>
  <si>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</si>
  <si>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</si>
  <si>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</si>
  <si>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</si>
  <si>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</si>
  <si>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</si>
  <si>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</si>
  <si>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</si>
  <si>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</si>
  <si>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</si>
  <si>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</si>
  <si>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</si>
  <si>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</si>
  <si>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</si>
  <si>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</si>
  <si>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</si>
  <si>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</si>
  <si>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</si>
  <si>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</si>
  <si>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</si>
  <si>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</si>
  <si>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</si>
  <si>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</si>
  <si>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</si>
  <si>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</si>
  <si>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</si>
  <si>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</si>
  <si>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</si>
  <si>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</si>
  <si>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</si>
  <si>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</si>
  <si>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</si>
  <si>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</si>
  <si>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</si>
  <si>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</si>
  <si>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</si>
  <si>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</si>
  <si>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</si>
  <si>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</si>
  <si>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</si>
  <si>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</si>
  <si>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</si>
  <si>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</si>
  <si>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</si>
  <si>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</si>
  <si>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</si>
  <si>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</si>
  <si>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</si>
  <si>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</si>
  <si>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</si>
  <si>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</si>
  <si>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</si>
  <si>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</si>
  <si>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</si>
  <si>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</si>
  <si>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</si>
  <si>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</si>
  <si>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</si>
  <si>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</si>
  <si>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</si>
  <si>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</si>
  <si>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</si>
  <si>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</si>
  <si>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</si>
  <si>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</si>
  <si>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</si>
  <si>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</si>
  <si>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</si>
  <si>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</si>
  <si>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</si>
  <si>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</si>
  <si>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</si>
  <si>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</si>
  <si>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</si>
  <si>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</si>
  <si>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</si>
  <si>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</si>
  <si>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</si>
  <si>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</si>
  <si>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</si>
  <si>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</si>
  <si>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</si>
  <si>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</si>
  <si>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</si>
  <si>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</si>
  <si>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</si>
  <si>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</si>
  <si>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</si>
  <si>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</si>
  <si>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</si>
  <si>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</si>
  <si>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</si>
  <si>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</si>
  <si>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</si>
  <si>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</si>
  <si>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</si>
  <si>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</si>
  <si>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</si>
  <si>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</si>
  <si>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</si>
  <si>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</si>
  <si>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</si>
  <si>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</si>
  <si>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</si>
  <si>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</si>
  <si>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</si>
  <si>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</si>
  <si>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</si>
  <si>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</si>
  <si>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</si>
  <si>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</si>
  <si>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</si>
  <si>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</si>
  <si>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</si>
  <si>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</si>
  <si>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</si>
  <si>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</si>
  <si>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</si>
  <si>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</si>
  <si>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</si>
  <si>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</si>
  <si>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</si>
  <si>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</si>
  <si>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</si>
  <si>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</si>
  <si>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</si>
  <si>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</si>
  <si>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</si>
  <si>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</si>
  <si>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</si>
  <si>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</si>
  <si>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</si>
  <si>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</si>
  <si>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</si>
  <si>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</si>
  <si>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</si>
  <si>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</si>
  <si>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</si>
  <si>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</si>
  <si>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</si>
  <si>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</si>
  <si>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</si>
  <si>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</si>
  <si>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</si>
  <si>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</si>
  <si>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</si>
  <si>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</si>
  <si>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</si>
  <si>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</si>
  <si>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</si>
  <si>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</si>
  <si>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</si>
  <si>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</si>
  <si>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</si>
  <si>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</si>
  <si>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</si>
  <si>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</si>
  <si>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</si>
  <si>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</si>
  <si>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</si>
  <si>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</si>
  <si>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</si>
  <si>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</si>
  <si>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</si>
  <si>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</si>
  <si>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</si>
  <si>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</si>
  <si>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</si>
  <si>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</si>
  <si>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</si>
  <si>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</si>
  <si>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</si>
  <si>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</si>
  <si>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</si>
  <si>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</si>
  <si>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</si>
  <si>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</si>
  <si>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</si>
  <si>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</si>
  <si>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</si>
  <si>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</si>
  <si>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</si>
  <si>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</si>
  <si>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</si>
  <si>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</si>
  <si>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</si>
  <si>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</si>
  <si>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</si>
  <si>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</si>
  <si>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</si>
  <si>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</si>
  <si>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</si>
  <si>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</si>
  <si>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</si>
  <si>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</si>
  <si>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</si>
  <si>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</si>
  <si>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</si>
  <si>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</si>
  <si>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</si>
  <si>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</si>
  <si>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</si>
  <si>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</si>
  <si>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</si>
  <si>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</si>
  <si>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</si>
  <si>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</si>
  <si>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</si>
  <si>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</si>
  <si>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</si>
  <si>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</si>
  <si>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</si>
  <si>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</si>
  <si>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</si>
  <si>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</si>
  <si>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</si>
  <si>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</si>
  <si>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</si>
  <si>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</si>
  <si>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</si>
  <si>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</si>
  <si>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</si>
  <si>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</si>
  <si>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</si>
  <si>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</si>
  <si>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</si>
  <si>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</si>
  <si>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</si>
  <si>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</si>
  <si>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</si>
  <si>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</si>
  <si>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</si>
  <si>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</si>
  <si>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</si>
  <si>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</si>
  <si>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</si>
  <si>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</si>
  <si>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</si>
  <si>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</si>
  <si>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</si>
  <si>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</si>
  <si>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</si>
  <si>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</si>
  <si>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</si>
  <si>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</si>
  <si>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</si>
  <si>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</si>
  <si>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</si>
  <si>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</si>
  <si>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</si>
  <si>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</si>
  <si>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</si>
  <si>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</si>
  <si>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</si>
  <si>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</si>
  <si>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</si>
  <si>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</si>
  <si>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</si>
  <si>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</si>
  <si>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</si>
  <si>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</si>
  <si>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</si>
  <si>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</si>
  <si>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</si>
  <si>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</si>
  <si>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</si>
  <si>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</si>
  <si>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</si>
  <si>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</si>
  <si>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</si>
  <si>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</si>
  <si>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</si>
  <si>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</si>
  <si>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</si>
  <si>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</si>
  <si>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</si>
  <si>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</si>
  <si>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</si>
  <si>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</si>
  <si>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</si>
  <si>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</si>
  <si>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</si>
  <si>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</si>
  <si>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</si>
  <si>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</si>
  <si>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</si>
  <si>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</si>
  <si>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</si>
  <si>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</si>
  <si>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</si>
  <si>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</si>
  <si>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</si>
  <si>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</si>
  <si>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</si>
  <si>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</si>
  <si>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</si>
  <si>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</si>
  <si>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</si>
  <si>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</si>
  <si>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</si>
  <si>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</si>
  <si>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</si>
  <si>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</si>
  <si>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</si>
  <si>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</si>
  <si>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</si>
  <si>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</si>
  <si>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</si>
  <si>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</si>
  <si>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</si>
  <si>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</si>
  <si>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</si>
  <si>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</si>
  <si>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</si>
  <si>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</si>
  <si>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</si>
  <si>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</si>
  <si>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</si>
  <si>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</si>
  <si>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</si>
  <si>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</si>
  <si>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</si>
  <si>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</si>
  <si>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</si>
  <si>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</si>
  <si>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</si>
  <si>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</si>
  <si>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</si>
  <si>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</si>
  <si>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</si>
  <si>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</si>
  <si>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</si>
  <si>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</si>
  <si>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</si>
  <si>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</si>
  <si>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</si>
  <si>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</si>
  <si>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</si>
  <si>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</si>
  <si>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</si>
  <si>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</si>
  <si>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</si>
  <si>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</si>
  <si>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</si>
  <si>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</si>
  <si>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</si>
  <si>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</si>
  <si>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</si>
  <si>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</si>
  <si>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</si>
  <si>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</si>
  <si>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</si>
  <si>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</si>
  <si>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</si>
  <si>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</si>
  <si>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</si>
  <si>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</si>
  <si>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</si>
  <si>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</si>
  <si>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</si>
  <si>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</si>
  <si>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</si>
  <si>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</si>
  <si>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</si>
  <si>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</si>
  <si>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</si>
  <si>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</si>
  <si>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</si>
  <si>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</si>
  <si>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</si>
  <si>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</si>
  <si>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</si>
  <si>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</si>
  <si>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</si>
  <si>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</si>
  <si>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</si>
  <si>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</si>
  <si>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</si>
  <si>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</si>
  <si>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</si>
  <si>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</si>
  <si>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</si>
  <si>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</si>
  <si>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</si>
  <si>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</si>
  <si>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</si>
  <si>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</si>
  <si>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</si>
  <si>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</si>
  <si>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</si>
  <si>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</si>
  <si>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</si>
  <si>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</si>
  <si>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</si>
  <si>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</si>
  <si>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</si>
  <si>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</si>
  <si>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</si>
  <si>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</si>
  <si>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</si>
  <si>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</si>
  <si>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</si>
  <si>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</si>
  <si>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</si>
  <si>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</si>
  <si>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</si>
  <si>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</si>
  <si>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</si>
  <si>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</si>
  <si>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</si>
  <si>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</si>
  <si>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</si>
  <si>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</si>
  <si>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</si>
  <si>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</si>
  <si>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</si>
  <si>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</si>
  <si>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</si>
  <si>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</si>
  <si>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</si>
  <si>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</si>
  <si>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</si>
  <si>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</si>
  <si>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</si>
  <si>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</si>
  <si>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</si>
  <si>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</si>
  <si>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</si>
  <si>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</si>
  <si>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</si>
  <si>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</si>
  <si>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</si>
  <si>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</si>
  <si>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</si>
  <si>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</si>
  <si>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</si>
  <si>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</si>
  <si>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</si>
  <si>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</si>
  <si>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</si>
  <si>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</si>
  <si>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</si>
  <si>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</si>
  <si>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</si>
  <si>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</si>
  <si>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</si>
  <si>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</si>
  <si>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</si>
  <si>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</si>
  <si>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</si>
  <si>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</si>
  <si>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</si>
  <si>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</si>
  <si>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</si>
  <si>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</si>
  <si>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</si>
  <si>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</si>
  <si>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</si>
  <si>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</si>
  <si>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</si>
  <si>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</si>
  <si>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</si>
  <si>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</si>
  <si>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</si>
  <si>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</si>
  <si>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</si>
  <si>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</si>
  <si>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</si>
  <si>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</si>
  <si>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</si>
  <si>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</si>
  <si>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</si>
  <si>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</si>
  <si>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</si>
  <si>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</si>
  <si>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</si>
  <si>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</si>
  <si>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</si>
  <si>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</si>
  <si>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</si>
  <si>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</si>
  <si>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</si>
  <si>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</si>
  <si>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</si>
  <si>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</si>
  <si>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</si>
  <si>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</si>
  <si>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</si>
  <si>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</si>
  <si>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</si>
  <si>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</si>
  <si>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</si>
  <si>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</si>
  <si>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</si>
  <si>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</si>
  <si>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</si>
  <si>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</si>
  <si>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</si>
  <si>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</si>
  <si>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</si>
  <si>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</si>
  <si>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</si>
  <si>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</si>
  <si>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</si>
  <si>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</si>
  <si>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</si>
  <si>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</si>
  <si>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</si>
  <si>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</si>
  <si>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</si>
  <si>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</si>
  <si>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</si>
  <si>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</si>
  <si>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</si>
  <si>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</si>
  <si>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</si>
  <si>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</si>
  <si>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</si>
  <si>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</si>
  <si>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</si>
  <si>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</si>
  <si>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</si>
  <si>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</si>
  <si>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</si>
  <si>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</si>
  <si>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</si>
  <si>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</si>
  <si>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</si>
  <si>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</si>
  <si>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</si>
  <si>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</si>
  <si>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</si>
  <si>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</si>
  <si>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</si>
  <si>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</si>
  <si>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</si>
  <si>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</si>
  <si>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</si>
  <si>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</si>
  <si>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</si>
  <si>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</si>
  <si>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</si>
  <si>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</si>
  <si>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</si>
  <si>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</si>
  <si>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</si>
  <si>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</si>
  <si>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</si>
  <si>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</si>
  <si>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</si>
  <si>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</si>
  <si>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</si>
  <si>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</si>
  <si>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</si>
  <si>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</si>
  <si>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</si>
  <si>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</si>
  <si>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</si>
  <si>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</si>
  <si>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</si>
  <si>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</si>
  <si>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</si>
  <si>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</si>
  <si>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</si>
  <si>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</si>
  <si>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</si>
  <si>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</si>
  <si>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</si>
  <si>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</si>
  <si>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</si>
  <si>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</si>
  <si>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</si>
  <si>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</si>
  <si>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</si>
  <si>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</si>
  <si>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</si>
  <si>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</si>
  <si>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</si>
  <si>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</si>
  <si>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</si>
  <si>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</si>
  <si>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</si>
  <si>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</si>
  <si>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</si>
  <si>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</si>
  <si>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</si>
  <si>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</si>
  <si>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</si>
  <si>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</si>
  <si>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</si>
  <si>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</si>
  <si>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</si>
  <si>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</si>
  <si>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</si>
  <si>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</si>
  <si>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</si>
  <si>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</si>
  <si>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</si>
  <si>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</si>
  <si>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</si>
  <si>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</si>
  <si>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</si>
  <si>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</si>
  <si>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</si>
  <si>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</si>
  <si>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</si>
  <si>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</si>
  <si>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</si>
  <si>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</si>
  <si>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</si>
  <si>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</si>
  <si>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</si>
  <si>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</si>
  <si>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</si>
  <si>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</si>
  <si>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</si>
  <si>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</si>
  <si>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</si>
  <si>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</si>
  <si>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</si>
  <si>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</si>
  <si>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</si>
  <si>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</si>
  <si>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</si>
  <si>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</si>
  <si>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</si>
  <si>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</si>
  <si>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</si>
  <si>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</si>
  <si>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</si>
  <si>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</si>
  <si>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</si>
  <si>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</si>
  <si>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</si>
  <si>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</si>
  <si>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</si>
  <si>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</si>
  <si>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</si>
  <si>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</si>
  <si>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</si>
  <si>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</si>
  <si>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</si>
  <si>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</si>
  <si>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</si>
  <si>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</si>
  <si>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</si>
  <si>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</si>
  <si>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</si>
  <si>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</si>
  <si>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</si>
  <si>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</si>
  <si>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</si>
  <si>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</si>
  <si>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</si>
  <si>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</si>
  <si>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</si>
  <si>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</si>
  <si>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</si>
  <si>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</si>
  <si>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</si>
  <si>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</si>
  <si>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</si>
  <si>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</si>
  <si>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</si>
  <si>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</si>
  <si>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</si>
  <si>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</si>
  <si>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</si>
  <si>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</si>
  <si>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</si>
  <si>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</si>
  <si>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</si>
  <si>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</si>
  <si>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</si>
  <si>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</si>
  <si>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</si>
  <si>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</si>
  <si>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</si>
  <si>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</si>
  <si>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</si>
  <si>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</si>
  <si>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</si>
  <si>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</si>
  <si>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</si>
  <si>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</si>
  <si>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</si>
  <si>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</si>
  <si>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</si>
  <si>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</si>
  <si>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</si>
  <si>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</si>
  <si>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</si>
  <si>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</si>
  <si>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</si>
  <si>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</si>
  <si>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</si>
  <si>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</si>
  <si>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</si>
  <si>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</si>
  <si>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</si>
  <si>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</si>
  <si>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</si>
  <si>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</si>
  <si>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</si>
  <si>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</si>
  <si>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</si>
  <si>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</si>
  <si>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</si>
  <si>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</si>
  <si>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</si>
  <si>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</si>
  <si>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</si>
  <si>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</si>
  <si>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</si>
  <si>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</si>
  <si>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</si>
  <si>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</si>
  <si>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</si>
  <si>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</si>
  <si>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</si>
  <si>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</si>
  <si>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</si>
  <si>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</si>
  <si>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</si>
  <si>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</si>
  <si>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</si>
  <si>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</si>
  <si>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</si>
  <si>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</si>
  <si>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</si>
  <si>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</si>
  <si>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</si>
  <si>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</si>
  <si>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</si>
  <si>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</si>
  <si>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</si>
  <si>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</si>
  <si>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</si>
  <si>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</si>
  <si>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</si>
  <si>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</si>
  <si>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</si>
  <si>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</si>
  <si>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</si>
  <si>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</si>
  <si>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</si>
  <si>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</si>
  <si>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</si>
  <si>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</si>
  <si>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</si>
  <si>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</si>
  <si>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</si>
  <si>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</si>
  <si>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</si>
  <si>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</si>
  <si>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</si>
  <si>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</si>
  <si>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</si>
  <si>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</si>
  <si>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</si>
  <si>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</si>
  <si>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</si>
  <si>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</si>
  <si>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</si>
  <si>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</si>
  <si>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</si>
  <si>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</si>
  <si>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</si>
  <si>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</si>
  <si>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</si>
  <si>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</si>
  <si>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</si>
  <si>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</si>
  <si>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</si>
  <si>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</si>
  <si>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</si>
  <si>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</si>
  <si>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</si>
  <si>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</si>
  <si>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</si>
  <si>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</si>
  <si>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</si>
  <si>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</si>
  <si>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</si>
  <si>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</si>
  <si>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</si>
  <si>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</si>
  <si>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</si>
  <si>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</si>
  <si>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</si>
  <si>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</si>
  <si>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</si>
  <si>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</si>
  <si>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</si>
  <si>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</si>
  <si>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</si>
  <si>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</si>
  <si>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</si>
  <si>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</si>
  <si>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</si>
  <si>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</si>
  <si>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</si>
  <si>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</si>
  <si>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</si>
  <si>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</si>
  <si>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</si>
  <si>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</si>
  <si>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</si>
  <si>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</si>
  <si>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</si>
  <si>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</si>
  <si>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</si>
  <si>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</si>
  <si>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</si>
  <si>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</si>
  <si>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</si>
  <si>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</si>
  <si>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</si>
  <si>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</si>
  <si>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</si>
  <si>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</si>
  <si>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</si>
  <si>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</si>
  <si>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</si>
  <si>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</si>
  <si>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</si>
  <si>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</si>
  <si>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</si>
  <si>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</si>
  <si>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</si>
  <si>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</si>
  <si>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</si>
  <si>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</si>
  <si>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</si>
  <si>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</si>
  <si>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</si>
  <si>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</si>
  <si>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</si>
  <si>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</si>
  <si>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</si>
  <si>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</si>
  <si>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</si>
  <si>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</si>
  <si>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</si>
  <si>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</si>
  <si>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</si>
  <si>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</si>
  <si>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</si>
  <si>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</si>
  <si>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</si>
  <si>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</si>
  <si>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</si>
  <si>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</si>
  <si>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</si>
  <si>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</si>
  <si>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</si>
  <si>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</si>
  <si>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</si>
  <si>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</si>
  <si>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</si>
  <si>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</si>
  <si>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</si>
  <si>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</si>
  <si>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</si>
  <si>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</si>
  <si>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</si>
  <si>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</si>
  <si>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</si>
  <si>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</si>
  <si>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</si>
  <si>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</si>
  <si>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</si>
  <si>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</si>
  <si>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</si>
  <si>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</si>
  <si>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</si>
  <si>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</si>
  <si>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</si>
  <si>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</si>
  <si>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</si>
  <si>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</si>
  <si>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</si>
  <si>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</si>
  <si>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</si>
  <si>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</si>
  <si>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</si>
  <si>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</si>
  <si>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</si>
  <si>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</si>
  <si>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</si>
  <si>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</si>
  <si>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</si>
  <si>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</si>
  <si>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</si>
  <si>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</si>
  <si>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</si>
  <si>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</si>
  <si>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</si>
  <si>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</si>
  <si>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</si>
  <si>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</si>
  <si>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</si>
  <si>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</si>
  <si>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</si>
  <si>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</si>
  <si>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</si>
  <si>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</si>
  <si>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</si>
  <si>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</si>
  <si>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</si>
  <si>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</si>
  <si>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</si>
  <si>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</si>
  <si>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</si>
  <si>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</si>
  <si>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</si>
  <si>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</si>
  <si>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</si>
  <si>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</si>
  <si>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</si>
  <si>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</si>
  <si>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</si>
  <si>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</si>
  <si>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</si>
  <si>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</si>
  <si>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</si>
  <si>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</si>
  <si>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</si>
  <si>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</si>
  <si>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</si>
  <si>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</si>
  <si>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</si>
  <si>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</si>
  <si>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</si>
  <si>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</si>
  <si>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</si>
  <si>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</si>
  <si>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</si>
  <si>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</si>
  <si>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</si>
  <si>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</si>
  <si>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</si>
  <si>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</si>
  <si>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</si>
  <si>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</si>
  <si>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</si>
  <si>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</si>
  <si>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</si>
  <si>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</si>
  <si>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</si>
  <si>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</si>
  <si>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</si>
  <si>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</si>
  <si>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</si>
  <si>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</si>
  <si>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</si>
  <si>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</si>
  <si>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</si>
  <si>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</si>
  <si>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</si>
  <si>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</si>
  <si>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</si>
  <si>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</si>
  <si>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</si>
  <si>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</si>
  <si>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</si>
  <si>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</si>
  <si>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</si>
  <si>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</si>
  <si>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</si>
  <si>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</si>
  <si>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</si>
  <si>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</si>
  <si>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</si>
  <si>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</si>
  <si>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</si>
  <si>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</si>
  <si>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</si>
  <si>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</si>
  <si>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</si>
  <si>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</si>
  <si>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</si>
  <si>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</si>
  <si>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</si>
  <si>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</si>
  <si>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</si>
  <si>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</si>
  <si>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</si>
  <si>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</si>
  <si>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</si>
  <si>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</si>
  <si>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</si>
  <si>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</si>
  <si>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</si>
  <si>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</si>
  <si>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</si>
  <si>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</si>
  <si>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</si>
  <si>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</si>
  <si>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</si>
  <si>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</si>
  <si>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</si>
  <si>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</si>
  <si>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</si>
  <si>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</si>
  <si>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</si>
  <si>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</si>
  <si>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</si>
  <si>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</si>
  <si>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</si>
  <si>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</si>
  <si>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</si>
  <si>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</si>
  <si>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</si>
  <si>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</si>
  <si>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</si>
  <si>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</si>
  <si>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</si>
  <si>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</si>
  <si>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</si>
  <si>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</si>
  <si>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</si>
  <si>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</si>
  <si>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</si>
  <si>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</si>
  <si>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</si>
  <si>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</si>
  <si>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</si>
  <si>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</si>
  <si>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</si>
  <si>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</si>
  <si>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</si>
  <si>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</si>
  <si>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</si>
  <si>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</si>
  <si>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</si>
  <si>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</si>
  <si>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</si>
  <si>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</si>
  <si>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</si>
  <si>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</si>
  <si>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</si>
  <si>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</si>
  <si>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</si>
  <si>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</si>
  <si>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</si>
  <si>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</si>
  <si>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</si>
  <si>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</si>
  <si>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</si>
  <si>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</si>
  <si>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</si>
  <si>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</si>
  <si>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</si>
  <si>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</si>
  <si>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</si>
  <si>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</si>
  <si>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</si>
  <si>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</si>
  <si>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</si>
  <si>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</si>
  <si>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</si>
  <si>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</si>
  <si>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</si>
  <si>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</si>
  <si>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</si>
  <si>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</si>
  <si>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</si>
  <si>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</si>
  <si>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</si>
  <si>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</si>
  <si>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</si>
  <si>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</si>
  <si>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</si>
  <si>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</si>
  <si>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</si>
  <si>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</si>
  <si>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</si>
  <si>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</si>
  <si>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</si>
  <si>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</si>
  <si>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</si>
  <si>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</si>
  <si>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</si>
  <si>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</si>
  <si>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</si>
  <si>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</si>
  <si>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</si>
  <si>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</si>
  <si>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</si>
  <si>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</si>
  <si>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</si>
  <si>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</si>
  <si>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</si>
  <si>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</si>
  <si>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</si>
  <si>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</si>
  <si>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</si>
  <si>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</si>
  <si>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</si>
  <si>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</si>
  <si>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</si>
  <si>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</si>
  <si>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</si>
  <si>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</si>
  <si>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</si>
  <si>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</si>
  <si>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</si>
  <si>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</si>
  <si>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</si>
  <si>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</si>
  <si>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</si>
  <si>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</si>
  <si>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</si>
  <si>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</si>
  <si>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</si>
  <si>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</si>
  <si>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</si>
  <si>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</si>
  <si>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</si>
  <si>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</si>
  <si>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</si>
  <si>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</si>
  <si>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</si>
  <si>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</si>
  <si>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</si>
  <si>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</si>
  <si>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</si>
  <si>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</si>
  <si>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</si>
  <si>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</si>
  <si>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</si>
  <si>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</si>
  <si>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</si>
  <si>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</si>
  <si>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</si>
  <si>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</si>
  <si>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</si>
  <si>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</si>
  <si>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</si>
  <si>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</si>
  <si>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</si>
  <si>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</si>
  <si>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</si>
  <si>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</si>
  <si>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</si>
  <si>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</si>
  <si>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</si>
  <si>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</si>
  <si>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</si>
  <si>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</si>
  <si>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</si>
  <si>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</si>
  <si>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</si>
  <si>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</si>
  <si>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</si>
  <si>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</si>
  <si>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</si>
  <si>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</si>
  <si>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</si>
  <si>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</si>
  <si>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</si>
  <si>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</si>
  <si>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</si>
  <si>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</si>
  <si>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</si>
  <si>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</si>
  <si>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</si>
  <si>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</si>
  <si>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</si>
  <si>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</si>
  <si>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</si>
  <si>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</si>
  <si>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</si>
  <si>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</si>
  <si>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</si>
  <si>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</si>
  <si>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</si>
  <si>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</si>
  <si>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</si>
  <si>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</si>
  <si>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</si>
  <si>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</si>
  <si>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</si>
  <si>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</si>
  <si>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</si>
  <si>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</si>
  <si>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</si>
  <si>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</si>
  <si>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</si>
  <si>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</si>
  <si>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</si>
  <si>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</si>
  <si>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</si>
  <si>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</si>
  <si>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</si>
  <si>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</si>
  <si>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</si>
  <si>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</si>
  <si>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</si>
  <si>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</si>
  <si>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</si>
  <si>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</si>
  <si>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</si>
  <si>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</si>
  <si>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</si>
  <si>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</si>
  <si>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</si>
  <si>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</si>
  <si>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</si>
  <si>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</si>
  <si>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</si>
  <si>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</si>
  <si>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</si>
  <si>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</si>
  <si>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</si>
  <si>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</si>
  <si>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</si>
  <si>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</si>
  <si>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</si>
  <si>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</si>
  <si>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</si>
  <si>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</si>
  <si>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</si>
  <si>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</si>
  <si>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</si>
  <si>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</si>
  <si>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</si>
  <si>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</si>
  <si>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</si>
  <si>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</si>
  <si>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</si>
  <si>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</si>
  <si>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</si>
  <si>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</si>
  <si>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</si>
  <si>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</si>
  <si>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</si>
  <si>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</si>
  <si>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</si>
  <si>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</si>
  <si>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</si>
  <si>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</si>
  <si>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</si>
  <si>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</si>
  <si>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</si>
  <si>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</si>
  <si>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</si>
  <si>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</si>
  <si>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</si>
  <si>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</si>
  <si>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</si>
  <si>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</si>
  <si>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</si>
  <si>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</si>
  <si>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</si>
  <si>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</si>
  <si>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</si>
  <si>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</si>
  <si>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</si>
  <si>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</si>
  <si>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</si>
  <si>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</si>
  <si>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</si>
  <si>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</si>
  <si>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</si>
  <si>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</si>
  <si>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</si>
  <si>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</si>
  <si>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</si>
  <si>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</si>
  <si>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</si>
  <si>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</si>
  <si>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</si>
  <si>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</si>
  <si>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</si>
  <si>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</si>
  <si>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</si>
  <si>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</si>
  <si>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</si>
  <si>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</si>
  <si>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</si>
  <si>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</si>
  <si>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</si>
  <si>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</si>
  <si>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</si>
  <si>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</si>
  <si>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</si>
  <si>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</si>
  <si>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</si>
  <si>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</si>
  <si>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</si>
  <si>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</si>
  <si>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</si>
  <si>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</si>
  <si>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</si>
  <si>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</si>
  <si>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</si>
  <si>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</si>
  <si>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</si>
  <si>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</si>
  <si>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</si>
  <si>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</si>
  <si>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</si>
  <si>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</si>
  <si>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</si>
  <si>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</si>
  <si>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</si>
  <si>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</si>
  <si>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</si>
  <si>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</si>
  <si>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</si>
  <si>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</si>
  <si>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</si>
  <si>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</si>
  <si>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</si>
  <si>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</si>
  <si>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</si>
  <si>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</si>
  <si>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</si>
  <si>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</si>
  <si>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</si>
  <si>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</si>
  <si>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</si>
  <si>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</si>
  <si>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</si>
  <si>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</si>
  <si>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</si>
  <si>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</si>
  <si>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</si>
  <si>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</si>
  <si>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</si>
  <si>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</si>
  <si>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</si>
  <si>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</si>
  <si>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</si>
  <si>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</si>
  <si>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</si>
  <si>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</si>
  <si>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</si>
  <si>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</si>
  <si>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</si>
  <si>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</si>
  <si>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</si>
  <si>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</si>
  <si>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</si>
  <si>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</si>
  <si>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</si>
  <si>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</si>
  <si>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</si>
  <si>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</si>
  <si>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</si>
  <si>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</si>
  <si>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</si>
  <si>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</si>
  <si>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</si>
  <si>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</si>
  <si>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</si>
  <si>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</si>
  <si>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</si>
  <si>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</si>
  <si>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</si>
  <si>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</si>
  <si>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</si>
  <si>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</si>
  <si>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</si>
  <si>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</si>
  <si>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</si>
  <si>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</si>
  <si>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</si>
  <si>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</si>
  <si>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</si>
  <si>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</si>
  <si>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</si>
  <si>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</si>
  <si>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</si>
  <si>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</si>
  <si>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</si>
  <si>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</si>
  <si>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</si>
  <si>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</si>
  <si>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</si>
  <si>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</si>
  <si>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</si>
  <si>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</si>
  <si>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</si>
  <si>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</si>
  <si>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</si>
  <si>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</si>
  <si>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</si>
  <si>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</si>
  <si>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</si>
  <si>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</si>
  <si>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</si>
  <si>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</si>
  <si>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</si>
  <si>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</si>
  <si>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</si>
  <si>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</si>
  <si>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</si>
  <si>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</si>
  <si>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</si>
  <si>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</si>
  <si>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</si>
  <si>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</si>
  <si>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</si>
  <si>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</si>
  <si>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</si>
  <si>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</si>
  <si>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</si>
  <si>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</si>
  <si>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</si>
  <si>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</si>
  <si>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</si>
  <si>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</si>
  <si>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</si>
  <si>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</si>
  <si>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</si>
  <si>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</si>
  <si>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</si>
  <si>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</si>
  <si>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</si>
  <si>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</si>
  <si>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</si>
  <si>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</si>
  <si>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</si>
  <si>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</si>
  <si>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</si>
  <si>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</si>
  <si>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</si>
  <si>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</si>
  <si>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</si>
  <si>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</si>
  <si>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</si>
  <si>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</si>
  <si>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</si>
  <si>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</si>
  <si>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</si>
  <si>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</si>
  <si>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</si>
  <si>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</si>
  <si>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</si>
  <si>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</si>
  <si>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</si>
  <si>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</si>
  <si>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</si>
  <si>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</si>
  <si>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</si>
  <si>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</si>
  <si>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</si>
  <si>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</si>
  <si>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</si>
  <si>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</si>
  <si>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</si>
  <si>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</si>
  <si>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</si>
  <si>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</si>
  <si>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</si>
  <si>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</si>
  <si>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</si>
  <si>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</si>
  <si>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</si>
  <si>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</si>
  <si>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</si>
  <si>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</si>
  <si>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</si>
  <si>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</si>
  <si>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</si>
  <si>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</si>
  <si>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</si>
  <si>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</si>
  <si>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</si>
  <si>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</si>
  <si>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</si>
  <si>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</si>
  <si>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</si>
  <si>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</si>
  <si>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</si>
  <si>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</si>
  <si>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</si>
  <si>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</si>
  <si>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</si>
  <si>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</si>
  <si>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</si>
  <si>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</si>
  <si>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</si>
  <si>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</si>
  <si>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</si>
  <si>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</si>
  <si>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</si>
  <si>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</si>
  <si>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</si>
  <si>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</si>
  <si>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</si>
  <si>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</si>
  <si>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</si>
  <si>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</si>
  <si>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</si>
  <si>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</si>
  <si>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</si>
  <si>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</si>
  <si>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</si>
  <si>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</si>
  <si>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</si>
  <si>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</si>
  <si>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</si>
  <si>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</si>
  <si>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</si>
  <si>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</si>
  <si>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</si>
  <si>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</si>
  <si>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</si>
  <si>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</si>
  <si>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</si>
  <si>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</si>
  <si>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</si>
  <si>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</si>
  <si>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</si>
  <si>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</si>
  <si>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</si>
  <si>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</si>
  <si>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</si>
  <si>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</si>
  <si>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</si>
  <si>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</si>
  <si>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</si>
  <si>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</si>
  <si>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</si>
  <si>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</si>
  <si>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</si>
  <si>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</si>
  <si>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</si>
  <si>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</si>
  <si>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</si>
  <si>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</si>
  <si>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</si>
  <si>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</si>
  <si>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</si>
  <si>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</si>
  <si>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</si>
  <si>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</si>
  <si>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</si>
  <si>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</si>
  <si>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</si>
  <si>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</si>
  <si>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</si>
  <si>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</si>
  <si>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</si>
  <si>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</si>
  <si>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</si>
  <si>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</si>
  <si>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</si>
  <si>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</si>
  <si>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</si>
  <si>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</si>
  <si>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</si>
  <si>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</si>
  <si>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</si>
  <si>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</si>
  <si>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</si>
  <si>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</si>
  <si>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</si>
  <si>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</si>
  <si>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</si>
  <si>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</si>
  <si>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</si>
  <si>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</si>
  <si>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</si>
  <si>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</si>
  <si>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</si>
  <si>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</si>
  <si>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</si>
  <si>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</si>
  <si>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</si>
  <si>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</si>
  <si>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</si>
  <si>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</si>
  <si>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</si>
  <si>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</si>
  <si>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</si>
  <si>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</si>
  <si>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</si>
  <si>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</si>
  <si>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</si>
  <si>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</si>
  <si>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</si>
  <si>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</si>
  <si>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</si>
  <si>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</si>
  <si>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</si>
  <si>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</si>
  <si>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</si>
  <si>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</si>
  <si>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</si>
  <si>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</si>
  <si>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</si>
  <si>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</si>
  <si>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</si>
  <si>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</si>
  <si>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</si>
  <si>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</si>
  <si>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</si>
  <si>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</si>
  <si>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</si>
  <si>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</si>
  <si>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</si>
  <si>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</si>
  <si>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</si>
  <si>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</si>
  <si>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</si>
  <si>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</si>
  <si>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</si>
  <si>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</si>
  <si>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</si>
  <si>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</si>
  <si>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</si>
  <si>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</si>
  <si>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</si>
  <si>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</si>
  <si>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</si>
  <si>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</si>
  <si>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</si>
  <si>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</si>
  <si>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</si>
  <si>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</si>
  <si>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</si>
  <si>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</si>
  <si>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</si>
  <si>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</si>
  <si>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</si>
  <si>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</si>
  <si>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</si>
  <si>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</si>
  <si>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</si>
  <si>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</si>
  <si>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</si>
  <si>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</si>
  <si>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</si>
  <si>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</si>
  <si>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</si>
  <si>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</si>
  <si>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</si>
  <si>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</si>
  <si>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</si>
  <si>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</si>
  <si>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</si>
  <si>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</si>
  <si>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</si>
  <si>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</si>
  <si>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</si>
  <si>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</si>
  <si>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</si>
  <si>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</si>
  <si>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</si>
  <si>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</si>
  <si>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</si>
  <si>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</si>
  <si>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</si>
  <si>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</si>
  <si>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</si>
  <si>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</si>
  <si>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</si>
  <si>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</si>
  <si>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</si>
  <si>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</si>
  <si>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</si>
  <si>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</si>
  <si>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</si>
  <si>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</si>
  <si>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</si>
  <si>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</si>
  <si>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</si>
  <si>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</si>
  <si>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</si>
  <si>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</si>
  <si>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</si>
  <si>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</si>
  <si>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</si>
  <si>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</si>
  <si>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</si>
  <si>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</si>
  <si>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</si>
  <si>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</si>
  <si>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</si>
  <si>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</si>
  <si>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</si>
  <si>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</si>
  <si>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</si>
  <si>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</si>
  <si>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</si>
  <si>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</si>
  <si>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</si>
  <si>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</si>
  <si>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</si>
  <si>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</si>
  <si>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</si>
  <si>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</si>
  <si>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</si>
  <si>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</si>
  <si>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</si>
  <si>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</si>
  <si>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</si>
  <si>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</si>
  <si>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</si>
  <si>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</si>
  <si>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</si>
  <si>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</si>
  <si>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</si>
  <si>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</si>
  <si>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</si>
  <si>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</si>
  <si>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</si>
  <si>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</si>
  <si>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</si>
  <si>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</si>
  <si>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</si>
  <si>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</si>
  <si>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</si>
  <si>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</si>
  <si>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</si>
  <si>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</si>
  <si>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</si>
  <si>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</si>
  <si>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</si>
  <si>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</si>
  <si>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</si>
  <si>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</si>
  <si>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</si>
  <si>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</si>
  <si>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</si>
  <si>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</si>
  <si>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</si>
  <si>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</si>
  <si>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</si>
  <si>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</si>
  <si>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</si>
  <si>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</si>
  <si>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</si>
  <si>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</si>
  <si>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</si>
  <si>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</si>
  <si>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</si>
  <si>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</si>
  <si>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</si>
  <si>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</si>
  <si>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</si>
  <si>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</si>
  <si>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</si>
  <si>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</si>
  <si>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</si>
  <si>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</si>
  <si>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</si>
  <si>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</si>
  <si>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</si>
  <si>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</si>
  <si>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</si>
  <si>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</si>
  <si>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</si>
  <si>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</si>
  <si>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</si>
  <si>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</si>
  <si>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</si>
  <si>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</si>
  <si>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</si>
  <si>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</si>
  <si>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</si>
  <si>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</si>
  <si>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</si>
  <si>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</si>
  <si>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</si>
  <si>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</si>
  <si>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</si>
  <si>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</si>
  <si>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</si>
  <si>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</si>
  <si>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</si>
  <si>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</si>
  <si>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</si>
  <si>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</si>
  <si>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</si>
  <si>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</si>
  <si>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</si>
  <si>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</si>
  <si>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</si>
  <si>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</si>
  <si>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</si>
  <si>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</si>
  <si>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</si>
  <si>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</si>
  <si>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</si>
  <si>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</si>
  <si>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</si>
  <si>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</si>
  <si>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</si>
  <si>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</si>
  <si>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</si>
  <si>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</si>
  <si>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</si>
  <si>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</si>
  <si>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</si>
  <si>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</si>
  <si>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</si>
  <si>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</si>
  <si>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</si>
  <si>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</si>
  <si>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</si>
  <si>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</si>
  <si>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</si>
  <si>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</si>
  <si>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</si>
  <si>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</si>
  <si>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</si>
  <si>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</si>
  <si>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</si>
  <si>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</si>
  <si>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</si>
  <si>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</si>
  <si>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</si>
  <si>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</si>
  <si>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</si>
  <si>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</si>
  <si>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</si>
  <si>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</si>
  <si>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</si>
  <si>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</si>
  <si>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</si>
  <si>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</si>
  <si>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</si>
  <si>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</si>
  <si>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</si>
  <si>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</si>
  <si>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</si>
  <si>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</si>
  <si>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</si>
  <si>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</si>
  <si>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</si>
  <si>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</si>
  <si>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</si>
  <si>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</si>
  <si>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</si>
  <si>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</si>
  <si>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</si>
  <si>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</si>
  <si>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</si>
  <si>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</si>
  <si>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</si>
  <si>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</si>
  <si>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</si>
  <si>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</si>
  <si>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</si>
  <si>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</si>
  <si>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</si>
  <si>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</si>
  <si>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</si>
  <si>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</si>
  <si>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</si>
  <si>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</si>
  <si>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</si>
  <si>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</si>
  <si>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</si>
  <si>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</si>
  <si>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</si>
  <si>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</si>
  <si>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</si>
  <si>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</si>
  <si>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</si>
  <si>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</si>
  <si>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</si>
  <si>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核定资产</t>
  </si>
  <si>
    <t>房地产市场价值</t>
  </si>
  <si>
    <t>北京市</t>
  </si>
  <si>
    <t>自然人</t>
  </si>
  <si>
    <t>是</t>
  </si>
  <si>
    <t>地上</t>
  </si>
  <si>
    <t>住宅</t>
  </si>
  <si>
    <t>平层住宅</t>
  </si>
  <si>
    <t>住宅</t>
    <phoneticPr fontId="7" type="noConversion"/>
  </si>
  <si>
    <t>利息：取LPR加浮动点数</t>
  </si>
  <si>
    <t>成新度</t>
  </si>
  <si>
    <t>虎坊路</t>
  </si>
  <si>
    <t>商品房</t>
  </si>
  <si>
    <t>虎坊路29号楼2层④-2-202</t>
    <phoneticPr fontId="134" type="noConversion"/>
  </si>
  <si>
    <t>房屋坐落</t>
  </si>
  <si>
    <t>物业名称</t>
  </si>
  <si>
    <t>产权性质</t>
  </si>
  <si>
    <t>建筑面积</t>
  </si>
  <si>
    <t>房屋用途</t>
  </si>
  <si>
    <t>总层数</t>
  </si>
  <si>
    <t>所在楼层</t>
  </si>
  <si>
    <t>产权年代</t>
  </si>
  <si>
    <t>现场年代</t>
  </si>
  <si>
    <t>证明年代</t>
  </si>
  <si>
    <t>成交单价</t>
  </si>
  <si>
    <t>评估单价</t>
  </si>
  <si>
    <t>评估总价</t>
  </si>
  <si>
    <t>估价时点</t>
  </si>
  <si>
    <t>虎坊路24号楼③-4-8</t>
  </si>
  <si>
    <t>房改房（成本价）</t>
  </si>
  <si>
    <t>虎坊路1号楼2层①-2-3</t>
  </si>
  <si>
    <t>虎坊路14号楼4层①-4-12</t>
  </si>
  <si>
    <t>虎坊路29号楼③-4-402</t>
  </si>
  <si>
    <t>虎坊路17号楼⑤-2-5</t>
  </si>
  <si>
    <t>虎坊路小区</t>
  </si>
  <si>
    <t>虎坊路2号楼4层①-4-8</t>
  </si>
  <si>
    <t>虎坊路3号楼②-4-11</t>
  </si>
  <si>
    <t>虎坊路11号楼3层①-3-4</t>
  </si>
  <si>
    <t>虎坊路17号楼3层④-3-7</t>
  </si>
  <si>
    <t>虎坊路6号楼1层②-1-1</t>
  </si>
  <si>
    <t>五十</t>
  </si>
  <si>
    <t>虎坊路2号楼①-3-5</t>
  </si>
  <si>
    <t>虎坊路19号楼2层③-2-3</t>
  </si>
  <si>
    <t>虎坊路29号楼②-1-102</t>
  </si>
  <si>
    <t>虎坊路12号楼2层③-2-4</t>
  </si>
  <si>
    <t>虎坊路23号楼2层③-2-4号</t>
  </si>
  <si>
    <t>虎坊路29号楼⑤-6-601号</t>
  </si>
  <si>
    <t>6（0）</t>
  </si>
  <si>
    <t>城镇住宅用地</t>
  </si>
  <si>
    <t>自定义容积率</t>
  </si>
  <si>
    <t>与级别开发程度一致</t>
  </si>
  <si>
    <t>500-1000米</t>
  </si>
  <si>
    <t>收益法 (元)</t>
  </si>
  <si>
    <t>虎坊路小区</t>
    <phoneticPr fontId="3" type="noConversion"/>
  </si>
  <si>
    <t>较好</t>
  </si>
  <si>
    <t>一般</t>
  </si>
  <si>
    <t>好</t>
  </si>
  <si>
    <t>未包含在土地购买价格中</t>
  </si>
  <si>
    <t>已包含在土地取得成本中</t>
  </si>
  <si>
    <t>押一</t>
  </si>
  <si>
    <t>砖混</t>
  </si>
  <si>
    <t>非生产用房</t>
  </si>
  <si>
    <t>否</t>
  </si>
  <si>
    <t>比较法-住宅</t>
  </si>
  <si>
    <t>单套模式</t>
  </si>
  <si>
    <t>售价</t>
  </si>
  <si>
    <t>3/5</t>
    <phoneticPr fontId="24" type="noConversion"/>
  </si>
  <si>
    <t>4/4</t>
    <phoneticPr fontId="24" type="noConversion"/>
  </si>
  <si>
    <t>3/4</t>
    <phoneticPr fontId="24" type="noConversion"/>
  </si>
  <si>
    <t>1/4</t>
    <phoneticPr fontId="24" type="noConversion"/>
  </si>
  <si>
    <r>
      <t>1</t>
    </r>
    <r>
      <rPr>
        <sz val="11"/>
        <color theme="1"/>
        <rFont val="宋体"/>
        <family val="3"/>
        <charset val="134"/>
        <scheme val="minor"/>
      </rPr>
      <t>/4</t>
    </r>
    <phoneticPr fontId="134" type="noConversion"/>
  </si>
  <si>
    <r>
      <t>2</t>
    </r>
    <r>
      <rPr>
        <sz val="11"/>
        <color theme="1"/>
        <rFont val="宋体"/>
        <family val="3"/>
        <charset val="134"/>
        <scheme val="minor"/>
      </rPr>
      <t>/4</t>
    </r>
    <phoneticPr fontId="134" type="noConversion"/>
  </si>
  <si>
    <t>3/4</t>
    <phoneticPr fontId="134" type="noConversion"/>
  </si>
  <si>
    <r>
      <t>4</t>
    </r>
    <r>
      <rPr>
        <sz val="11"/>
        <color theme="1"/>
        <rFont val="宋体"/>
        <family val="3"/>
        <charset val="134"/>
        <scheme val="minor"/>
      </rPr>
      <t>/4</t>
    </r>
    <phoneticPr fontId="134" type="noConversion"/>
  </si>
  <si>
    <r>
      <t>1</t>
    </r>
    <r>
      <rPr>
        <sz val="11"/>
        <color theme="1"/>
        <rFont val="宋体"/>
        <family val="3"/>
        <charset val="134"/>
        <scheme val="minor"/>
      </rPr>
      <t>/5</t>
    </r>
    <phoneticPr fontId="134" type="noConversion"/>
  </si>
  <si>
    <r>
      <t>2</t>
    </r>
    <r>
      <rPr>
        <sz val="11"/>
        <color theme="1"/>
        <rFont val="宋体"/>
        <family val="3"/>
        <charset val="134"/>
        <scheme val="minor"/>
      </rPr>
      <t>/5</t>
    </r>
    <phoneticPr fontId="134" type="noConversion"/>
  </si>
  <si>
    <r>
      <t>3</t>
    </r>
    <r>
      <rPr>
        <sz val="11"/>
        <color theme="1"/>
        <rFont val="宋体"/>
        <family val="3"/>
        <charset val="134"/>
        <scheme val="minor"/>
      </rPr>
      <t>/5</t>
    </r>
    <phoneticPr fontId="134" type="noConversion"/>
  </si>
  <si>
    <t>楼层</t>
    <phoneticPr fontId="24" type="noConversion"/>
  </si>
  <si>
    <t>南北</t>
  </si>
  <si>
    <t>南北</t>
    <phoneticPr fontId="134" type="noConversion"/>
  </si>
  <si>
    <t>南北</t>
    <phoneticPr fontId="24" type="noConversion"/>
  </si>
  <si>
    <t>西北</t>
  </si>
  <si>
    <t>西北</t>
    <phoneticPr fontId="24" type="noConversion"/>
  </si>
  <si>
    <t>《北京市住房和城乡建设委员会关于印发&lt;北京市国有土地上房屋征收评估暂行办法&gt;的通知》[京建法〔2016〕19号]</t>
  </si>
  <si>
    <t>朝向</t>
  </si>
  <si>
    <t>南</t>
  </si>
  <si>
    <t>东南</t>
  </si>
  <si>
    <t>西南</t>
  </si>
  <si>
    <t>东西</t>
  </si>
  <si>
    <t>东</t>
  </si>
  <si>
    <t>西</t>
  </si>
  <si>
    <t>东北</t>
  </si>
  <si>
    <t xml:space="preserve"> 北</t>
  </si>
  <si>
    <t>修正</t>
  </si>
  <si>
    <t>系数</t>
  </si>
  <si>
    <t>正常</t>
  </si>
  <si>
    <t>住宅</t>
    <phoneticPr fontId="24" type="noConversion"/>
  </si>
  <si>
    <t>一般装修</t>
  </si>
  <si>
    <t>一般装修</t>
    <phoneticPr fontId="24" type="noConversion"/>
  </si>
  <si>
    <t>房屋性质</t>
    <phoneticPr fontId="24" type="noConversion"/>
  </si>
  <si>
    <t>商品房</t>
    <phoneticPr fontId="24" type="noConversion"/>
  </si>
  <si>
    <t>成本价</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</si>
</sst>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color rgb="FF333333"/>
      <name val="Microsoft YaHei"/>
      <family val="2"/>
      <charset val="134"/>
    </font>
    <font>
      <sz val="9"/>
      <color rgb="FF000000"/>
      <name val="Microsoft YaHei"/>
      <family val="2"/>
      <charset val="134"/>
    </font>
    <font>
      <sz val="9"/>
      <color rgb="FFFF0000"/>
      <name val="Microsoft YaHei"/>
      <family val="2"/>
      <charset val="134"/>
    </font>
    <font>
      <sz val="9"/>
      <name val="Microsoft YaHei"/>
      <family val="2"/>
      <charset val="134"/>
    </font>
    <font>
      <sz val="11"/>
      <name val="宋体"/>
      <family val="3"/>
      <charset val="134"/>
      <scheme val="minor"/>
    </font>
    <font>
      <sz val="14"/>
      <color theme="1"/>
      <name val="仿宋_GB2312"/>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CCCCCC"/>
      </left>
      <right style="medium">
        <color rgb="FFCCCCCC"/>
      </right>
      <top style="medium">
        <color rgb="FFCCCCCC"/>
      </top>
      <bottom style="medium">
        <color rgb="FFCCCCCC"/>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70" fillId="0" borderId="176" xfId="0" applyFont="1" applyBorder="1" applyAlignment="1">
      <alignment horizontal="center" vertical="center" wrapText="1"/>
    </xf>
    <xf numFmtId="0" fontId="272" fillId="0" borderId="176" xfId="0" applyFont="1" applyBorder="1" applyAlignment="1">
      <alignment horizontal="center" vertical="center" wrapText="1"/>
    </xf>
    <xf numFmtId="31" fontId="272" fillId="0" borderId="176" xfId="0" applyNumberFormat="1" applyFont="1" applyBorder="1" applyAlignment="1">
      <alignment horizontal="center" vertical="center" wrapText="1"/>
    </xf>
    <xf numFmtId="0" fontId="273" fillId="0" borderId="0" xfId="0" applyFont="1">
      <alignment vertical="center"/>
    </xf>
    <xf numFmtId="0" fontId="271" fillId="0" borderId="176" xfId="0" applyFont="1" applyBorder="1" applyAlignment="1">
      <alignment horizontal="center" vertical="center" wrapText="1"/>
    </xf>
    <xf numFmtId="31" fontId="271" fillId="0" borderId="176" xfId="0" applyNumberFormat="1" applyFont="1" applyBorder="1" applyAlignment="1">
      <alignment horizontal="center" vertical="center" wrapText="1"/>
    </xf>
    <xf numFmtId="0" fontId="269" fillId="0" borderId="176" xfId="0" applyFont="1" applyBorder="1" applyAlignment="1">
      <alignment horizontal="center" vertical="center" wrapText="1"/>
    </xf>
    <xf numFmtId="31" fontId="269" fillId="0" borderId="176" xfId="0" applyNumberFormat="1" applyFont="1" applyBorder="1" applyAlignment="1">
      <alignment horizontal="center" vertical="center" wrapText="1"/>
    </xf>
    <xf numFmtId="0" fontId="0" fillId="5" borderId="0" xfId="0" applyFill="1">
      <alignment vertical="center"/>
    </xf>
    <xf numFmtId="17" fontId="0" fillId="0" borderId="0" xfId="0" applyNumberFormat="1">
      <alignment vertical="center"/>
    </xf>
    <xf numFmtId="189" fontId="44" fillId="6" borderId="9" xfId="0" applyNumberFormat="1" applyFont="1" applyFill="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49" fontId="0" fillId="0" borderId="0" xfId="0" applyNumberFormat="1">
      <alignment vertical="center"/>
    </xf>
    <xf numFmtId="49" fontId="95" fillId="0" borderId="0" xfId="0" applyNumberFormat="1" applyFont="1">
      <alignment vertical="center"/>
    </xf>
    <xf numFmtId="49" fontId="44" fillId="0" borderId="44" xfId="0" applyNumberFormat="1"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274" fillId="0" borderId="82" xfId="0" applyFont="1" applyBorder="1" applyAlignment="1">
      <alignment horizontal="center" vertical="center" wrapText="1"/>
    </xf>
    <xf numFmtId="0" fontId="274" fillId="0" borderId="65" xfId="0" applyFont="1" applyBorder="1" applyAlignment="1">
      <alignment horizontal="center" vertical="center" wrapText="1"/>
    </xf>
    <xf numFmtId="0" fontId="274" fillId="0" borderId="80" xfId="0" applyFont="1" applyBorder="1" applyAlignment="1">
      <alignment horizontal="center" vertical="center" wrapText="1"/>
    </xf>
    <xf numFmtId="0" fontId="274" fillId="0" borderId="81" xfId="0" applyFont="1" applyBorder="1" applyAlignment="1">
      <alignment horizontal="center" vertical="center" wrapText="1"/>
    </xf>
    <xf numFmtId="0" fontId="128" fillId="0" borderId="51" xfId="0" applyFont="1" applyBorder="1" applyAlignment="1" applyProtection="1">
      <alignment horizontal="center" vertical="center" wrapText="1"/>
      <protection locked="0"/>
    </xf>
    <xf numFmtId="14" fontId="47" fillId="6" borderId="0" xfId="0" applyNumberFormat="1" applyFont="1" applyFill="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9" fontId="274" fillId="0" borderId="27" xfId="0" applyNumberFormat="1" applyFont="1" applyBorder="1" applyAlignment="1">
      <alignment horizontal="center" vertical="center" wrapText="1"/>
    </xf>
    <xf numFmtId="9" fontId="274" fillId="0" borderId="81" xfId="0" applyNumberFormat="1" applyFont="1" applyBorder="1" applyAlignment="1">
      <alignment horizontal="center" vertical="center" wrapText="1"/>
    </xf>
    <xf numFmtId="10" fontId="274" fillId="0" borderId="27" xfId="0" applyNumberFormat="1" applyFont="1" applyBorder="1" applyAlignment="1">
      <alignment horizontal="center" vertical="center" wrapText="1"/>
    </xf>
    <xf numFmtId="10" fontId="274" fillId="0" borderId="81" xfId="0" applyNumberFormat="1" applyFont="1" applyBorder="1" applyAlignment="1">
      <alignment horizontal="center" vertical="center" wrapText="1"/>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179" fontId="52" fillId="22" borderId="24" xfId="0" applyNumberFormat="1" applyFont="1" applyFill="1" applyBorder="1" applyAlignment="1">
      <alignment horizontal="center" vertical="center"/>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200025</xdr:colOff>
      <xdr:row>1</xdr:row>
      <xdr:rowOff>104775</xdr:rowOff>
    </xdr:from>
    <xdr:to>
      <xdr:col>23</xdr:col>
      <xdr:colOff>399425</xdr:colOff>
      <xdr:row>12</xdr:row>
      <xdr:rowOff>94718</xdr:rowOff>
    </xdr:to>
    <xdr:pic>
      <xdr:nvPicPr>
        <xdr:cNvPr id="2" name="图片 1">
          <a:extLst>
            <a:ext uri="{FF2B5EF4-FFF2-40B4-BE49-F238E27FC236}">
              <a16:creationId xmlns:a16="http://schemas.microsoft.com/office/drawing/2014/main" id="{E93F5948-F780-3C36-04C2-5B2EADB1F02D}"/>
            </a:ext>
          </a:extLst>
        </xdr:cNvPr>
        <xdr:cNvPicPr>
          <a:picLocks noChangeAspect="1"/>
        </xdr:cNvPicPr>
      </xdr:nvPicPr>
      <xdr:blipFill>
        <a:blip xmlns:r="http://schemas.openxmlformats.org/officeDocument/2006/relationships" r:embed="rId1"/>
        <a:stretch>
          <a:fillRect/>
        </a:stretch>
      </xdr:blipFill>
      <xdr:spPr>
        <a:xfrm>
          <a:off x="11401425" y="285750"/>
          <a:ext cx="5000000" cy="4257143"/>
        </a:xfrm>
        <a:prstGeom prst="rect">
          <a:avLst/>
        </a:prstGeom>
      </xdr:spPr>
    </xdr:pic>
    <xdr:clientData/>
  </xdr:twoCellAnchor>
  <xdr:twoCellAnchor editAs="oneCell">
    <xdr:from>
      <xdr:col>0</xdr:col>
      <xdr:colOff>0</xdr:colOff>
      <xdr:row>18</xdr:row>
      <xdr:rowOff>533400</xdr:rowOff>
    </xdr:from>
    <xdr:to>
      <xdr:col>8</xdr:col>
      <xdr:colOff>235467</xdr:colOff>
      <xdr:row>43</xdr:row>
      <xdr:rowOff>142132</xdr:rowOff>
    </xdr:to>
    <xdr:pic>
      <xdr:nvPicPr>
        <xdr:cNvPr id="3" name="图片 2">
          <a:extLst>
            <a:ext uri="{FF2B5EF4-FFF2-40B4-BE49-F238E27FC236}">
              <a16:creationId xmlns:a16="http://schemas.microsoft.com/office/drawing/2014/main" id="{84DC193A-4B99-4727-908E-A4D398B7C292}"/>
            </a:ext>
          </a:extLst>
        </xdr:cNvPr>
        <xdr:cNvPicPr>
          <a:picLocks noChangeAspect="1"/>
        </xdr:cNvPicPr>
      </xdr:nvPicPr>
      <xdr:blipFill>
        <a:blip xmlns:r="http://schemas.openxmlformats.org/officeDocument/2006/relationships" r:embed="rId2"/>
        <a:stretch>
          <a:fillRect/>
        </a:stretch>
      </xdr:blipFill>
      <xdr:spPr>
        <a:xfrm>
          <a:off x="0" y="7391400"/>
          <a:ext cx="5721867" cy="4275982"/>
        </a:xfrm>
        <a:prstGeom prst="rect">
          <a:avLst/>
        </a:prstGeom>
      </xdr:spPr>
    </xdr:pic>
    <xdr:clientData/>
  </xdr:twoCellAnchor>
  <xdr:twoCellAnchor editAs="oneCell">
    <xdr:from>
      <xdr:col>8</xdr:col>
      <xdr:colOff>123824</xdr:colOff>
      <xdr:row>20</xdr:row>
      <xdr:rowOff>114300</xdr:rowOff>
    </xdr:from>
    <xdr:to>
      <xdr:col>14</xdr:col>
      <xdr:colOff>522873</xdr:colOff>
      <xdr:row>40</xdr:row>
      <xdr:rowOff>63097</xdr:rowOff>
    </xdr:to>
    <xdr:pic>
      <xdr:nvPicPr>
        <xdr:cNvPr id="4" name="图片 3">
          <a:extLst>
            <a:ext uri="{FF2B5EF4-FFF2-40B4-BE49-F238E27FC236}">
              <a16:creationId xmlns:a16="http://schemas.microsoft.com/office/drawing/2014/main" id="{D08DDEFC-47AD-4249-AA6E-2DE6BBE71234}"/>
            </a:ext>
          </a:extLst>
        </xdr:cNvPr>
        <xdr:cNvPicPr>
          <a:picLocks noChangeAspect="1"/>
        </xdr:cNvPicPr>
      </xdr:nvPicPr>
      <xdr:blipFill>
        <a:blip xmlns:r="http://schemas.openxmlformats.org/officeDocument/2006/relationships" r:embed="rId3"/>
        <a:stretch>
          <a:fillRect/>
        </a:stretch>
      </xdr:blipFill>
      <xdr:spPr>
        <a:xfrm>
          <a:off x="5610224" y="7696200"/>
          <a:ext cx="4742449" cy="3377797"/>
        </a:xfrm>
        <a:prstGeom prst="rect">
          <a:avLst/>
        </a:prstGeom>
      </xdr:spPr>
    </xdr:pic>
    <xdr:clientData/>
  </xdr:twoCellAnchor>
  <xdr:twoCellAnchor editAs="oneCell">
    <xdr:from>
      <xdr:col>14</xdr:col>
      <xdr:colOff>28575</xdr:colOff>
      <xdr:row>18</xdr:row>
      <xdr:rowOff>333375</xdr:rowOff>
    </xdr:from>
    <xdr:to>
      <xdr:col>19</xdr:col>
      <xdr:colOff>428146</xdr:colOff>
      <xdr:row>35</xdr:row>
      <xdr:rowOff>37725</xdr:rowOff>
    </xdr:to>
    <xdr:pic>
      <xdr:nvPicPr>
        <xdr:cNvPr id="5" name="图片 4">
          <a:extLst>
            <a:ext uri="{FF2B5EF4-FFF2-40B4-BE49-F238E27FC236}">
              <a16:creationId xmlns:a16="http://schemas.microsoft.com/office/drawing/2014/main" id="{2E4CAE04-DE59-341B-B8EC-573EC1DF142E}"/>
            </a:ext>
          </a:extLst>
        </xdr:cNvPr>
        <xdr:cNvPicPr>
          <a:picLocks noChangeAspect="1"/>
        </xdr:cNvPicPr>
      </xdr:nvPicPr>
      <xdr:blipFill>
        <a:blip xmlns:r="http://schemas.openxmlformats.org/officeDocument/2006/relationships" r:embed="rId4"/>
        <a:stretch>
          <a:fillRect/>
        </a:stretch>
      </xdr:blipFill>
      <xdr:spPr>
        <a:xfrm>
          <a:off x="10001250" y="7191375"/>
          <a:ext cx="3828571" cy="3000000"/>
        </a:xfrm>
        <a:prstGeom prst="rect">
          <a:avLst/>
        </a:prstGeom>
      </xdr:spPr>
    </xdr:pic>
    <xdr:clientData/>
  </xdr:twoCellAnchor>
  <xdr:twoCellAnchor editAs="oneCell">
    <xdr:from>
      <xdr:col>0</xdr:col>
      <xdr:colOff>0</xdr:colOff>
      <xdr:row>43</xdr:row>
      <xdr:rowOff>47625</xdr:rowOff>
    </xdr:from>
    <xdr:to>
      <xdr:col>8</xdr:col>
      <xdr:colOff>359735</xdr:colOff>
      <xdr:row>67</xdr:row>
      <xdr:rowOff>189780</xdr:rowOff>
    </xdr:to>
    <xdr:pic>
      <xdr:nvPicPr>
        <xdr:cNvPr id="6" name="图片 5">
          <a:extLst>
            <a:ext uri="{FF2B5EF4-FFF2-40B4-BE49-F238E27FC236}">
              <a16:creationId xmlns:a16="http://schemas.microsoft.com/office/drawing/2014/main" id="{52149CAB-B411-6ACA-17E6-74CFD4D8E13C}"/>
            </a:ext>
          </a:extLst>
        </xdr:cNvPr>
        <xdr:cNvPicPr>
          <a:picLocks noChangeAspect="1"/>
        </xdr:cNvPicPr>
      </xdr:nvPicPr>
      <xdr:blipFill>
        <a:blip xmlns:r="http://schemas.openxmlformats.org/officeDocument/2006/relationships" r:embed="rId5"/>
        <a:stretch>
          <a:fillRect/>
        </a:stretch>
      </xdr:blipFill>
      <xdr:spPr>
        <a:xfrm>
          <a:off x="0" y="11572875"/>
          <a:ext cx="5846135" cy="4266480"/>
        </a:xfrm>
        <a:prstGeom prst="rect">
          <a:avLst/>
        </a:prstGeom>
      </xdr:spPr>
    </xdr:pic>
    <xdr:clientData/>
  </xdr:twoCellAnchor>
  <xdr:twoCellAnchor editAs="oneCell">
    <xdr:from>
      <xdr:col>0</xdr:col>
      <xdr:colOff>0</xdr:colOff>
      <xdr:row>72</xdr:row>
      <xdr:rowOff>0</xdr:rowOff>
    </xdr:from>
    <xdr:to>
      <xdr:col>9</xdr:col>
      <xdr:colOff>342086</xdr:colOff>
      <xdr:row>94</xdr:row>
      <xdr:rowOff>28100</xdr:rowOff>
    </xdr:to>
    <xdr:pic>
      <xdr:nvPicPr>
        <xdr:cNvPr id="7" name="图片 6">
          <a:extLst>
            <a:ext uri="{FF2B5EF4-FFF2-40B4-BE49-F238E27FC236}">
              <a16:creationId xmlns:a16="http://schemas.microsoft.com/office/drawing/2014/main" id="{08CB75AD-5929-AF45-8078-6008F6E949E0}"/>
            </a:ext>
          </a:extLst>
        </xdr:cNvPr>
        <xdr:cNvPicPr>
          <a:picLocks noChangeAspect="1"/>
        </xdr:cNvPicPr>
      </xdr:nvPicPr>
      <xdr:blipFill>
        <a:blip xmlns:r="http://schemas.openxmlformats.org/officeDocument/2006/relationships" r:embed="rId6"/>
        <a:stretch>
          <a:fillRect/>
        </a:stretch>
      </xdr:blipFill>
      <xdr:spPr>
        <a:xfrm>
          <a:off x="0" y="16497300"/>
          <a:ext cx="6514286" cy="3800000"/>
        </a:xfrm>
        <a:prstGeom prst="rect">
          <a:avLst/>
        </a:prstGeom>
      </xdr:spPr>
    </xdr:pic>
    <xdr:clientData/>
  </xdr:twoCellAnchor>
  <xdr:twoCellAnchor editAs="oneCell">
    <xdr:from>
      <xdr:col>7</xdr:col>
      <xdr:colOff>266700</xdr:colOff>
      <xdr:row>53</xdr:row>
      <xdr:rowOff>104775</xdr:rowOff>
    </xdr:from>
    <xdr:to>
      <xdr:col>13</xdr:col>
      <xdr:colOff>656673</xdr:colOff>
      <xdr:row>70</xdr:row>
      <xdr:rowOff>152001</xdr:rowOff>
    </xdr:to>
    <xdr:pic>
      <xdr:nvPicPr>
        <xdr:cNvPr id="8" name="图片 7">
          <a:extLst>
            <a:ext uri="{FF2B5EF4-FFF2-40B4-BE49-F238E27FC236}">
              <a16:creationId xmlns:a16="http://schemas.microsoft.com/office/drawing/2014/main" id="{91617D43-DAC9-39EF-D7A4-E6F5099BF447}"/>
            </a:ext>
          </a:extLst>
        </xdr:cNvPr>
        <xdr:cNvPicPr>
          <a:picLocks noChangeAspect="1"/>
        </xdr:cNvPicPr>
      </xdr:nvPicPr>
      <xdr:blipFill>
        <a:blip xmlns:r="http://schemas.openxmlformats.org/officeDocument/2006/relationships" r:embed="rId7"/>
        <a:stretch>
          <a:fillRect/>
        </a:stretch>
      </xdr:blipFill>
      <xdr:spPr>
        <a:xfrm>
          <a:off x="5067300" y="13344525"/>
          <a:ext cx="4419048" cy="31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北京市房地产市场价值预评估</v>
      </c>
    </row>
    <row r="3" spans="1:2">
      <c r="A3" s="1118" t="s">
        <v>523</v>
      </c>
      <c r="B3" s="1119">
        <f>'预评函-封皮'!B40</f>
        <v>0</v>
      </c>
    </row>
    <row r="4" spans="1:2">
      <c r="A4" s="1118" t="s">
        <v>524</v>
      </c>
      <c r="B4" s="1119" t="str">
        <f>'预评函-封皮'!B46</f>
        <v>（注册号：0)、（注册号：0)</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受贵公司委托，我公司对北京市房地产市场价值进行了预评估。</v>
      </c>
    </row>
    <row r="7" spans="1:2">
      <c r="A7" s="1118" t="s">
        <v>566</v>
      </c>
      <c r="B7" s="1119" t="str">
        <f>'预评函-1'!A7</f>
        <v>估价对象为北京市房地产，为所有。根据《国有土地使用证》[]，估价对象（分摊）出让国有建设用地使用权面积为0平方米，建筑面积为44.28平方米。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估价对象为北京市房地产,属开发建设的，该项目尚在开发建设中。根据《国有土地使用证》[]，估价对象（分摊）出让国有建设用地使用权面积为0平方米，规划建筑面积为44.28平方米。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为估价委托人了解估价对象房地产市场价值提供参考依据。</v>
      </c>
    </row>
    <row r="12" spans="1:2">
      <c r="A12" s="1118" t="s">
        <v>528</v>
      </c>
      <c r="B12" s="1119" t="str">
        <f>'预评函-1'!A15</f>
        <v>2024年1月10日（评估专业人员实地查勘之日）</v>
      </c>
    </row>
    <row r="13" spans="1:2">
      <c r="A13" s="1118" t="s">
        <v>529</v>
      </c>
      <c r="B13" s="1119" t="str">
        <f>'预评函-1'!A18</f>
        <v>本次估价的“房地产价值”是指在正常市场情况下，在价值时点2024年1月10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v>
      </c>
    </row>
    <row r="16" spans="1:2">
      <c r="A16" s="1118" t="s">
        <v>532</v>
      </c>
      <c r="B16" s="1119" t="str">
        <f>'预评函-1'!A21</f>
        <v>——</v>
      </c>
    </row>
    <row r="17" spans="1:2">
      <c r="A17" s="1118" t="s">
        <v>533</v>
      </c>
      <c r="B17" s="1119" t="str">
        <f>'预评函-1'!A22</f>
        <v>——</v>
      </c>
    </row>
    <row r="18" spans="1:2" s="1114" customFormat="1" ht="15" thickBot="1">
      <c r="A18" s="1121" t="s">
        <v>534</v>
      </c>
      <c r="B18" s="1122" t="str">
        <f>'预评函-1'!A24</f>
        <v>本次评估采用的主估价方法为收益法和比较法。</v>
      </c>
    </row>
    <row r="19" spans="1:2" s="1117" customFormat="1" ht="15" thickTop="1">
      <c r="A19" s="1115" t="s">
        <v>535</v>
      </c>
      <c r="B19" s="111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8" t="s">
        <v>536</v>
      </c>
      <c r="B20" s="1119" t="e">
        <f ca="1">'预评函-2'!D5</f>
        <v>#REF!</v>
      </c>
    </row>
    <row r="21" spans="1:2">
      <c r="A21" s="1118" t="s">
        <v>537</v>
      </c>
      <c r="B21" s="1119" t="e">
        <f ca="1">'预评函-2'!D7</f>
        <v>#REF!</v>
      </c>
    </row>
    <row r="22" spans="1:2">
      <c r="A22" s="1118" t="s">
        <v>538</v>
      </c>
      <c r="B22" s="1119" t="e">
        <f ca="1">'预评函-2'!D6</f>
        <v>#REF!</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t="e">
        <f ca="1">'预评函-2'!D13</f>
        <v>#REF!</v>
      </c>
    </row>
    <row r="31" spans="1:2">
      <c r="A31" s="1118" t="s">
        <v>576</v>
      </c>
      <c r="B31" s="1119" t="e">
        <f ca="1">'预评函-2'!D15</f>
        <v>#REF!</v>
      </c>
    </row>
    <row r="32" spans="1:2">
      <c r="A32" s="1118" t="s">
        <v>543</v>
      </c>
      <c r="B32" s="1119" t="e">
        <f ca="1">'预评函-2'!D14</f>
        <v>#REF!</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北京市房地产</v>
      </c>
    </row>
    <row r="42" spans="1:2">
      <c r="A42" s="1118" t="s">
        <v>590</v>
      </c>
      <c r="B42" s="1119" t="str">
        <f>'预评函-3'!B2</f>
        <v>建筑面积</v>
      </c>
    </row>
    <row r="43" spans="1:2">
      <c r="A43" s="1118" t="s">
        <v>591</v>
      </c>
      <c r="B43" s="1119">
        <f>'预评函-3'!B4</f>
        <v>44.28</v>
      </c>
    </row>
    <row r="44" spans="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t="e">
        <f ca="1">'预评函-3'!D4</f>
        <v>#REF!</v>
      </c>
    </row>
    <row r="48" spans="1:2">
      <c r="A48" s="1118" t="s">
        <v>549</v>
      </c>
      <c r="B48" s="1119" t="e">
        <f ca="1">'预评函-3'!E4</f>
        <v>#REF!</v>
      </c>
    </row>
    <row r="49" spans="1:2">
      <c r="A49" s="1118" t="s">
        <v>550</v>
      </c>
      <c r="B49" s="1119" t="e">
        <f ca="1">'预评函-3'!D5</f>
        <v>#REF!</v>
      </c>
    </row>
    <row r="50" spans="1:2">
      <c r="A50" s="1118" t="s">
        <v>574</v>
      </c>
      <c r="B50" s="1119" t="str">
        <f>'预评函-3'!F2</f>
        <v>在建建筑物价值</v>
      </c>
    </row>
    <row r="51" spans="1:2">
      <c r="A51" s="1118" t="s">
        <v>551</v>
      </c>
      <c r="B51" s="1119" t="e">
        <f ca="1">'预评函-3'!F4</f>
        <v>#REF!</v>
      </c>
    </row>
    <row r="52" spans="1:2">
      <c r="A52" s="1118" t="s">
        <v>552</v>
      </c>
      <c r="B52" s="1119" t="e">
        <f ca="1">'预评函-3'!G4</f>
        <v>#REF!</v>
      </c>
    </row>
    <row r="53" spans="1:2">
      <c r="A53" s="1118" t="s">
        <v>580</v>
      </c>
      <c r="B53" s="1119" t="e">
        <f ca="1">'预评函-3'!F5</f>
        <v>#REF!</v>
      </c>
    </row>
    <row r="54" spans="1:2">
      <c r="A54" s="1118" t="s">
        <v>598</v>
      </c>
      <c r="B54" s="1119" t="str">
        <f>'预评函-3'!A8</f>
        <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
      </c>
    </row>
    <row r="58" spans="1:2" s="1117" customFormat="1" ht="15" thickTop="1">
      <c r="A58" s="1115" t="s">
        <v>553</v>
      </c>
      <c r="B58" s="1116" t="str">
        <f>'预评函-4'!A12</f>
        <v>2.本次评估设定估价对象房地产权属无争议，未被查封或者以其他形式限制其房地产权利，未设定抵押权等他项权利，不涉及第三方权利义务。</v>
      </c>
    </row>
    <row r="59" spans="1:2">
      <c r="A59" s="1118" t="s">
        <v>554</v>
      </c>
      <c r="B59" s="1119" t="str">
        <f>'预评函-4'!A13</f>
        <v>——</v>
      </c>
    </row>
    <row r="60" spans="1:2">
      <c r="A60" s="1118" t="s">
        <v>555</v>
      </c>
      <c r="B60" s="1119" t="str">
        <f>'预评函-4'!A14</f>
        <v>——</v>
      </c>
    </row>
    <row r="61" spans="1:2">
      <c r="A61" s="1118" t="s">
        <v>556</v>
      </c>
      <c r="B61" s="1119" t="str">
        <f>'预评函-4'!A15</f>
        <v>——</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v>
      </c>
    </row>
    <row r="65" spans="1:2">
      <c r="A65" s="1118" t="s">
        <v>559</v>
      </c>
      <c r="B65" s="111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f>'预评函-4'!A4</f>
        <v>0</v>
      </c>
    </row>
    <row r="71" spans="1:2">
      <c r="A71" s="1118" t="s">
        <v>563</v>
      </c>
      <c r="B71" s="1119">
        <f>'预评函-4'!B4</f>
        <v>0</v>
      </c>
    </row>
    <row r="72" spans="1:2">
      <c r="A72" s="1118" t="s">
        <v>564</v>
      </c>
      <c r="B72" s="1126">
        <f>'预评函-4'!A5</f>
        <v>0</v>
      </c>
    </row>
    <row r="73" spans="1:2" s="1114" customFormat="1" ht="15" thickBot="1">
      <c r="A73" s="1121" t="s">
        <v>565</v>
      </c>
      <c r="B73" s="1122">
        <f>'预评函-4'!B5</f>
        <v>0</v>
      </c>
    </row>
    <row r="74" spans="1:2" ht="15"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67" t="str">
        <f>项目基本情况!B1</f>
        <v>北京市房地产市场价值预评估</v>
      </c>
      <c r="C37" s="3167"/>
      <c r="D37" s="3167"/>
      <c r="E37" s="3167"/>
      <c r="F37" s="3167"/>
      <c r="G37" s="3167"/>
      <c r="H37" s="3167"/>
      <c r="I37" s="3167"/>
    </row>
    <row r="38" spans="1:9">
      <c r="A38" s="794"/>
      <c r="B38" s="794"/>
    </row>
    <row r="39" spans="1:9">
      <c r="A39" s="792" t="s">
        <v>371</v>
      </c>
      <c r="B39" s="792" t="s">
        <v>373</v>
      </c>
    </row>
    <row r="40" spans="1:9">
      <c r="A40" s="792"/>
      <c r="B40" s="1377">
        <f>项目基本情况!B5</f>
        <v>0</v>
      </c>
    </row>
    <row r="41" spans="1:9">
      <c r="A41" s="792"/>
      <c r="B41" s="792"/>
    </row>
    <row r="42" spans="1:9">
      <c r="A42" s="792" t="s">
        <v>371</v>
      </c>
      <c r="B42" s="792" t="s">
        <v>374</v>
      </c>
    </row>
    <row r="43" spans="1:9">
      <c r="A43" s="792"/>
      <c r="B43" s="1377" t="s">
        <v>375</v>
      </c>
    </row>
    <row r="44" spans="1:9">
      <c r="A44" s="792"/>
      <c r="B44" s="792"/>
    </row>
    <row r="45" spans="1:9">
      <c r="A45" s="792" t="s">
        <v>371</v>
      </c>
      <c r="B45" s="792" t="s">
        <v>376</v>
      </c>
    </row>
    <row r="46" spans="1:9" s="792" customFormat="1" ht="12.75">
      <c r="B46" s="1377" t="str">
        <f>项目基本情况!K4</f>
        <v>（注册号：0)、（注册号：0)</v>
      </c>
    </row>
    <row r="47" spans="1:9">
      <c r="A47" s="792"/>
      <c r="B47" s="792" t="str">
        <f>项目基本情况!K5</f>
        <v>（注册号：0)、（注册号：0)</v>
      </c>
    </row>
    <row r="48" spans="1:9">
      <c r="A48" s="792" t="s">
        <v>371</v>
      </c>
      <c r="B48" s="792"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9" t="s">
        <v>898</v>
      </c>
    </row>
    <row r="3" spans="1:1" ht="18">
      <c r="A3" s="1380" t="str">
        <f>项目基本情况!B5&amp;"："</f>
        <v>：</v>
      </c>
    </row>
    <row r="4" spans="1:1" ht="18">
      <c r="A4" s="1381" t="str">
        <f>"受贵公司委托，我公司对"&amp;项目基本情况!S1&amp;"进行了预评估。"</f>
        <v>受贵公司委托，我公司对北京市房地产市场价值进行了预评估。</v>
      </c>
    </row>
    <row r="5" spans="1:1" ht="18.75">
      <c r="A5" s="1382" t="s">
        <v>899</v>
      </c>
    </row>
    <row r="6" spans="1:1" ht="18.75">
      <c r="A6" s="1383" t="s">
        <v>900</v>
      </c>
    </row>
    <row r="7" spans="1:1" ht="36">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估价对象为北京市房地产，为所有。根据《国有土地使用证》[]，估价对象（分摊）出让国有建设用地使用权面积为0平方米，建筑面积为44.28平方米。</v>
      </c>
    </row>
    <row r="8" spans="1:1" ht="57.75">
      <c r="A8" s="1384" t="s">
        <v>901</v>
      </c>
    </row>
    <row r="9" spans="1:1" ht="18.75">
      <c r="A9" s="1383" t="s">
        <v>902</v>
      </c>
    </row>
    <row r="10" spans="1:1" ht="54">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估价对象为北京市房地产,属开发建设的，该项目尚在开发建设中。根据《国有土地使用证》[]，估价对象（分摊）出让国有建设用地使用权面积为0平方米，规划建筑面积为44.28平方米。</v>
      </c>
    </row>
    <row r="11" spans="1:1" ht="76.5">
      <c r="A11" s="1384" t="s">
        <v>903</v>
      </c>
    </row>
    <row r="12" spans="1:1" ht="18.75">
      <c r="A12" s="1382" t="s">
        <v>904</v>
      </c>
    </row>
    <row r="13" spans="1:1" ht="38.25" customHeight="1">
      <c r="A13" s="1381" t="str">
        <f>IF(项目基本情况!B8="抵押",IF(项目基本情况!B5=项目基本情况!B6,定义!C51,定义!B51),定义!D51)</f>
        <v>为估价委托人了解估价对象房地产市场价值提供参考依据。</v>
      </c>
    </row>
    <row r="14" spans="1:1" ht="18.75">
      <c r="A14" s="1380" t="s">
        <v>905</v>
      </c>
    </row>
    <row r="15" spans="1:1" ht="18">
      <c r="A15" s="1385" t="str">
        <f>TEXT(项目基本情况!D3,"yyyy年m月d日;;")&amp;IF(项目基本情况!D3=项目基本情况!B3,"（评估专业人员实地查勘之日）","")</f>
        <v>2024年1月10日（评估专业人员实地查勘之日）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10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1" t="str">
        <f>IF(项目基本情况!B9="房地产市场价值","——",IF(项目基本情况!E8="房地产抵押价值",定义!C54,IF(项目基本情况!E8="已注销",定义!C55,定义!C56)))</f>
        <v>——</v>
      </c>
    </row>
    <row r="21" spans="1:1" ht="18">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1" t="str">
        <f>IF(项目基本情况!B9="房地产市场价值","——",IF(项目基本情况!E9="——","",定义!C57))</f>
        <v>——</v>
      </c>
    </row>
    <row r="23" spans="1:1" ht="18.75">
      <c r="A23" s="1380" t="s">
        <v>896</v>
      </c>
    </row>
    <row r="24" spans="1:1" ht="18">
      <c r="A24" s="1386" t="str">
        <f>"本次评估采用的主估价方法为"&amp;结果表!K4&amp;"和"&amp;结果表!L4&amp;"。"</f>
        <v>本次评估采用的主估价方法为收益法和比较法。</v>
      </c>
    </row>
    <row r="25" spans="1:1" ht="18">
      <c r="A25" s="1386"/>
    </row>
    <row r="26" spans="1:1" ht="18.75">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1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72"/>
      <c r="C2" s="3172"/>
      <c r="D2" s="3172"/>
      <c r="E2" s="3172"/>
    </row>
    <row r="3" spans="1:5" ht="18">
      <c r="A3" s="3173" t="str">
        <f>IF(项目基本情况!B9="房地产市场价值","估价结果一览表（市场价值不需“结果表-1”）","估价结果一览表")</f>
        <v>估价结果一览表（市场价值不需“结果表-1”）</v>
      </c>
      <c r="B3" s="3173"/>
      <c r="C3" s="3173"/>
      <c r="D3" s="3173"/>
      <c r="E3" s="3173"/>
    </row>
    <row r="4" spans="1:5" ht="19.5" thickBot="1">
      <c r="A4" s="1390"/>
      <c r="B4" s="3171" t="s">
        <v>917</v>
      </c>
      <c r="C4" s="3171"/>
      <c r="D4" s="3171"/>
      <c r="E4" s="1390"/>
    </row>
    <row r="5" spans="1:5" ht="16.5" thickTop="1">
      <c r="B5" s="3169" t="s">
        <v>909</v>
      </c>
      <c r="C5" s="1391" t="s">
        <v>910</v>
      </c>
      <c r="D5" s="797" t="e">
        <f ca="1">结果表!H101</f>
        <v>#REF!</v>
      </c>
    </row>
    <row r="6" spans="1:5" ht="15.75">
      <c r="B6" s="3169"/>
      <c r="C6" s="1391" t="s">
        <v>911</v>
      </c>
      <c r="D6" s="797" t="e">
        <f ca="1">NUMBERSTRING(INT(D5*10000),2)&amp;"元整"</f>
        <v>#REF!</v>
      </c>
    </row>
    <row r="7" spans="1:5" ht="15.75">
      <c r="B7" s="3174"/>
      <c r="C7" s="1392" t="s">
        <v>912</v>
      </c>
      <c r="D7" s="798" t="e">
        <f ca="1">结果表!H102</f>
        <v>#REF!</v>
      </c>
    </row>
    <row r="8" spans="1:5" ht="15.75">
      <c r="B8" s="3175" t="str">
        <f>结果表!E103</f>
        <v>2.估价师知悉的法定优先受偿款</v>
      </c>
      <c r="C8" s="1393" t="s">
        <v>913</v>
      </c>
      <c r="D8" s="798">
        <f>结果表!H103</f>
        <v>0</v>
      </c>
    </row>
    <row r="9" spans="1:5" ht="15.75">
      <c r="B9" s="3177"/>
      <c r="C9" s="1391" t="s">
        <v>911</v>
      </c>
      <c r="D9" s="797" t="str">
        <f>NUMBERSTRING(INT(D8*10000),2)&amp;"元整"</f>
        <v>零元整</v>
      </c>
    </row>
    <row r="10" spans="1:5" ht="15">
      <c r="B10" s="1394" t="s">
        <v>916</v>
      </c>
      <c r="C10" s="1395" t="s">
        <v>914</v>
      </c>
      <c r="D10" s="799">
        <f>结果表!H104</f>
        <v>0</v>
      </c>
    </row>
    <row r="11" spans="1:5" ht="15">
      <c r="B11" s="1394" t="s">
        <v>918</v>
      </c>
      <c r="C11" s="1395" t="s">
        <v>919</v>
      </c>
      <c r="D11" s="799">
        <f>结果表!H105</f>
        <v>0</v>
      </c>
    </row>
    <row r="12" spans="1:5" ht="15">
      <c r="B12" s="1394" t="s">
        <v>920</v>
      </c>
      <c r="C12" s="1395" t="s">
        <v>919</v>
      </c>
      <c r="D12" s="799">
        <f>结果表!H106</f>
        <v>0</v>
      </c>
    </row>
    <row r="13" spans="1:5" ht="15.75">
      <c r="B13" s="3168" t="str">
        <f>结果表!E107</f>
        <v>3.房地产抵押价值</v>
      </c>
      <c r="C13" s="1396" t="s">
        <v>910</v>
      </c>
      <c r="D13" s="800" t="e">
        <f ca="1">结果表!H107</f>
        <v>#REF!</v>
      </c>
    </row>
    <row r="14" spans="1:5" ht="15.75">
      <c r="B14" s="3169"/>
      <c r="C14" s="1391" t="s">
        <v>911</v>
      </c>
      <c r="D14" s="797" t="e">
        <f ca="1">NUMBERSTRING(INT(D13*10000),2)&amp;"元整"</f>
        <v>#REF!</v>
      </c>
    </row>
    <row r="15" spans="1:5" ht="15">
      <c r="B15" s="3174"/>
      <c r="C15" s="1392" t="s">
        <v>921</v>
      </c>
      <c r="D15" s="806" t="e">
        <f ca="1">结果表!H108</f>
        <v>#REF!</v>
      </c>
    </row>
    <row r="16" spans="1:5" ht="15">
      <c r="B16" s="3175" t="str">
        <f>结果表!E109</f>
        <v>——</v>
      </c>
      <c r="C16" s="1396" t="s">
        <v>922</v>
      </c>
      <c r="D16" s="1397" t="str">
        <f>结果表!H109</f>
        <v>——</v>
      </c>
    </row>
    <row r="17" spans="1:5" ht="15.75">
      <c r="B17" s="3176"/>
      <c r="C17" s="1391" t="s">
        <v>923</v>
      </c>
      <c r="D17" s="797" t="e">
        <f>NUMBERSTRING(INT(D16*10000),2)&amp;"元整"</f>
        <v>#VALUE!</v>
      </c>
    </row>
    <row r="18" spans="1:5" ht="15">
      <c r="B18" s="3177"/>
      <c r="C18" s="1392" t="s">
        <v>912</v>
      </c>
      <c r="D18" s="806" t="str">
        <f>结果表!H110</f>
        <v>——</v>
      </c>
    </row>
    <row r="19" spans="1:5" ht="15.75">
      <c r="B19" s="3168" t="str">
        <f>结果表!E111</f>
        <v>——</v>
      </c>
      <c r="C19" s="1396" t="s">
        <v>910</v>
      </c>
      <c r="D19" s="798" t="str">
        <f>结果表!H111</f>
        <v>——</v>
      </c>
    </row>
    <row r="20" spans="1:5" ht="15.75">
      <c r="B20" s="3169"/>
      <c r="C20" s="1391" t="s">
        <v>923</v>
      </c>
      <c r="D20" s="797" t="e">
        <f>NUMBERSTRING(INT(D19*10000),2)&amp;"元整"</f>
        <v>#VALUE!</v>
      </c>
    </row>
    <row r="21" spans="1:5" ht="15.75" thickBot="1">
      <c r="B21" s="3170"/>
      <c r="C21" s="1398" t="s">
        <v>921</v>
      </c>
      <c r="D21" s="807"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85" t="str">
        <f>IF(项目基本情况!B9="房地产市场价值","估价结果一览表","结果表-2")</f>
        <v>估价结果一览表</v>
      </c>
      <c r="B1" s="3185"/>
      <c r="C1" s="3185"/>
      <c r="D1" s="3185"/>
      <c r="E1" s="3185"/>
      <c r="F1" s="3185"/>
      <c r="G1" s="3185"/>
      <c r="H1" s="3185"/>
      <c r="I1" s="3185"/>
    </row>
    <row r="2" spans="1:9" ht="30" customHeight="1" thickTop="1">
      <c r="A2" s="3186" t="s">
        <v>928</v>
      </c>
      <c r="B2" s="3186" t="s">
        <v>929</v>
      </c>
      <c r="C2" s="3186" t="s">
        <v>930</v>
      </c>
      <c r="D2" s="3186" t="str">
        <f>结果表!D116</f>
        <v>出让国有建设用地使用权价值</v>
      </c>
      <c r="E2" s="3186"/>
      <c r="F2" s="3186" t="str">
        <f>结果表!F116</f>
        <v>在建建筑物价值</v>
      </c>
      <c r="G2" s="3186"/>
      <c r="H2" s="3186" t="str">
        <f>IF(项目基本情况!B9="房地产市场价值","房地产市场价值","房地产价值")</f>
        <v>房地产市场价值</v>
      </c>
      <c r="I2" s="3186"/>
    </row>
    <row r="3" spans="1:9" ht="15">
      <c r="A3" s="3181"/>
      <c r="B3" s="3181"/>
      <c r="C3" s="3181"/>
      <c r="D3" s="801" t="s">
        <v>925</v>
      </c>
      <c r="E3" s="801" t="s">
        <v>931</v>
      </c>
      <c r="F3" s="801" t="s">
        <v>925</v>
      </c>
      <c r="G3" s="801" t="s">
        <v>926</v>
      </c>
      <c r="H3" s="801" t="s">
        <v>925</v>
      </c>
      <c r="I3" s="801" t="s">
        <v>926</v>
      </c>
    </row>
    <row r="4" spans="1:9" ht="15">
      <c r="A4" s="1402" t="str">
        <f>项目基本情况!S2</f>
        <v>北京市房地产</v>
      </c>
      <c r="B4" s="801">
        <f>项目基本情况!C17</f>
        <v>44.28</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81" t="s">
        <v>927</v>
      </c>
      <c r="B5" s="3181"/>
      <c r="C5" s="3181"/>
      <c r="D5" s="3181" t="e">
        <f ca="1">结果表!D119</f>
        <v>#REF!</v>
      </c>
      <c r="E5" s="3181"/>
      <c r="F5" s="3181" t="e">
        <f ca="1">结果表!F119</f>
        <v>#REF!</v>
      </c>
      <c r="G5" s="3181"/>
      <c r="H5" s="3181" t="e">
        <f ca="1">结果表!H119</f>
        <v>#REF!</v>
      </c>
      <c r="I5" s="3181"/>
    </row>
    <row r="6" spans="1:9" ht="15.75">
      <c r="A6" s="3180" t="str">
        <f>结果表!A120</f>
        <v/>
      </c>
      <c r="B6" s="3180"/>
      <c r="C6" s="3180"/>
      <c r="D6" s="3180">
        <f>结果表!D120</f>
        <v>0</v>
      </c>
      <c r="E6" s="3180"/>
      <c r="F6" s="3180"/>
      <c r="G6" s="3180"/>
      <c r="H6" s="3180"/>
      <c r="I6" s="3180"/>
    </row>
    <row r="7" spans="1:9" ht="15">
      <c r="A7" s="3181" t="s">
        <v>927</v>
      </c>
      <c r="B7" s="3181"/>
      <c r="C7" s="3181"/>
      <c r="D7" s="3182" t="str">
        <f>结果表!D121</f>
        <v>零元整</v>
      </c>
      <c r="E7" s="3183"/>
      <c r="F7" s="3183"/>
      <c r="G7" s="3183"/>
      <c r="H7" s="3183"/>
      <c r="I7" s="3184"/>
    </row>
    <row r="8" spans="1:9" ht="15.75">
      <c r="A8" s="3180" t="str">
        <f>结果表!A122</f>
        <v/>
      </c>
      <c r="B8" s="3180"/>
      <c r="C8" s="3180"/>
      <c r="D8" s="3180" t="e">
        <f ca="1">结果表!D122</f>
        <v>#REF!</v>
      </c>
      <c r="E8" s="3180"/>
      <c r="F8" s="3180"/>
      <c r="G8" s="3180"/>
      <c r="H8" s="3180"/>
      <c r="I8" s="3180"/>
    </row>
    <row r="9" spans="1:9" ht="15">
      <c r="A9" s="3181" t="s">
        <v>927</v>
      </c>
      <c r="B9" s="3181"/>
      <c r="C9" s="3181"/>
      <c r="D9" s="3181" t="e">
        <f ca="1">结果表!D123</f>
        <v>#REF!</v>
      </c>
      <c r="E9" s="3181"/>
      <c r="F9" s="3181"/>
      <c r="G9" s="3181"/>
      <c r="H9" s="3181"/>
      <c r="I9" s="3181"/>
    </row>
    <row r="10" spans="1:9" ht="15.75">
      <c r="A10" s="3180" t="str">
        <f>结果表!A124</f>
        <v/>
      </c>
      <c r="B10" s="3180"/>
      <c r="C10" s="3180"/>
      <c r="D10" s="3180" t="str">
        <f>结果表!D124</f>
        <v>——</v>
      </c>
      <c r="E10" s="3180"/>
      <c r="F10" s="3180"/>
      <c r="G10" s="3180"/>
      <c r="H10" s="3180"/>
      <c r="I10" s="3180"/>
    </row>
    <row r="11" spans="1:9" ht="15">
      <c r="A11" s="3181" t="s">
        <v>927</v>
      </c>
      <c r="B11" s="3181"/>
      <c r="C11" s="3181"/>
      <c r="D11" s="3181" t="e">
        <f>结果表!D125</f>
        <v>#VALUE!</v>
      </c>
      <c r="E11" s="3181"/>
      <c r="F11" s="3181"/>
      <c r="G11" s="3181"/>
      <c r="H11" s="3181"/>
      <c r="I11" s="3181"/>
    </row>
    <row r="12" spans="1:9" ht="15.75">
      <c r="A12" s="3180" t="str">
        <f>结果表!A126</f>
        <v/>
      </c>
      <c r="B12" s="3180"/>
      <c r="C12" s="3180"/>
      <c r="D12" s="3180" t="str">
        <f>结果表!D126</f>
        <v>——</v>
      </c>
      <c r="E12" s="3180"/>
      <c r="F12" s="3180"/>
      <c r="G12" s="3180"/>
      <c r="H12" s="3180"/>
      <c r="I12" s="3180"/>
    </row>
    <row r="13" spans="1:9" ht="15.75" thickBot="1">
      <c r="A13" s="3178" t="s">
        <v>927</v>
      </c>
      <c r="B13" s="3178"/>
      <c r="C13" s="3178"/>
      <c r="D13" s="3178" t="e">
        <f>结果表!D127</f>
        <v>#VALUE!</v>
      </c>
      <c r="E13" s="3178"/>
      <c r="F13" s="3178"/>
      <c r="G13" s="3178"/>
      <c r="H13" s="3178"/>
      <c r="I13" s="3178"/>
    </row>
    <row r="14" spans="1:9" ht="15" thickTop="1">
      <c r="A14" s="3179" t="s">
        <v>932</v>
      </c>
      <c r="B14" s="3179"/>
      <c r="C14" s="3179"/>
      <c r="D14" s="3179"/>
      <c r="E14" s="3179"/>
      <c r="F14" s="3179"/>
      <c r="G14" s="3179"/>
      <c r="H14" s="3179"/>
      <c r="I14" s="3179"/>
    </row>
    <row r="16" spans="1:9" ht="18.75">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93" t="s">
        <v>949</v>
      </c>
      <c r="B1" s="3193"/>
      <c r="C1" s="3193"/>
      <c r="D1" s="3193"/>
    </row>
    <row r="2" spans="1:4" ht="18">
      <c r="A2" s="3194" t="s">
        <v>933</v>
      </c>
      <c r="B2" s="3194"/>
      <c r="C2" s="3194"/>
      <c r="D2" s="3194"/>
    </row>
    <row r="3" spans="1:4" ht="18.75">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8">
      <c r="A6" s="3194" t="s">
        <v>939</v>
      </c>
      <c r="B6" s="3194"/>
      <c r="C6" s="3194"/>
      <c r="D6" s="3194"/>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195" t="s">
        <v>942</v>
      </c>
      <c r="B11" s="3187"/>
      <c r="C11" s="3187"/>
      <c r="D11" s="3187"/>
    </row>
    <row r="12" spans="1:4" ht="15.75">
      <c r="A12" s="31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2"/>
      <c r="C12" s="3192"/>
      <c r="D12" s="3192"/>
    </row>
    <row r="13" spans="1:4" ht="30" customHeight="1">
      <c r="A13" s="3187" t="str">
        <f>IF(项目基本情况!B8="抵押","3.抵押双方在办理抵押登记手续时，应使用本公司出具的正式《房地产评估报告》，特提醒报告使用者注意。","——")</f>
        <v>——</v>
      </c>
      <c r="B13" s="3192"/>
      <c r="C13" s="3192"/>
      <c r="D13" s="3192"/>
    </row>
    <row r="14" spans="1:4" ht="15.75" customHeight="1">
      <c r="A14" s="3187" t="str">
        <f>IF(项目基本情况!B8="抵押","4.本次评估估价师所知悉的法定优先受偿款情况说明如下：","——")</f>
        <v>——</v>
      </c>
      <c r="B14" s="3192"/>
      <c r="C14" s="3192"/>
      <c r="D14" s="3192"/>
    </row>
    <row r="15" spans="1:4" ht="42" customHeight="1">
      <c r="A15" s="3187" t="str">
        <f>IF(项目基本情况!B8="抵押","（1）"&amp;CONCATENATE(项目基本情况!L20,项目基本情况!L21,项目基本情况!L22),"——")</f>
        <v>——</v>
      </c>
      <c r="B15" s="3187"/>
      <c r="C15" s="3187"/>
      <c r="D15" s="3187"/>
    </row>
    <row r="16" spans="1:4" ht="30" customHeight="1">
      <c r="A16" s="3189" t="s">
        <v>943</v>
      </c>
      <c r="B16" s="3189"/>
      <c r="C16" s="3189"/>
      <c r="D16" s="3189"/>
    </row>
    <row r="17" spans="1:4" ht="144" customHeight="1">
      <c r="A17" s="3189" t="s">
        <v>944</v>
      </c>
      <c r="B17" s="3189"/>
      <c r="C17" s="3189"/>
      <c r="D17" s="3189"/>
    </row>
    <row r="18" spans="1:4" ht="15.75" customHeight="1">
      <c r="A18" s="3187" t="str">
        <f>IF(项目基本情况!B8="抵押",结果表!K120,"——")</f>
        <v>——</v>
      </c>
      <c r="B18" s="3187"/>
      <c r="C18" s="3187"/>
      <c r="D18" s="3187"/>
    </row>
    <row r="19" spans="1:4" ht="46.5" customHeight="1">
      <c r="A19" s="31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87"/>
      <c r="C19" s="3187"/>
      <c r="D19" s="3187"/>
    </row>
    <row r="20" spans="1:4" ht="57.75" customHeight="1">
      <c r="A20" s="31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7"/>
      <c r="C20" s="3187"/>
      <c r="D20" s="3187"/>
    </row>
    <row r="21" spans="1:4" ht="57.75" customHeight="1">
      <c r="A21" s="31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0"/>
      <c r="C21" s="3190"/>
      <c r="D21" s="3190"/>
    </row>
    <row r="22" spans="1:4" ht="18.75" customHeight="1">
      <c r="A22" s="3191" t="s">
        <v>945</v>
      </c>
      <c r="B22" s="3191"/>
      <c r="C22" s="3191"/>
      <c r="D22" s="3191"/>
    </row>
    <row r="23" spans="1:4">
      <c r="A23" s="1414"/>
      <c r="B23" s="459"/>
      <c r="C23" s="459"/>
      <c r="D23" s="459"/>
    </row>
    <row r="24" spans="1:4">
      <c r="A24" s="1414"/>
      <c r="B24" s="459"/>
      <c r="C24" s="459"/>
      <c r="D24" s="459"/>
    </row>
    <row r="25" spans="1:4" ht="18.75">
      <c r="A25" s="1415" t="s">
        <v>946</v>
      </c>
    </row>
    <row r="26" spans="1:4" ht="18">
      <c r="A26" s="1386"/>
    </row>
    <row r="27" spans="1:4" ht="18.75">
      <c r="A27" s="1386" t="s">
        <v>947</v>
      </c>
    </row>
    <row r="30" spans="1:4" ht="18.75">
      <c r="D30" s="1415" t="s">
        <v>948</v>
      </c>
    </row>
    <row r="31" spans="1:4" ht="13.5" customHeight="1">
      <c r="C31" s="3188">
        <v>42551</v>
      </c>
      <c r="D31" s="318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201" t="s">
        <v>956</v>
      </c>
      <c r="B15" s="3196" t="s">
        <v>109</v>
      </c>
      <c r="C15" s="3197"/>
    </row>
    <row r="16" spans="1:7" ht="13.5">
      <c r="A16" s="3202"/>
      <c r="B16" s="3196" t="s">
        <v>42</v>
      </c>
      <c r="C16" s="3197"/>
    </row>
    <row r="17" spans="1:3" ht="13.5">
      <c r="A17" s="3202"/>
      <c r="B17" s="3199" t="s">
        <v>957</v>
      </c>
      <c r="C17" s="1428" t="s">
        <v>956</v>
      </c>
    </row>
    <row r="18" spans="1:3" ht="13.5">
      <c r="A18" s="3202"/>
      <c r="B18" s="3199"/>
      <c r="C18" s="1428" t="s">
        <v>958</v>
      </c>
    </row>
    <row r="19" spans="1:3" ht="13.5">
      <c r="A19" s="3202"/>
      <c r="B19" s="3199"/>
      <c r="C19" s="1428" t="s">
        <v>959</v>
      </c>
    </row>
    <row r="20" spans="1:3" ht="13.5">
      <c r="A20" s="3203"/>
      <c r="B20" s="3198" t="s">
        <v>960</v>
      </c>
      <c r="C20" s="3197"/>
    </row>
    <row r="21" spans="1:3" ht="13.5">
      <c r="A21" s="1429" t="s">
        <v>961</v>
      </c>
      <c r="B21" s="1430"/>
      <c r="C21" s="1431"/>
    </row>
    <row r="22" spans="1:3" ht="13.5">
      <c r="A22" s="3200" t="s">
        <v>962</v>
      </c>
      <c r="B22" s="3198" t="s">
        <v>963</v>
      </c>
      <c r="C22" s="3197"/>
    </row>
    <row r="23" spans="1:3" ht="13.5">
      <c r="A23" s="3200"/>
      <c r="B23" s="3198" t="s">
        <v>964</v>
      </c>
      <c r="C23" s="3197"/>
    </row>
    <row r="24" spans="1:3" ht="13.5">
      <c r="A24" s="3200"/>
      <c r="B24" s="3198" t="s">
        <v>965</v>
      </c>
      <c r="C24" s="3197"/>
    </row>
    <row r="25" spans="1:3" ht="13.5">
      <c r="A25" s="3200"/>
      <c r="B25" s="3199" t="s">
        <v>966</v>
      </c>
      <c r="C25" s="1428" t="s">
        <v>967</v>
      </c>
    </row>
    <row r="26" spans="1:3" ht="13.5">
      <c r="A26" s="3200"/>
      <c r="B26" s="3199"/>
      <c r="C26" s="1428" t="s">
        <v>968</v>
      </c>
    </row>
    <row r="27" spans="1:3" ht="13.5">
      <c r="A27" s="3200"/>
      <c r="B27" s="3199"/>
      <c r="C27" s="1428" t="s">
        <v>969</v>
      </c>
    </row>
    <row r="28" spans="1:3" ht="13.5">
      <c r="A28" s="3200"/>
      <c r="B28" s="3199"/>
      <c r="C28" s="1428" t="s">
        <v>970</v>
      </c>
    </row>
    <row r="29" spans="1:3" ht="13.5">
      <c r="A29" s="3200"/>
      <c r="B29" s="3199"/>
      <c r="C29" s="1428" t="s">
        <v>971</v>
      </c>
    </row>
    <row r="30" spans="1:3" ht="13.5">
      <c r="A30" s="3200"/>
      <c r="B30" s="3199"/>
      <c r="C30" s="1428" t="s">
        <v>972</v>
      </c>
    </row>
    <row r="31" spans="1:3" ht="13.5">
      <c r="A31" s="3200"/>
      <c r="B31" s="3199"/>
      <c r="C31" s="1428" t="s">
        <v>973</v>
      </c>
    </row>
    <row r="32" spans="1:3" ht="13.5">
      <c r="A32" s="3200"/>
      <c r="B32" s="3199"/>
      <c r="C32" s="1428" t="s">
        <v>974</v>
      </c>
    </row>
    <row r="33" spans="1:3" ht="13.5">
      <c r="A33" s="3200"/>
      <c r="B33" s="3199"/>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2139</v>
      </c>
      <c r="B2" s="2155">
        <f ca="1">TODAY()</f>
        <v>45310</v>
      </c>
      <c r="C2" s="2156" t="s">
        <v>2140</v>
      </c>
      <c r="D2" s="2156"/>
      <c r="E2" s="2156"/>
      <c r="F2" s="2152"/>
      <c r="G2" s="2152"/>
      <c r="H2" s="2152"/>
    </row>
    <row r="3" spans="1:8" ht="24" customHeight="1">
      <c r="A3" s="2157" t="s">
        <v>2141</v>
      </c>
      <c r="B3" s="1218" t="s">
        <v>2142</v>
      </c>
      <c r="C3" s="1218" t="s">
        <v>2143</v>
      </c>
      <c r="D3" s="2158" t="s">
        <v>2144</v>
      </c>
      <c r="E3" s="2159" t="s">
        <v>2145</v>
      </c>
      <c r="F3" s="1218" t="s">
        <v>2146</v>
      </c>
      <c r="G3" s="1218" t="s">
        <v>2143</v>
      </c>
      <c r="H3" s="2158" t="s">
        <v>2147</v>
      </c>
    </row>
    <row r="4" spans="1:8" ht="24" customHeight="1">
      <c r="A4" s="1218" t="s">
        <v>2148</v>
      </c>
      <c r="B4" s="1218">
        <f ca="1">IF(C4&lt;B2,"已过期",1119970066)</f>
        <v>1119970066</v>
      </c>
      <c r="C4" s="2160">
        <v>45937</v>
      </c>
      <c r="D4" s="2161" t="str">
        <f ca="1">A4&amp;"（注册号："&amp;B4&amp;"）"</f>
        <v>梁津（注册号：1119970066）</v>
      </c>
      <c r="E4" s="2162" t="s">
        <v>2148</v>
      </c>
      <c r="F4" s="1218">
        <f ca="1">IF(G4&lt;B2,"已过期",96010014)</f>
        <v>96010014</v>
      </c>
      <c r="G4" s="2163">
        <v>47118</v>
      </c>
      <c r="H4" s="2164" t="str">
        <f ca="1">E4&amp;"（注册号："&amp;F4&amp;"）"</f>
        <v>梁津（注册号：96010014）</v>
      </c>
    </row>
    <row r="5" spans="1:8" ht="24" customHeight="1">
      <c r="A5" s="1218" t="s">
        <v>2149</v>
      </c>
      <c r="B5" s="1218">
        <f ca="1">IF(C5&lt;B2,"已过期",1119970111)</f>
        <v>1119970111</v>
      </c>
      <c r="C5" s="2160">
        <v>45937</v>
      </c>
      <c r="D5" s="2161" t="str">
        <f t="shared" ref="D5:D15" ca="1" si="0">A5&amp;"（注册号："&amp;B5&amp;"）"</f>
        <v>叶凌（注册号：1119970111）</v>
      </c>
      <c r="E5" s="2162" t="s">
        <v>2149</v>
      </c>
      <c r="F5" s="1218">
        <f ca="1">IF(G5&lt;B2,"已过期",94010078)</f>
        <v>94010078</v>
      </c>
      <c r="G5" s="2163">
        <v>46387</v>
      </c>
      <c r="H5" s="2164" t="str">
        <f t="shared" ref="H5:H16" ca="1" si="1">E5&amp;"（注册号："&amp;F5&amp;"）"</f>
        <v>叶凌（注册号：94010078）</v>
      </c>
    </row>
    <row r="6" spans="1:8" ht="24" customHeight="1">
      <c r="A6" s="1218" t="s">
        <v>2150</v>
      </c>
      <c r="B6" s="1218">
        <f ca="1">IF(C6&lt;B2,"已过期",1120050019)</f>
        <v>1120050019</v>
      </c>
      <c r="C6" s="2160">
        <v>45410</v>
      </c>
      <c r="D6" s="2161" t="str">
        <f t="shared" ca="1" si="0"/>
        <v>王鹏（注册号：1120050019）</v>
      </c>
      <c r="E6" s="2162" t="s">
        <v>2150</v>
      </c>
      <c r="F6" s="1218">
        <f ca="1">IF(G6&lt;B2,"已过期",2002110030)</f>
        <v>2002110030</v>
      </c>
      <c r="G6" s="2163">
        <v>46387</v>
      </c>
      <c r="H6" s="2164" t="str">
        <f t="shared" ca="1" si="1"/>
        <v>王鹏（注册号：2002110030）</v>
      </c>
    </row>
    <row r="7" spans="1:8" ht="24" customHeight="1">
      <c r="A7" s="1218" t="s">
        <v>2151</v>
      </c>
      <c r="B7" s="1218">
        <f ca="1">IF(C7&lt;B2,"已过期",1120000080)</f>
        <v>1120000080</v>
      </c>
      <c r="C7" s="2160">
        <v>45937</v>
      </c>
      <c r="D7" s="2161" t="str">
        <f t="shared" ca="1" si="0"/>
        <v>欧红伟（注册号：1120000080）</v>
      </c>
      <c r="E7" s="2162" t="s">
        <v>2151</v>
      </c>
      <c r="F7" s="1218">
        <f ca="1">IF(G7&lt;B2,"已过期",2000110082)</f>
        <v>2000110082</v>
      </c>
      <c r="G7" s="2163">
        <v>46387</v>
      </c>
      <c r="H7" s="2164" t="str">
        <f t="shared" ca="1" si="1"/>
        <v>欧红伟（注册号：2000110082）</v>
      </c>
    </row>
    <row r="8" spans="1:8" ht="24" customHeight="1">
      <c r="A8" s="1218" t="s">
        <v>2152</v>
      </c>
      <c r="B8" s="1218">
        <f ca="1">IF(C8&lt;B2,"已过期",1419970001)</f>
        <v>1419970001</v>
      </c>
      <c r="C8" s="2160">
        <v>45937</v>
      </c>
      <c r="D8" s="2161" t="str">
        <f t="shared" ca="1" si="0"/>
        <v>吴薇（注册号：1419970001）</v>
      </c>
      <c r="E8" s="2162" t="s">
        <v>2152</v>
      </c>
      <c r="F8" s="1218">
        <f ca="1">IF(G8&lt;B2,"已过期",2002110125)</f>
        <v>2002110125</v>
      </c>
      <c r="G8" s="2163">
        <v>47118</v>
      </c>
      <c r="H8" s="2164" t="str">
        <f t="shared" ca="1" si="1"/>
        <v>吴薇（注册号：2002110125）</v>
      </c>
    </row>
    <row r="9" spans="1:8" ht="24" customHeight="1">
      <c r="A9" s="1218" t="s">
        <v>2153</v>
      </c>
      <c r="B9" s="1218">
        <f ca="1">IF(C9&lt;B2,"已过期",1120060040)</f>
        <v>1120060040</v>
      </c>
      <c r="C9" s="2165">
        <v>45592</v>
      </c>
      <c r="D9" s="2161" t="str">
        <f t="shared" ca="1" si="0"/>
        <v>陈颖（注册号：1120060040）</v>
      </c>
      <c r="E9" s="2162" t="s">
        <v>2153</v>
      </c>
      <c r="F9" s="1218">
        <f ca="1">IF(G9&lt;B2,"已过期",2004110096)</f>
        <v>2004110096</v>
      </c>
      <c r="G9" s="2163">
        <v>47118</v>
      </c>
      <c r="H9" s="2164" t="str">
        <f t="shared" ca="1" si="1"/>
        <v>陈颖（注册号：2004110096）</v>
      </c>
    </row>
    <row r="10" spans="1:8" ht="24" customHeight="1">
      <c r="A10" s="1218" t="s">
        <v>2154</v>
      </c>
      <c r="B10" s="1218">
        <f ca="1">IF(C10&lt;B2,"已过期",1120100036)</f>
        <v>1120100036</v>
      </c>
      <c r="C10" s="2165">
        <v>45752</v>
      </c>
      <c r="D10" s="2161" t="str">
        <f t="shared" ca="1" si="0"/>
        <v>崔锴（注册号：1120100036）</v>
      </c>
      <c r="E10" s="2162" t="s">
        <v>2154</v>
      </c>
      <c r="F10" s="1218">
        <f ca="1">IF(G10&lt;B2,"已过期",2010110070)</f>
        <v>2010110070</v>
      </c>
      <c r="G10" s="2163">
        <v>47907</v>
      </c>
      <c r="H10" s="2164" t="str">
        <f t="shared" ca="1" si="1"/>
        <v>崔锴（注册号：2010110070）</v>
      </c>
    </row>
    <row r="11" spans="1:8" ht="24" customHeight="1">
      <c r="A11" s="1218" t="s">
        <v>2155</v>
      </c>
      <c r="B11" s="1218">
        <f ca="1">IF(C11&lt;B2,"已过期",1120070131)</f>
        <v>1120070131</v>
      </c>
      <c r="C11" s="2160">
        <v>45937</v>
      </c>
      <c r="D11" s="2161" t="str">
        <f t="shared" ca="1" si="0"/>
        <v>郑燚（注册号：1120070131）</v>
      </c>
      <c r="E11" s="2162" t="s">
        <v>2155</v>
      </c>
      <c r="F11" s="1218">
        <f ca="1">IF(G11&lt;B2,"已过期",2014110011)</f>
        <v>2014110011</v>
      </c>
      <c r="G11" s="2163">
        <v>49302</v>
      </c>
      <c r="H11" s="2164" t="str">
        <f t="shared" ca="1" si="1"/>
        <v>郑燚（注册号：2014110011）</v>
      </c>
    </row>
    <row r="12" spans="1:8" ht="24" customHeight="1">
      <c r="A12" s="1218" t="s">
        <v>2156</v>
      </c>
      <c r="B12" s="1218">
        <f ca="1">IF(C12&lt;B2,"已过期",1120040230)</f>
        <v>1120040230</v>
      </c>
      <c r="C12" s="2165">
        <v>45937</v>
      </c>
      <c r="D12" s="2161" t="str">
        <f t="shared" ca="1" si="0"/>
        <v>苏海（注册号：1120040230）</v>
      </c>
      <c r="E12" s="2162" t="s">
        <v>2156</v>
      </c>
      <c r="F12" s="1218">
        <f ca="1">IF(G12&lt;B2,"已过期",98030020)</f>
        <v>98030020</v>
      </c>
      <c r="G12" s="2163">
        <v>47118</v>
      </c>
      <c r="H12" s="2164" t="str">
        <f t="shared" ca="1" si="1"/>
        <v>苏海（注册号：98030020）</v>
      </c>
    </row>
    <row r="13" spans="1:8" ht="24" customHeight="1">
      <c r="A13" s="1218" t="s">
        <v>2157</v>
      </c>
      <c r="B13" s="1218">
        <f ca="1">IF(C13&lt;B2,"已过期",1120020033)</f>
        <v>1120020033</v>
      </c>
      <c r="C13" s="2160">
        <v>45375</v>
      </c>
      <c r="D13" s="2161" t="str">
        <f t="shared" ca="1" si="0"/>
        <v>刘敬东（注册号：1120020033）</v>
      </c>
      <c r="E13" s="2162" t="s">
        <v>2157</v>
      </c>
      <c r="F13" s="1218">
        <f ca="1">IF(G13&lt;B2,"已过期",2000110137)</f>
        <v>2000110137</v>
      </c>
      <c r="G13" s="2163">
        <v>46387</v>
      </c>
      <c r="H13" s="2164" t="str">
        <f t="shared" ca="1" si="1"/>
        <v>刘敬东（注册号：2000110137）</v>
      </c>
    </row>
    <row r="14" spans="1:8" ht="24" customHeight="1">
      <c r="A14" s="1218" t="s">
        <v>2158</v>
      </c>
      <c r="B14" s="1218" t="str">
        <f ca="1">IF(C14&lt;B2,"已过期",1119980106)</f>
        <v>已过期</v>
      </c>
      <c r="C14" s="2165">
        <v>44969</v>
      </c>
      <c r="D14" s="2161" t="str">
        <f t="shared" ca="1" si="0"/>
        <v>刘俊财（注册号：已过期）</v>
      </c>
      <c r="E14" s="2162" t="s">
        <v>2158</v>
      </c>
      <c r="F14" s="1218">
        <f ca="1">IF(G14&lt;B2,"已过期",96010063)</f>
        <v>96010063</v>
      </c>
      <c r="G14" s="2163">
        <v>47483</v>
      </c>
      <c r="H14" s="2164" t="str">
        <f t="shared" ca="1" si="1"/>
        <v>刘俊财（注册号：96010063）</v>
      </c>
    </row>
    <row r="15" spans="1:8" ht="24" customHeight="1">
      <c r="A15" s="1218" t="s">
        <v>2440</v>
      </c>
      <c r="B15" s="1218">
        <v>1120210056</v>
      </c>
      <c r="C15" s="2165">
        <v>45410</v>
      </c>
      <c r="D15" s="2161" t="str">
        <f t="shared" si="0"/>
        <v>宁小鳗（注册号：1120210056）</v>
      </c>
      <c r="E15" s="2162" t="s">
        <v>2159</v>
      </c>
      <c r="F15" s="1218">
        <f ca="1">IF(G15&lt;B2,"已过期",2011110090)</f>
        <v>2011110090</v>
      </c>
      <c r="G15" s="2163">
        <v>48302</v>
      </c>
      <c r="H15" s="2164" t="str">
        <f t="shared" ca="1" si="1"/>
        <v>赵雯（注册号：2011110090）</v>
      </c>
    </row>
    <row r="16" spans="1:8" ht="24" customHeight="1">
      <c r="A16" s="1218"/>
      <c r="B16" s="1218"/>
      <c r="C16" s="1218"/>
      <c r="D16" s="2161" t="str">
        <f>A16&amp;"（注册号："&amp;B16&amp;"）"</f>
        <v>（注册号：）</v>
      </c>
      <c r="E16" s="2162"/>
      <c r="F16" s="1218"/>
      <c r="G16" s="1218"/>
      <c r="H16" s="2166" t="str">
        <f t="shared" si="1"/>
        <v>（注册号：）</v>
      </c>
    </row>
    <row r="17" spans="1:8" ht="24" customHeight="1">
      <c r="A17" s="3204" t="s">
        <v>2160</v>
      </c>
      <c r="B17" s="3204"/>
      <c r="C17" s="3204"/>
      <c r="D17" s="3204"/>
      <c r="E17" s="3204"/>
      <c r="F17" s="3204"/>
      <c r="G17" s="3204"/>
      <c r="H17" s="3204"/>
    </row>
    <row r="18" spans="1:8" ht="24" customHeight="1">
      <c r="A18" s="3205" t="s">
        <v>2161</v>
      </c>
      <c r="B18" s="3205"/>
      <c r="C18" s="3205"/>
      <c r="D18" s="2158"/>
      <c r="E18" s="3206" t="s">
        <v>2162</v>
      </c>
      <c r="F18" s="3205"/>
      <c r="G18" s="3205"/>
    </row>
    <row r="19" spans="1:8" s="2168" customFormat="1" ht="24" customHeight="1">
      <c r="A19" s="2167" t="s">
        <v>2163</v>
      </c>
      <c r="B19" s="1218" t="s">
        <v>2164</v>
      </c>
      <c r="C19" s="1218" t="s">
        <v>2143</v>
      </c>
      <c r="D19" s="2158"/>
      <c r="E19" s="2162" t="s">
        <v>2163</v>
      </c>
      <c r="F19" s="1218" t="s">
        <v>2164</v>
      </c>
      <c r="G19" s="1218" t="s">
        <v>2143</v>
      </c>
    </row>
    <row r="20" spans="1:8" s="2168" customFormat="1" ht="24" customHeight="1">
      <c r="A20" s="2169" t="s">
        <v>2165</v>
      </c>
      <c r="B20" s="2169" t="s">
        <v>2166</v>
      </c>
      <c r="C20" s="2163">
        <v>45898</v>
      </c>
      <c r="D20" s="2170"/>
      <c r="E20" s="2171" t="s">
        <v>2167</v>
      </c>
      <c r="F20" s="2174" t="s">
        <v>2441</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D16 C4:D5 D7:D12 C13:D13 C12">
    <cfRule type="expression" dxfId="192" priority="53">
      <formula>AND($C4-TODAY()&lt;30,TODAY()&lt;$C4)</formula>
    </cfRule>
  </conditionalFormatting>
  <conditionalFormatting sqref="C20:D20">
    <cfRule type="expression" dxfId="191" priority="52">
      <formula>AND($C20-TODAY()&lt;30,TODAY()&lt;$C20)</formula>
    </cfRule>
  </conditionalFormatting>
  <conditionalFormatting sqref="C20:D20 G4 C4:D5 C13:D13">
    <cfRule type="cellIs" dxfId="190" priority="54" stopIfTrue="1" operator="lessThan">
      <formula>$B$2</formula>
    </cfRule>
  </conditionalFormatting>
  <conditionalFormatting sqref="G5 G7 G9">
    <cfRule type="cellIs" dxfId="189" priority="51" stopIfTrue="1" operator="lessThan">
      <formula>$B$2</formula>
    </cfRule>
  </conditionalFormatting>
  <conditionalFormatting sqref="C6:D6 D14 D16">
    <cfRule type="expression" dxfId="188" priority="49">
      <formula>AND($C6-TODAY()&lt;30,TODAY()&lt;$C6)</formula>
    </cfRule>
  </conditionalFormatting>
  <conditionalFormatting sqref="G6 G8 G10 C6:D6 D7:D12 D14 D16">
    <cfRule type="cellIs" dxfId="187" priority="50" stopIfTrue="1" operator="lessThan">
      <formula>$B$2</formula>
    </cfRule>
  </conditionalFormatting>
  <conditionalFormatting sqref="D12">
    <cfRule type="expression" dxfId="186" priority="47">
      <formula>AND($C12-TODAY()&lt;30,TODAY()&lt;$C12)</formula>
    </cfRule>
  </conditionalFormatting>
  <conditionalFormatting sqref="D12">
    <cfRule type="cellIs" dxfId="185" priority="48" stopIfTrue="1" operator="lessThan">
      <formula>$B$2</formula>
    </cfRule>
  </conditionalFormatting>
  <conditionalFormatting sqref="C13:D13">
    <cfRule type="expression" dxfId="184" priority="45">
      <formula>AND($C13-TODAY()&lt;30,TODAY()&lt;$C13)</formula>
    </cfRule>
  </conditionalFormatting>
  <conditionalFormatting sqref="C13:D13">
    <cfRule type="cellIs" dxfId="183" priority="46" stopIfTrue="1" operator="lessThan">
      <formula>$B$2</formula>
    </cfRule>
  </conditionalFormatting>
  <conditionalFormatting sqref="D14">
    <cfRule type="expression" dxfId="182" priority="43">
      <formula>AND($C14-TODAY()&lt;30,TODAY()&lt;$C14)</formula>
    </cfRule>
  </conditionalFormatting>
  <conditionalFormatting sqref="D14">
    <cfRule type="cellIs" dxfId="181" priority="44" stopIfTrue="1" operator="lessThan">
      <formula>$B$2</formula>
    </cfRule>
  </conditionalFormatting>
  <conditionalFormatting sqref="G13">
    <cfRule type="cellIs" dxfId="180" priority="42" stopIfTrue="1" operator="lessThan">
      <formula>$B$2</formula>
    </cfRule>
  </conditionalFormatting>
  <conditionalFormatting sqref="B4:B11 F4:F11 B13 F13:F14">
    <cfRule type="cellIs" dxfId="179" priority="41" stopIfTrue="1" operator="equal">
      <formula>"已过期"</formula>
    </cfRule>
  </conditionalFormatting>
  <conditionalFormatting sqref="C7">
    <cfRule type="cellIs" dxfId="178" priority="38" stopIfTrue="1" operator="lessThan">
      <formula>$B$2</formula>
    </cfRule>
  </conditionalFormatting>
  <conditionalFormatting sqref="C7">
    <cfRule type="expression" dxfId="177" priority="37">
      <formula>AND($C7-TODAY()&lt;30,TODAY()&lt;$C7)</formula>
    </cfRule>
  </conditionalFormatting>
  <conditionalFormatting sqref="C8">
    <cfRule type="expression" dxfId="176" priority="35">
      <formula>AND($C8-TODAY()&lt;30,TODAY()&lt;$C8)</formula>
    </cfRule>
  </conditionalFormatting>
  <conditionalFormatting sqref="C8">
    <cfRule type="cellIs" dxfId="175" priority="36" stopIfTrue="1" operator="lessThan">
      <formula>$B$2</formula>
    </cfRule>
  </conditionalFormatting>
  <conditionalFormatting sqref="C11">
    <cfRule type="expression" dxfId="174" priority="33">
      <formula>AND($C11-TODAY()&lt;30,TODAY()&lt;$C11)</formula>
    </cfRule>
  </conditionalFormatting>
  <conditionalFormatting sqref="C11">
    <cfRule type="cellIs" dxfId="173" priority="34" stopIfTrue="1" operator="lessThan">
      <formula>$B$2</formula>
    </cfRule>
  </conditionalFormatting>
  <conditionalFormatting sqref="A16:C16">
    <cfRule type="cellIs" dxfId="172" priority="32" stopIfTrue="1" operator="equal">
      <formula>"已过期"</formula>
    </cfRule>
  </conditionalFormatting>
  <conditionalFormatting sqref="E16:G16">
    <cfRule type="cellIs" dxfId="171" priority="31" stopIfTrue="1" operator="equal">
      <formula>"已过期"</formula>
    </cfRule>
  </conditionalFormatting>
  <conditionalFormatting sqref="G11">
    <cfRule type="cellIs" dxfId="170" priority="30" stopIfTrue="1" operator="lessThan">
      <formula>$B$2</formula>
    </cfRule>
  </conditionalFormatting>
  <conditionalFormatting sqref="F12">
    <cfRule type="cellIs" dxfId="169" priority="29" stopIfTrue="1" operator="equal">
      <formula>"已过期"</formula>
    </cfRule>
  </conditionalFormatting>
  <conditionalFormatting sqref="G12">
    <cfRule type="cellIs" dxfId="168" priority="28" stopIfTrue="1" operator="lessThan">
      <formula>$B$2</formula>
    </cfRule>
  </conditionalFormatting>
  <conditionalFormatting sqref="C12">
    <cfRule type="cellIs" dxfId="167" priority="27" stopIfTrue="1" operator="lessThan">
      <formula>$B$2</formula>
    </cfRule>
  </conditionalFormatting>
  <conditionalFormatting sqref="C12">
    <cfRule type="expression" dxfId="166" priority="25">
      <formula>AND($C12-TODAY()&lt;30,TODAY()&lt;$C12)</formula>
    </cfRule>
  </conditionalFormatting>
  <conditionalFormatting sqref="C12">
    <cfRule type="cellIs" dxfId="165" priority="26" stopIfTrue="1" operator="lessThan">
      <formula>$B$2</formula>
    </cfRule>
  </conditionalFormatting>
  <conditionalFormatting sqref="B12">
    <cfRule type="cellIs" dxfId="164" priority="24" stopIfTrue="1" operator="equal">
      <formula>"已过期"</formula>
    </cfRule>
  </conditionalFormatting>
  <conditionalFormatting sqref="C9:C10">
    <cfRule type="expression" dxfId="163" priority="22">
      <formula>AND($C9-TODAY()&lt;30,TODAY()&lt;$C9)</formula>
    </cfRule>
  </conditionalFormatting>
  <conditionalFormatting sqref="C9:C10">
    <cfRule type="cellIs" dxfId="162" priority="23" stopIfTrue="1" operator="lessThan">
      <formula>$B$2</formula>
    </cfRule>
  </conditionalFormatting>
  <conditionalFormatting sqref="G21">
    <cfRule type="expression" dxfId="161" priority="20" stopIfTrue="1">
      <formula>AND(#REF!-TODAY()&lt;30,TODAY()&lt;#REF!)</formula>
    </cfRule>
  </conditionalFormatting>
  <conditionalFormatting sqref="G21">
    <cfRule type="cellIs" dxfId="160" priority="21" stopIfTrue="1" operator="lessThan">
      <formula>$B$2</formula>
    </cfRule>
  </conditionalFormatting>
  <conditionalFormatting sqref="C14">
    <cfRule type="expression" dxfId="159" priority="18">
      <formula>AND($C14-TODAY()&lt;30,TODAY()&lt;$C14)</formula>
    </cfRule>
  </conditionalFormatting>
  <conditionalFormatting sqref="C14">
    <cfRule type="cellIs" dxfId="158" priority="19" stopIfTrue="1" operator="lessThan">
      <formula>$B$2</formula>
    </cfRule>
  </conditionalFormatting>
  <conditionalFormatting sqref="C14">
    <cfRule type="expression" dxfId="157" priority="16">
      <formula>AND($C14-TODAY()&lt;30,TODAY()&lt;$C14)</formula>
    </cfRule>
  </conditionalFormatting>
  <conditionalFormatting sqref="C14">
    <cfRule type="cellIs" dxfId="156" priority="17" stopIfTrue="1" operator="lessThan">
      <formula>$B$2</formula>
    </cfRule>
  </conditionalFormatting>
  <conditionalFormatting sqref="B14">
    <cfRule type="cellIs" dxfId="155" priority="15" stopIfTrue="1" operator="equal">
      <formula>"已过期"</formula>
    </cfRule>
  </conditionalFormatting>
  <conditionalFormatting sqref="G14">
    <cfRule type="cellIs" dxfId="154" priority="14" stopIfTrue="1" operator="lessThan">
      <formula>$B$2</formula>
    </cfRule>
  </conditionalFormatting>
  <conditionalFormatting sqref="D15">
    <cfRule type="expression" dxfId="153" priority="12">
      <formula>AND($C15-TODAY()&lt;30,TODAY()&lt;$C15)</formula>
    </cfRule>
  </conditionalFormatting>
  <conditionalFormatting sqref="D15">
    <cfRule type="cellIs" dxfId="152" priority="13" stopIfTrue="1" operator="lessThan">
      <formula>$B$2</formula>
    </cfRule>
  </conditionalFormatting>
  <conditionalFormatting sqref="D15">
    <cfRule type="expression" dxfId="151" priority="10">
      <formula>AND($C15-TODAY()&lt;30,TODAY()&lt;$C15)</formula>
    </cfRule>
  </conditionalFormatting>
  <conditionalFormatting sqref="D15">
    <cfRule type="cellIs" dxfId="150" priority="11" stopIfTrue="1" operator="lessThan">
      <formula>$B$2</formula>
    </cfRule>
  </conditionalFormatting>
  <conditionalFormatting sqref="F15">
    <cfRule type="cellIs" dxfId="149" priority="9" stopIfTrue="1" operator="equal">
      <formula>"已过期"</formula>
    </cfRule>
  </conditionalFormatting>
  <conditionalFormatting sqref="C15">
    <cfRule type="expression" dxfId="148" priority="7">
      <formula>AND($C15-TODAY()&lt;30,TODAY()&lt;$C15)</formula>
    </cfRule>
  </conditionalFormatting>
  <conditionalFormatting sqref="C15">
    <cfRule type="cellIs" dxfId="147" priority="8" stopIfTrue="1" operator="lessThan">
      <formula>$B$2</formula>
    </cfRule>
  </conditionalFormatting>
  <conditionalFormatting sqref="C15">
    <cfRule type="expression" dxfId="146" priority="5">
      <formula>AND($C15-TODAY()&lt;30,TODAY()&lt;$C15)</formula>
    </cfRule>
  </conditionalFormatting>
  <conditionalFormatting sqref="C15">
    <cfRule type="cellIs" dxfId="145" priority="6" stopIfTrue="1" operator="lessThan">
      <formula>$B$2</formula>
    </cfRule>
  </conditionalFormatting>
  <conditionalFormatting sqref="B15">
    <cfRule type="cellIs" dxfId="144" priority="4" stopIfTrue="1" operator="equal">
      <formula>"已过期"</formula>
    </cfRule>
  </conditionalFormatting>
  <conditionalFormatting sqref="G15">
    <cfRule type="cellIs" dxfId="143" priority="3" stopIfTrue="1" operator="lessThan">
      <formula>$B$2</formula>
    </cfRule>
  </conditionalFormatting>
  <conditionalFormatting sqref="G20">
    <cfRule type="expression" dxfId="142" priority="1" stopIfTrue="1">
      <formula>AND(#REF!-TODAY()&lt;30,TODAY()&lt;#REF!)</formula>
    </cfRule>
  </conditionalFormatting>
  <conditionalFormatting sqref="G20">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3354</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3340</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3341</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3342</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3343</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3344</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3345</v>
      </c>
    </row>
    <row r="8" spans="1:23">
      <c r="A8" s="1440" t="s">
        <v>1026</v>
      </c>
      <c r="B8" s="1440" t="s">
        <v>1027</v>
      </c>
      <c r="C8" s="1441" t="s">
        <v>319</v>
      </c>
      <c r="F8" s="1442" t="s">
        <v>1028</v>
      </c>
      <c r="H8" s="1442" t="s">
        <v>2580</v>
      </c>
      <c r="I8" s="1442" t="s">
        <v>3346</v>
      </c>
    </row>
    <row r="9" spans="1:23">
      <c r="A9" s="1440" t="s">
        <v>1029</v>
      </c>
      <c r="B9" s="1440" t="s">
        <v>1030</v>
      </c>
      <c r="C9" s="1441" t="s">
        <v>320</v>
      </c>
      <c r="F9" s="1442" t="s">
        <v>1031</v>
      </c>
      <c r="H9" s="1442"/>
      <c r="I9" s="1444" t="s">
        <v>3347</v>
      </c>
    </row>
    <row r="10" spans="1:23">
      <c r="A10" s="1440" t="s">
        <v>1032</v>
      </c>
      <c r="B10" s="1440" t="s">
        <v>1033</v>
      </c>
      <c r="C10" s="1441" t="s">
        <v>321</v>
      </c>
      <c r="F10" s="1442" t="s">
        <v>2581</v>
      </c>
      <c r="I10" s="1444" t="s">
        <v>3348</v>
      </c>
    </row>
    <row r="11" spans="1:23">
      <c r="A11" s="1440" t="s">
        <v>1034</v>
      </c>
      <c r="B11" s="1440" t="s">
        <v>1035</v>
      </c>
      <c r="C11" s="1441" t="s">
        <v>322</v>
      </c>
      <c r="F11" s="1442" t="s">
        <v>13</v>
      </c>
      <c r="I11" s="1444" t="s">
        <v>3349</v>
      </c>
    </row>
    <row r="12" spans="1:23">
      <c r="A12" s="1440" t="s">
        <v>1036</v>
      </c>
      <c r="B12" s="1440" t="s">
        <v>1037</v>
      </c>
      <c r="C12" s="1441" t="s">
        <v>323</v>
      </c>
      <c r="I12" s="1444" t="s">
        <v>3350</v>
      </c>
    </row>
    <row r="13" spans="1:23">
      <c r="A13" s="1440" t="s">
        <v>1038</v>
      </c>
      <c r="B13" s="1440" t="s">
        <v>1039</v>
      </c>
      <c r="C13" s="1441" t="s">
        <v>324</v>
      </c>
      <c r="I13" s="1444" t="s">
        <v>3351</v>
      </c>
    </row>
    <row r="14" spans="1:23">
      <c r="A14" s="1440" t="s">
        <v>1040</v>
      </c>
      <c r="B14" s="1440" t="s">
        <v>1041</v>
      </c>
      <c r="C14" s="1442" t="s">
        <v>13</v>
      </c>
      <c r="I14" s="1444" t="s">
        <v>3352</v>
      </c>
    </row>
    <row r="15" spans="1:23">
      <c r="A15" s="1440" t="s">
        <v>1042</v>
      </c>
      <c r="B15" s="1440" t="s">
        <v>1043</v>
      </c>
      <c r="C15" s="1441"/>
      <c r="I15" s="1444" t="s">
        <v>3353</v>
      </c>
    </row>
    <row r="16" spans="1:23">
      <c r="A16" s="1440" t="s">
        <v>1044</v>
      </c>
      <c r="B16" s="1440" t="s">
        <v>312</v>
      </c>
      <c r="C16" s="1441"/>
    </row>
    <row r="17" spans="1:3">
      <c r="A17" s="1440" t="s">
        <v>1045</v>
      </c>
      <c r="B17" s="1440" t="s">
        <v>2293</v>
      </c>
      <c r="C17" s="1441"/>
    </row>
    <row r="18" spans="1:3">
      <c r="A18" s="1440" t="s">
        <v>1046</v>
      </c>
      <c r="B18" s="1440" t="s">
        <v>2436</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07"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7"/>
      <c r="B54" s="1446" t="s">
        <v>385</v>
      </c>
      <c r="C54" s="1444" t="s">
        <v>583</v>
      </c>
    </row>
    <row r="55" spans="1:4">
      <c r="A55" s="3207"/>
      <c r="B55" s="1446" t="s">
        <v>386</v>
      </c>
      <c r="C55" s="1444" t="s">
        <v>584</v>
      </c>
    </row>
    <row r="56" spans="1:4">
      <c r="A56" s="3207"/>
      <c r="B56" s="1446" t="s">
        <v>387</v>
      </c>
      <c r="C56" s="1444" t="s">
        <v>588</v>
      </c>
    </row>
    <row r="57" spans="1:4">
      <c r="A57" s="3207"/>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2503</v>
      </c>
      <c r="B1" s="2755"/>
      <c r="C1" s="2755"/>
      <c r="D1" s="2755"/>
      <c r="E1" s="2755"/>
      <c r="F1" s="2756"/>
      <c r="I1" s="3133" t="s">
        <v>2596</v>
      </c>
      <c r="J1" s="2781"/>
      <c r="K1" s="2781"/>
      <c r="L1" s="2781"/>
      <c r="M1" s="2781"/>
      <c r="N1" s="2966"/>
      <c r="O1" s="2966"/>
      <c r="P1" s="2966"/>
      <c r="Q1" s="2966"/>
      <c r="R1" s="2966"/>
    </row>
    <row r="2" spans="1:18">
      <c r="A2" s="2758"/>
      <c r="B2" s="2759"/>
      <c r="C2" s="2759"/>
      <c r="D2" s="2759"/>
      <c r="E2" s="2759"/>
      <c r="F2" s="2760"/>
      <c r="I2" s="3208" t="s">
        <v>2583</v>
      </c>
      <c r="J2" s="3208"/>
      <c r="K2" s="3208"/>
      <c r="L2" s="3208"/>
      <c r="M2" s="3208"/>
      <c r="N2" s="3208"/>
      <c r="O2" s="3208"/>
      <c r="P2" s="3208"/>
      <c r="Q2" s="3208"/>
      <c r="R2" s="3208"/>
    </row>
    <row r="3" spans="1:18">
      <c r="A3" s="2761" t="s">
        <v>2504</v>
      </c>
      <c r="B3" s="2762">
        <f>项目基本情况!D3</f>
        <v>45301</v>
      </c>
      <c r="C3" s="2764"/>
      <c r="D3" s="2764"/>
      <c r="E3" s="2764"/>
      <c r="F3" s="2760"/>
      <c r="I3" s="2776"/>
      <c r="J3" s="2776" t="s">
        <v>2587</v>
      </c>
      <c r="K3" s="2776" t="s">
        <v>2588</v>
      </c>
      <c r="L3" s="2776" t="s">
        <v>2589</v>
      </c>
      <c r="M3" s="2776" t="s">
        <v>2590</v>
      </c>
      <c r="N3" s="3134" t="s">
        <v>2591</v>
      </c>
      <c r="O3" s="3134" t="s">
        <v>2592</v>
      </c>
      <c r="P3" s="3134" t="s">
        <v>2593</v>
      </c>
      <c r="Q3" s="3134" t="s">
        <v>2594</v>
      </c>
      <c r="R3" s="3134" t="s">
        <v>2595</v>
      </c>
    </row>
    <row r="4" spans="1:18">
      <c r="A4" s="2761" t="s">
        <v>2505</v>
      </c>
      <c r="B4" s="2764" t="s">
        <v>2506</v>
      </c>
      <c r="C4" s="2764" t="s">
        <v>2507</v>
      </c>
      <c r="D4" s="2764" t="s">
        <v>2508</v>
      </c>
      <c r="E4" s="2764" t="s">
        <v>2509</v>
      </c>
      <c r="F4" s="2760"/>
      <c r="I4" s="2776" t="s">
        <v>2584</v>
      </c>
      <c r="J4" s="2776">
        <v>80</v>
      </c>
      <c r="K4" s="2776">
        <v>70</v>
      </c>
      <c r="L4" s="2776">
        <v>20</v>
      </c>
      <c r="M4" s="2776">
        <v>30</v>
      </c>
      <c r="N4" s="2764">
        <v>45</v>
      </c>
      <c r="O4" s="2764">
        <v>60</v>
      </c>
      <c r="P4" s="2764">
        <v>50</v>
      </c>
      <c r="Q4" s="2764">
        <v>20</v>
      </c>
      <c r="R4" s="2764">
        <v>375</v>
      </c>
    </row>
    <row r="5" spans="1:18">
      <c r="A5" s="2765">
        <v>40</v>
      </c>
      <c r="B5" s="2762">
        <v>46375</v>
      </c>
      <c r="C5" s="2764">
        <f>ROUNDDOWN(MIN((B5-B3)/365,A5),2)</f>
        <v>2.94</v>
      </c>
      <c r="D5" s="2766">
        <f>IF(ISERROR(ROUND(POWER(1+E5,A5-C5)*(POWER(1+E5,C5)-1)/(POWER(1+E5,A5)-1),3)),0,ROUND(POWER(1+E5,A5-C5)*(POWER(1+E5,C5)-1)/(POWER(1+E5,A5)-1),4))</f>
        <v>0.1376</v>
      </c>
      <c r="E5" s="2767">
        <v>0.04</v>
      </c>
      <c r="F5" s="2760"/>
      <c r="I5" s="2776" t="s">
        <v>2585</v>
      </c>
      <c r="J5" s="2776">
        <v>70</v>
      </c>
      <c r="K5" s="2776">
        <v>60</v>
      </c>
      <c r="L5" s="2776">
        <v>15</v>
      </c>
      <c r="M5" s="2776">
        <v>25</v>
      </c>
      <c r="N5" s="2764">
        <v>40</v>
      </c>
      <c r="O5" s="2764">
        <v>50</v>
      </c>
      <c r="P5" s="2764">
        <v>40</v>
      </c>
      <c r="Q5" s="2764">
        <v>15</v>
      </c>
      <c r="R5" s="2764">
        <v>315</v>
      </c>
    </row>
    <row r="6" spans="1:18">
      <c r="A6" s="2765">
        <v>50</v>
      </c>
      <c r="B6" s="2762">
        <v>50028</v>
      </c>
      <c r="C6" s="2764">
        <f>ROUNDDOWN(MIN((B6-B3)/365,A6),2)</f>
        <v>12.95</v>
      </c>
      <c r="D6" s="2766">
        <f>IF(ISERROR(ROUND(POWER(1+E6,A6-C6)*(POWER(1+E6,C6)-1)/(POWER(1+E6,A6)-1),3)),0,ROUND(POWER(1+E6,A6-C6)*(POWER(1+E6,C6)-1)/(POWER(1+E6,A6)-1),4))</f>
        <v>0.46350000000000002</v>
      </c>
      <c r="E6" s="2767">
        <v>0.04</v>
      </c>
      <c r="F6" s="2760"/>
      <c r="I6" s="2776" t="s">
        <v>2586</v>
      </c>
      <c r="J6" s="2776">
        <v>60</v>
      </c>
      <c r="K6" s="2776">
        <v>50</v>
      </c>
      <c r="L6" s="2776">
        <v>10</v>
      </c>
      <c r="M6" s="2776">
        <v>20</v>
      </c>
      <c r="N6" s="2764">
        <v>35</v>
      </c>
      <c r="O6" s="2764">
        <v>40</v>
      </c>
      <c r="P6" s="2764">
        <v>30</v>
      </c>
      <c r="Q6" s="2764">
        <v>10</v>
      </c>
      <c r="R6" s="2764">
        <v>255</v>
      </c>
    </row>
    <row r="7" spans="1:18">
      <c r="A7" s="2765">
        <v>70</v>
      </c>
      <c r="B7" s="2762">
        <v>57333</v>
      </c>
      <c r="C7" s="2764">
        <f>ROUNDDOWN(MIN((B7-B3)/365,A7),2)</f>
        <v>32.96</v>
      </c>
      <c r="D7" s="2766">
        <f>IF(ISERROR(ROUND(POWER(1+E7,A7-C7)*(POWER(1+E7,C7)-1)/(POWER(1+E7,A7)-1),3)),0,ROUND(POWER(1+E7,A7-C7)*(POWER(1+E7,C7)-1)/(POWER(1+E7,A7)-1),4))</f>
        <v>0.77529999999999999</v>
      </c>
      <c r="E7" s="2767">
        <v>0.04</v>
      </c>
      <c r="F7" s="2760"/>
    </row>
    <row r="8" spans="1:18">
      <c r="A8" s="2758"/>
      <c r="B8" s="2759"/>
      <c r="C8" s="2759"/>
      <c r="D8" s="2759"/>
      <c r="E8" s="2759"/>
      <c r="F8" s="2760"/>
    </row>
    <row r="9" spans="1:18">
      <c r="A9" s="2761" t="s">
        <v>2510</v>
      </c>
      <c r="B9" s="2764"/>
      <c r="C9" s="2764"/>
      <c r="D9" s="2764"/>
      <c r="E9" s="2764"/>
      <c r="F9" s="2768"/>
    </row>
    <row r="10" spans="1:18">
      <c r="A10" s="2761" t="s">
        <v>2511</v>
      </c>
      <c r="B10" s="2764"/>
      <c r="C10" s="2764"/>
      <c r="D10" s="2764" t="s">
        <v>2509</v>
      </c>
      <c r="E10" s="2764"/>
      <c r="F10" s="2768" t="s">
        <v>2508</v>
      </c>
    </row>
    <row r="11" spans="1:18">
      <c r="A11" s="2761" t="s">
        <v>2512</v>
      </c>
      <c r="B11" s="2769">
        <v>70</v>
      </c>
      <c r="C11" s="2764" t="s">
        <v>2513</v>
      </c>
      <c r="D11" s="2769">
        <v>4.4999999999999998E-2</v>
      </c>
      <c r="E11" s="2764" t="s">
        <v>2514</v>
      </c>
      <c r="F11" s="2770">
        <f>ROUND(1-(1/(POWER(1+D11,B11))),4)</f>
        <v>0.95409999999999995</v>
      </c>
    </row>
    <row r="12" spans="1:18">
      <c r="A12" s="2761" t="s">
        <v>2515</v>
      </c>
      <c r="B12" s="2769">
        <v>40</v>
      </c>
      <c r="C12" s="2764" t="s">
        <v>2516</v>
      </c>
      <c r="D12" s="2769">
        <v>4.4999999999999998E-2</v>
      </c>
      <c r="E12" s="2764" t="s">
        <v>2517</v>
      </c>
      <c r="F12" s="2770">
        <f>ROUND(1-(1/(POWER(1+D12,B12))),4)</f>
        <v>0.82809999999999995</v>
      </c>
    </row>
    <row r="13" spans="1:18">
      <c r="A13" s="2761" t="s">
        <v>2518</v>
      </c>
      <c r="B13" s="2764"/>
      <c r="C13" s="2764"/>
      <c r="D13" s="2759"/>
      <c r="E13" s="2759"/>
      <c r="F13" s="2760"/>
    </row>
    <row r="14" spans="1:18">
      <c r="A14" s="2761" t="s">
        <v>2519</v>
      </c>
      <c r="B14" s="2769">
        <v>5000</v>
      </c>
      <c r="C14" s="2763"/>
      <c r="D14" s="2759"/>
      <c r="E14" s="2759"/>
      <c r="F14" s="2760"/>
    </row>
    <row r="15" spans="1:18">
      <c r="A15" s="2761" t="s">
        <v>2520</v>
      </c>
      <c r="B15" s="2764">
        <f>ROUND(B14*F12/F11,2)</f>
        <v>4339.6899999999996</v>
      </c>
      <c r="C15" s="2764">
        <f>ROUND(F12/F11,4)</f>
        <v>0.8679</v>
      </c>
      <c r="D15" s="2759"/>
      <c r="E15" s="2759"/>
      <c r="F15" s="2760"/>
    </row>
    <row r="16" spans="1:18">
      <c r="A16" s="2761" t="s">
        <v>2521</v>
      </c>
      <c r="B16" s="2764"/>
      <c r="C16" s="2764"/>
      <c r="D16" s="2759"/>
      <c r="E16" s="2759"/>
      <c r="F16" s="2760"/>
    </row>
    <row r="17" spans="1:13">
      <c r="A17" s="2761" t="s">
        <v>2520</v>
      </c>
      <c r="B17" s="2769">
        <v>4810</v>
      </c>
      <c r="C17" s="2763"/>
      <c r="D17" s="2759"/>
      <c r="E17" s="2759"/>
      <c r="F17" s="2760"/>
    </row>
    <row r="18" spans="1:13" ht="14.25" thickBot="1">
      <c r="A18" s="2771" t="s">
        <v>2519</v>
      </c>
      <c r="B18" s="2772">
        <f>ROUND(B17*F11/F12,2)</f>
        <v>5541.87</v>
      </c>
      <c r="C18" s="2772">
        <f>ROUND(F11/F12,4)</f>
        <v>1.1521999999999999</v>
      </c>
      <c r="D18" s="2773"/>
      <c r="E18" s="2773"/>
      <c r="F18" s="2774"/>
    </row>
    <row r="19" spans="1:13" ht="14.25" thickBot="1"/>
    <row r="20" spans="1:13" s="2807" customFormat="1" ht="14.25" thickTop="1">
      <c r="A20" s="2804" t="s">
        <v>2522</v>
      </c>
      <c r="B20" s="2805"/>
      <c r="C20" s="2805"/>
      <c r="D20" s="2805"/>
      <c r="E20" s="2805"/>
      <c r="F20" s="2805"/>
      <c r="G20" s="2806"/>
      <c r="I20" s="2808" t="s">
        <v>2567</v>
      </c>
      <c r="J20" s="2808" t="s">
        <v>2572</v>
      </c>
      <c r="K20" s="2808"/>
      <c r="L20" s="2808"/>
      <c r="M20" s="2808"/>
    </row>
    <row r="21" spans="1:13">
      <c r="A21" s="2775"/>
      <c r="B21" s="2776" t="s">
        <v>2523</v>
      </c>
      <c r="C21" s="2776" t="s">
        <v>2524</v>
      </c>
      <c r="D21" s="2776" t="s">
        <v>2525</v>
      </c>
      <c r="E21" s="2776" t="s">
        <v>2526</v>
      </c>
      <c r="F21" s="2776" t="s">
        <v>2527</v>
      </c>
      <c r="G21" s="2777" t="s">
        <v>2528</v>
      </c>
      <c r="I21" s="2798">
        <v>5</v>
      </c>
      <c r="J21" s="2798">
        <v>54.2</v>
      </c>
    </row>
    <row r="22" spans="1:13">
      <c r="A22" s="2775" t="s">
        <v>2529</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2530</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2570</v>
      </c>
      <c r="M23" s="2798" t="s">
        <v>2571</v>
      </c>
    </row>
    <row r="24" spans="1:13">
      <c r="A24" s="2775" t="s">
        <v>2531</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2569</v>
      </c>
      <c r="M24" s="2798">
        <v>10</v>
      </c>
    </row>
    <row r="25" spans="1:13">
      <c r="A25" s="2775" t="s">
        <v>2532</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2573</v>
      </c>
      <c r="M25" s="2798">
        <v>8</v>
      </c>
    </row>
    <row r="26" spans="1:13">
      <c r="A26" s="2780"/>
      <c r="B26" s="2781"/>
      <c r="C26" s="2781"/>
      <c r="D26" s="2781"/>
      <c r="E26" s="2781"/>
      <c r="F26" s="2781"/>
      <c r="G26" s="2782"/>
      <c r="I26" s="2798">
        <v>30</v>
      </c>
      <c r="J26" s="2798">
        <v>90.5</v>
      </c>
      <c r="K26" s="2798">
        <f t="shared" si="2"/>
        <v>4.2000000000000028</v>
      </c>
      <c r="L26" s="2798" t="s">
        <v>2574</v>
      </c>
      <c r="M26" s="2798">
        <v>5</v>
      </c>
    </row>
    <row r="27" spans="1:13">
      <c r="A27" s="2780" t="s">
        <v>2533</v>
      </c>
      <c r="B27" s="2781"/>
      <c r="C27" s="2781"/>
      <c r="D27" s="2781"/>
      <c r="E27" s="2781"/>
      <c r="F27" s="2781"/>
      <c r="G27" s="2782"/>
      <c r="I27" s="2798">
        <v>35</v>
      </c>
      <c r="J27" s="2798">
        <v>93.8</v>
      </c>
      <c r="K27" s="2798">
        <f t="shared" si="2"/>
        <v>3.2999999999999972</v>
      </c>
      <c r="L27" s="2798" t="s">
        <v>2575</v>
      </c>
      <c r="M27" s="2798">
        <v>3</v>
      </c>
    </row>
    <row r="28" spans="1:13">
      <c r="A28" s="2780" t="s">
        <v>2534</v>
      </c>
      <c r="B28" s="2781"/>
      <c r="C28" s="2781"/>
      <c r="D28" s="2781"/>
      <c r="E28" s="2781"/>
      <c r="F28" s="2781"/>
      <c r="G28" s="2782"/>
      <c r="I28" s="2798">
        <v>40</v>
      </c>
      <c r="J28" s="2798">
        <v>96.4</v>
      </c>
      <c r="K28" s="2798">
        <f t="shared" si="2"/>
        <v>2.6000000000000085</v>
      </c>
      <c r="L28" s="2798" t="s">
        <v>2576</v>
      </c>
      <c r="M28" s="2798">
        <v>2</v>
      </c>
    </row>
    <row r="29" spans="1:13">
      <c r="A29" s="2780" t="s">
        <v>2535</v>
      </c>
      <c r="B29" s="2781"/>
      <c r="C29" s="2781"/>
      <c r="D29" s="2781"/>
      <c r="E29" s="2781"/>
      <c r="F29" s="2781"/>
      <c r="G29" s="2782"/>
      <c r="I29" s="2798">
        <v>45</v>
      </c>
      <c r="J29" s="2798">
        <v>98.4</v>
      </c>
      <c r="K29" s="2798">
        <f t="shared" si="2"/>
        <v>2</v>
      </c>
    </row>
    <row r="30" spans="1:13">
      <c r="A30" s="2780" t="s">
        <v>2536</v>
      </c>
      <c r="B30" s="2781"/>
      <c r="C30" s="2781"/>
      <c r="D30" s="2781"/>
      <c r="E30" s="2781"/>
      <c r="F30" s="2781"/>
      <c r="G30" s="2782"/>
      <c r="I30" s="2798">
        <v>50</v>
      </c>
      <c r="J30" s="2798">
        <v>100</v>
      </c>
      <c r="K30" s="2798">
        <f t="shared" si="2"/>
        <v>1.5999999999999943</v>
      </c>
    </row>
    <row r="31" spans="1:13">
      <c r="A31" s="2780" t="s">
        <v>2537</v>
      </c>
      <c r="B31" s="2781"/>
      <c r="C31" s="2781"/>
      <c r="D31" s="2781"/>
      <c r="E31" s="2781"/>
      <c r="F31" s="2781"/>
      <c r="G31" s="2782"/>
      <c r="I31" s="2798" t="s">
        <v>2568</v>
      </c>
    </row>
    <row r="32" spans="1:13">
      <c r="A32" s="2780" t="s">
        <v>2538</v>
      </c>
      <c r="B32" s="2781"/>
      <c r="C32" s="2781"/>
      <c r="D32" s="2781"/>
      <c r="E32" s="2781"/>
      <c r="F32" s="2781"/>
      <c r="G32" s="2782"/>
    </row>
    <row r="33" spans="1:13">
      <c r="A33" s="2780" t="s">
        <v>2539</v>
      </c>
      <c r="B33" s="2781"/>
      <c r="C33" s="2781"/>
      <c r="D33" s="2781"/>
      <c r="E33" s="2781"/>
      <c r="F33" s="2781"/>
      <c r="G33" s="2782"/>
      <c r="I33" s="2798" t="s">
        <v>2567</v>
      </c>
      <c r="J33" s="2798" t="s">
        <v>2577</v>
      </c>
    </row>
    <row r="34" spans="1:13">
      <c r="A34" s="2780" t="s">
        <v>2540</v>
      </c>
      <c r="B34" s="2781"/>
      <c r="C34" s="2781"/>
      <c r="D34" s="2781"/>
      <c r="E34" s="2781"/>
      <c r="F34" s="2781"/>
      <c r="G34" s="2782"/>
      <c r="I34" s="2798">
        <v>5</v>
      </c>
      <c r="J34" s="2798">
        <v>55.1</v>
      </c>
    </row>
    <row r="35" spans="1:13">
      <c r="A35" s="2780" t="s">
        <v>2541</v>
      </c>
      <c r="B35" s="2781"/>
      <c r="C35" s="2781"/>
      <c r="D35" s="2781"/>
      <c r="E35" s="2781"/>
      <c r="F35" s="2781"/>
      <c r="G35" s="2782"/>
      <c r="I35" s="2798">
        <v>10</v>
      </c>
      <c r="J35" s="2798">
        <v>67</v>
      </c>
      <c r="K35" s="2798">
        <f>J35-J34</f>
        <v>11.899999999999999</v>
      </c>
    </row>
    <row r="36" spans="1:13">
      <c r="A36" s="2780" t="s">
        <v>2542</v>
      </c>
      <c r="B36" s="2781"/>
      <c r="C36" s="2781"/>
      <c r="D36" s="2781"/>
      <c r="E36" s="2781"/>
      <c r="F36" s="2781"/>
      <c r="G36" s="2782"/>
      <c r="I36" s="2798">
        <v>15</v>
      </c>
      <c r="J36" s="2798">
        <v>76.3</v>
      </c>
      <c r="K36" s="2798">
        <f t="shared" ref="K36:K41" si="3">J36-J35</f>
        <v>9.2999999999999972</v>
      </c>
      <c r="L36" s="2798" t="s">
        <v>2570</v>
      </c>
      <c r="M36" s="2798" t="s">
        <v>2571</v>
      </c>
    </row>
    <row r="37" spans="1:13">
      <c r="A37" s="2780" t="s">
        <v>2543</v>
      </c>
      <c r="B37" s="2781"/>
      <c r="C37" s="2781"/>
      <c r="D37" s="2781"/>
      <c r="E37" s="2781"/>
      <c r="F37" s="2781"/>
      <c r="G37" s="2782"/>
      <c r="I37" s="2798">
        <v>20</v>
      </c>
      <c r="J37" s="2798">
        <v>83.6</v>
      </c>
      <c r="K37" s="2798">
        <f t="shared" si="3"/>
        <v>7.2999999999999972</v>
      </c>
      <c r="L37" s="2798" t="s">
        <v>2569</v>
      </c>
      <c r="M37" s="2798">
        <v>10</v>
      </c>
    </row>
    <row r="38" spans="1:13">
      <c r="A38" s="2780" t="s">
        <v>2544</v>
      </c>
      <c r="B38" s="2781"/>
      <c r="C38" s="2781"/>
      <c r="D38" s="2781"/>
      <c r="E38" s="2781"/>
      <c r="F38" s="2781"/>
      <c r="G38" s="2782"/>
      <c r="I38" s="2798">
        <v>25</v>
      </c>
      <c r="J38" s="2798">
        <v>89.3</v>
      </c>
      <c r="K38" s="2798">
        <f t="shared" si="3"/>
        <v>5.7000000000000028</v>
      </c>
      <c r="L38" s="2798" t="s">
        <v>2573</v>
      </c>
      <c r="M38" s="2798">
        <v>8</v>
      </c>
    </row>
    <row r="39" spans="1:13">
      <c r="A39" s="2780"/>
      <c r="B39" s="2781"/>
      <c r="C39" s="2781"/>
      <c r="D39" s="2781"/>
      <c r="E39" s="2781"/>
      <c r="F39" s="2781"/>
      <c r="G39" s="2782"/>
      <c r="I39" s="2798">
        <v>30</v>
      </c>
      <c r="J39" s="2798">
        <v>93.8</v>
      </c>
      <c r="K39" s="2798">
        <f t="shared" si="3"/>
        <v>4.5</v>
      </c>
      <c r="L39" s="2798" t="s">
        <v>2574</v>
      </c>
      <c r="M39" s="2798">
        <v>6</v>
      </c>
    </row>
    <row r="40" spans="1:13">
      <c r="A40" s="2783" t="s">
        <v>2545</v>
      </c>
      <c r="B40" s="2784"/>
      <c r="C40" s="2784"/>
      <c r="D40" s="2784"/>
      <c r="E40" s="2784"/>
      <c r="F40" s="2784"/>
      <c r="G40" s="2785"/>
      <c r="I40" s="2798">
        <v>35</v>
      </c>
      <c r="J40" s="2798">
        <v>97.2</v>
      </c>
      <c r="K40" s="2798">
        <f t="shared" si="3"/>
        <v>3.4000000000000057</v>
      </c>
      <c r="L40" s="2798" t="s">
        <v>2575</v>
      </c>
      <c r="M40" s="2798">
        <v>3</v>
      </c>
    </row>
    <row r="41" spans="1:13">
      <c r="A41" s="2786" t="s">
        <v>2546</v>
      </c>
      <c r="B41" s="2787" t="s">
        <v>2547</v>
      </c>
      <c r="C41" s="2788" t="s">
        <v>2548</v>
      </c>
      <c r="D41" s="2788" t="s">
        <v>2549</v>
      </c>
      <c r="E41" s="2789"/>
      <c r="F41" s="2790"/>
      <c r="G41" s="2791"/>
      <c r="I41" s="2798">
        <v>40</v>
      </c>
      <c r="J41" s="2798">
        <v>100</v>
      </c>
      <c r="K41" s="2798">
        <f t="shared" si="3"/>
        <v>2.7999999999999972</v>
      </c>
    </row>
    <row r="42" spans="1:13">
      <c r="A42" s="2786" t="s">
        <v>2550</v>
      </c>
      <c r="B42" s="2787" t="s">
        <v>2551</v>
      </c>
      <c r="C42" s="2788" t="s">
        <v>2552</v>
      </c>
      <c r="D42" s="2792" t="s">
        <v>2553</v>
      </c>
      <c r="E42" s="2784" t="s">
        <v>2554</v>
      </c>
      <c r="F42" s="2784"/>
      <c r="G42" s="2785"/>
    </row>
    <row r="43" spans="1:13">
      <c r="A43" s="2786" t="s">
        <v>2555</v>
      </c>
      <c r="B43" s="2787" t="s">
        <v>2556</v>
      </c>
      <c r="C43" s="2788" t="s">
        <v>2557</v>
      </c>
      <c r="D43" s="2788" t="s">
        <v>2558</v>
      </c>
      <c r="E43" s="2789" t="s">
        <v>2559</v>
      </c>
      <c r="F43" s="2790"/>
      <c r="G43" s="2791"/>
      <c r="I43" s="2798" t="s">
        <v>2567</v>
      </c>
      <c r="J43" s="2798" t="s">
        <v>2578</v>
      </c>
    </row>
    <row r="44" spans="1:13">
      <c r="A44" s="2786" t="s">
        <v>2560</v>
      </c>
      <c r="B44" s="2787" t="s">
        <v>2561</v>
      </c>
      <c r="C44" s="2788" t="s">
        <v>2562</v>
      </c>
      <c r="D44" s="2792">
        <v>0.5</v>
      </c>
      <c r="E44" s="2789" t="s">
        <v>2563</v>
      </c>
      <c r="F44" s="2790"/>
      <c r="G44" s="2791"/>
      <c r="I44" s="2798">
        <v>30</v>
      </c>
      <c r="J44" s="2798">
        <v>81.7</v>
      </c>
    </row>
    <row r="45" spans="1:13" ht="14.25" thickBot="1">
      <c r="A45" s="2793" t="s">
        <v>2564</v>
      </c>
      <c r="B45" s="2794" t="s">
        <v>2551</v>
      </c>
      <c r="C45" s="2795" t="s">
        <v>2551</v>
      </c>
      <c r="D45" s="2795" t="s">
        <v>2565</v>
      </c>
      <c r="E45" s="2796" t="s">
        <v>2566</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L15" sqref="L15"/>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1" customWidth="1"/>
    <col min="12" max="13" width="10" style="2412"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79" t="s">
        <v>2168</v>
      </c>
      <c r="B1" s="3216" t="str">
        <f>IF(B10="北京市","北京市",C10)&amp;F10&amp;IF(结果表!G1="在建","出让国有建设用地使用权及在建建筑物",IF(结果表!G1="土地","出让国有建设用地使用权",))&amp;B9&amp;"预评估"</f>
        <v>北京市房地产市场价值预评估</v>
      </c>
      <c r="C1" s="3217"/>
      <c r="D1" s="3217"/>
      <c r="E1" s="3217"/>
      <c r="F1" s="3217"/>
      <c r="G1" s="3217"/>
      <c r="H1" s="3217"/>
      <c r="I1" s="3218"/>
      <c r="J1" s="2243"/>
      <c r="K1" s="2181"/>
      <c r="L1" s="2182"/>
      <c r="M1" s="2182"/>
      <c r="N1" s="2180"/>
      <c r="O1" s="1465"/>
      <c r="P1" s="2180"/>
      <c r="Q1" s="2180"/>
      <c r="R1" s="2180"/>
      <c r="S1" s="1560" t="str">
        <f>IF(B10="北京市","北京市",C10)&amp;F10&amp;IF(结果表!G1="在建","出让国有建设用地使用权及在建建筑物房地产抵押价值",IF(结果表!G1="土地","出让国有建设用地使用权抵押价值",B9))</f>
        <v>北京市房地产市场价值</v>
      </c>
      <c r="T1" s="1617"/>
      <c r="U1" s="1617"/>
      <c r="V1" s="1617"/>
      <c r="W1" s="1617"/>
      <c r="X1" s="1617"/>
      <c r="Y1" s="1617"/>
      <c r="Z1" s="1617"/>
      <c r="AA1" s="1617"/>
      <c r="AB1" s="1617"/>
    </row>
    <row r="2" spans="1:30">
      <c r="A2" s="2180" t="s">
        <v>2169</v>
      </c>
      <c r="B2" s="122"/>
      <c r="D2" s="2446"/>
      <c r="E2" s="2439"/>
      <c r="F2" s="2439"/>
      <c r="G2" s="2440"/>
      <c r="H2" s="2440"/>
      <c r="I2" s="2440"/>
      <c r="J2" s="2243"/>
      <c r="K2" s="2181"/>
      <c r="L2" s="2182"/>
      <c r="M2" s="2182"/>
      <c r="N2" s="2180"/>
      <c r="O2" s="1465"/>
      <c r="P2" s="2180"/>
      <c r="Q2" s="2180"/>
      <c r="R2" s="2180"/>
      <c r="S2" s="1560" t="str">
        <f>IF(B10="北京市","北京市",C10)&amp;F10&amp;IF(结果表!G1="在建","出让国有建设用地使用权及在建建筑物房地产",IF(结果表!G1="土地","出让国有建设用地使用权","房地产"))</f>
        <v>北京市房地产</v>
      </c>
      <c r="T2" s="1617"/>
      <c r="U2" s="1617"/>
      <c r="V2" s="1617"/>
      <c r="W2" s="1617"/>
      <c r="X2" s="1617"/>
      <c r="Y2" s="1617"/>
      <c r="Z2" s="1617"/>
      <c r="AA2" s="1617"/>
      <c r="AB2" s="1617"/>
    </row>
    <row r="3" spans="1:30">
      <c r="A3" s="294" t="s">
        <v>2170</v>
      </c>
      <c r="B3" s="2183">
        <v>45301</v>
      </c>
      <c r="C3" s="2184" t="s">
        <v>2171</v>
      </c>
      <c r="D3" s="2183">
        <f>B3</f>
        <v>45301</v>
      </c>
      <c r="E3" s="2440"/>
      <c r="F3" s="2440"/>
      <c r="G3" s="2440"/>
      <c r="H3" s="2440"/>
      <c r="I3" s="2440"/>
      <c r="J3" s="2243"/>
      <c r="K3" s="2181"/>
      <c r="L3" s="2182"/>
      <c r="M3" s="2182"/>
      <c r="N3" s="2180"/>
      <c r="O3" s="1465"/>
      <c r="P3" s="2180"/>
      <c r="Q3" s="2180"/>
      <c r="R3" s="2180"/>
      <c r="S3" s="1560"/>
      <c r="T3" s="1617"/>
      <c r="U3" s="1617"/>
      <c r="V3" s="1617"/>
      <c r="W3" s="1617"/>
      <c r="X3" s="1617"/>
      <c r="Y3" s="1617"/>
      <c r="Z3" s="1617"/>
      <c r="AA3" s="1617"/>
      <c r="AB3" s="1617"/>
    </row>
    <row r="4" spans="1:30" ht="13.5" thickBot="1">
      <c r="A4" s="1027" t="s">
        <v>2172</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5"/>
      <c r="P4" s="2180"/>
      <c r="Q4" s="2180"/>
      <c r="R4" s="2180"/>
      <c r="S4" s="1560"/>
      <c r="T4" s="1617"/>
      <c r="U4" s="1617"/>
      <c r="V4" s="1617"/>
      <c r="W4" s="1617"/>
      <c r="X4" s="1617"/>
      <c r="Y4" s="1617"/>
      <c r="Z4" s="1617"/>
      <c r="AA4" s="1617"/>
      <c r="AB4" s="1617"/>
    </row>
    <row r="5" spans="1:30" ht="13.5" thickTop="1">
      <c r="A5" s="2188" t="s">
        <v>2173</v>
      </c>
      <c r="B5" s="2189"/>
      <c r="C5" s="2190"/>
      <c r="D5" s="2191"/>
      <c r="E5" s="2440"/>
      <c r="F5" s="2440"/>
      <c r="G5" s="2440"/>
      <c r="H5" s="2440"/>
      <c r="I5" s="2440"/>
      <c r="J5" s="2243"/>
      <c r="K5" s="2187" t="str">
        <f>IF(F4="——","",IF(H4="——",F4&amp;"（注册号："&amp;G4&amp;")",CONCATENATE(F4,"（注册号：",G4,")、",H4,"（注册号：",I4,")")))</f>
        <v>（注册号：0)、（注册号：0)</v>
      </c>
      <c r="L5" s="2182"/>
      <c r="M5" s="2182"/>
      <c r="N5" s="2180"/>
      <c r="O5" s="1465"/>
      <c r="P5" s="2180"/>
      <c r="Q5" s="2180"/>
      <c r="R5" s="2180"/>
      <c r="S5" s="1617"/>
      <c r="T5" s="1617"/>
      <c r="U5" s="1617"/>
      <c r="V5" s="1617"/>
      <c r="W5" s="1617"/>
      <c r="X5" s="1617"/>
      <c r="Y5" s="1617"/>
      <c r="Z5" s="1617"/>
      <c r="AA5" s="1617"/>
      <c r="AB5" s="1617"/>
    </row>
    <row r="6" spans="1:30">
      <c r="A6" s="2192" t="s">
        <v>2174</v>
      </c>
      <c r="B6" s="2193"/>
      <c r="C6" s="2194"/>
      <c r="D6" s="2195"/>
      <c r="E6" s="2439"/>
      <c r="F6" s="2440"/>
      <c r="G6" s="2440"/>
      <c r="H6" s="2440"/>
      <c r="I6" s="2440"/>
      <c r="J6" s="2243"/>
      <c r="K6" s="2399" t="str">
        <f>IF(COUNTIF(B6,"*上海银行*"),"上海银行","")</f>
        <v/>
      </c>
      <c r="L6" s="2397"/>
      <c r="M6" s="2397"/>
      <c r="N6" s="2243"/>
      <c r="O6" s="1669"/>
      <c r="P6" s="2243"/>
      <c r="Q6" s="2243"/>
      <c r="R6" s="2243"/>
    </row>
    <row r="7" spans="1:30">
      <c r="A7" s="2192" t="s">
        <v>2175</v>
      </c>
      <c r="B7" s="2196"/>
      <c r="C7" s="2194"/>
      <c r="D7" s="2195"/>
      <c r="E7" s="2439"/>
      <c r="F7" s="2440"/>
      <c r="G7" s="2440"/>
      <c r="H7" s="2440"/>
      <c r="I7" s="2440"/>
      <c r="J7" s="2243"/>
      <c r="K7" s="2400"/>
      <c r="L7" s="2397"/>
      <c r="M7" s="2397"/>
      <c r="N7" s="2243"/>
      <c r="O7" s="1669"/>
      <c r="P7" s="2243"/>
      <c r="Q7" s="2243"/>
      <c r="R7" s="2243"/>
    </row>
    <row r="8" spans="1:30">
      <c r="A8" s="2197" t="s">
        <v>2176</v>
      </c>
      <c r="B8" s="2198" t="s">
        <v>3382</v>
      </c>
      <c r="C8" s="2199"/>
      <c r="D8" s="3219" t="s">
        <v>2177</v>
      </c>
      <c r="E8" s="2200"/>
      <c r="F8" s="2201"/>
      <c r="G8" s="2440"/>
      <c r="H8" s="2440"/>
      <c r="I8" s="2440"/>
      <c r="J8" s="2243"/>
      <c r="K8" s="2398"/>
      <c r="L8" s="2397"/>
      <c r="M8" s="2397"/>
      <c r="N8" s="2243"/>
      <c r="O8" s="1669"/>
      <c r="P8" s="2243"/>
      <c r="Q8" s="2243"/>
      <c r="R8" s="2243"/>
    </row>
    <row r="9" spans="1:30" ht="13.5" thickBot="1">
      <c r="A9" s="2202" t="s">
        <v>2178</v>
      </c>
      <c r="B9" s="2203" t="s">
        <v>3383</v>
      </c>
      <c r="C9" s="2204"/>
      <c r="D9" s="3220"/>
      <c r="E9" s="2203"/>
      <c r="F9" s="2205"/>
      <c r="G9" s="2441"/>
      <c r="H9" s="2441"/>
      <c r="I9" s="2441"/>
      <c r="J9" s="2243"/>
      <c r="K9" s="2400"/>
      <c r="L9" s="2397"/>
      <c r="M9" s="2397"/>
      <c r="N9" s="2243"/>
      <c r="O9" s="1669"/>
      <c r="P9" s="2243"/>
      <c r="Q9" s="2243"/>
      <c r="R9" s="2243"/>
    </row>
    <row r="10" spans="1:30" ht="13.5" thickTop="1">
      <c r="A10" s="2206" t="s">
        <v>2179</v>
      </c>
      <c r="B10" s="2207" t="s">
        <v>3384</v>
      </c>
      <c r="C10" s="2208"/>
      <c r="D10" s="2191"/>
      <c r="E10" s="2209" t="s">
        <v>2180</v>
      </c>
      <c r="F10" s="2442"/>
      <c r="G10" s="2443"/>
      <c r="H10" s="2444"/>
      <c r="I10" s="2445"/>
      <c r="J10" s="2243"/>
      <c r="K10" s="2400"/>
      <c r="L10" s="2397"/>
      <c r="M10" s="2397"/>
      <c r="N10" s="2243"/>
      <c r="O10" s="1669"/>
      <c r="P10" s="2243"/>
      <c r="Q10" s="2243"/>
      <c r="R10" s="2243"/>
    </row>
    <row r="11" spans="1:30">
      <c r="A11" s="2210" t="s">
        <v>2181</v>
      </c>
      <c r="B11" s="2211" t="s">
        <v>3385</v>
      </c>
      <c r="C11" s="2212"/>
      <c r="D11" s="2213"/>
      <c r="E11" s="2180"/>
      <c r="F11" s="2180"/>
      <c r="G11" s="2180"/>
      <c r="H11" s="2180"/>
      <c r="I11" s="2180"/>
      <c r="J11" s="2800"/>
      <c r="K11" s="2397"/>
      <c r="L11" s="2397"/>
      <c r="M11" s="2397"/>
      <c r="N11" s="2243"/>
      <c r="O11" s="1669"/>
      <c r="P11" s="2243"/>
      <c r="Q11" s="2243"/>
      <c r="R11" s="2243"/>
    </row>
    <row r="12" spans="1:30">
      <c r="A12" s="2214" t="s">
        <v>2182</v>
      </c>
      <c r="B12" s="315" t="s">
        <v>2183</v>
      </c>
      <c r="C12" s="2215" t="s">
        <v>2184</v>
      </c>
      <c r="D12" s="2215" t="s">
        <v>2185</v>
      </c>
      <c r="E12" s="2215" t="s">
        <v>2186</v>
      </c>
      <c r="F12" s="2215" t="s">
        <v>2187</v>
      </c>
      <c r="G12" s="2215" t="s">
        <v>2188</v>
      </c>
      <c r="H12" s="2215" t="s">
        <v>2189</v>
      </c>
      <c r="I12" s="2799" t="s">
        <v>2579</v>
      </c>
      <c r="J12" s="2801"/>
      <c r="K12" s="2397"/>
      <c r="L12" s="2397"/>
      <c r="M12" s="2243"/>
      <c r="N12" s="1669"/>
      <c r="O12" s="2243"/>
      <c r="P12" s="2243"/>
      <c r="Q12" s="2243"/>
      <c r="AD12" s="1617"/>
    </row>
    <row r="13" spans="1:30">
      <c r="A13" s="3120" t="s">
        <v>3335</v>
      </c>
      <c r="B13" s="2216" t="s">
        <v>2190</v>
      </c>
      <c r="C13" s="803">
        <v>66157</v>
      </c>
      <c r="D13" s="803"/>
      <c r="E13" s="803"/>
      <c r="F13" s="803"/>
      <c r="G13" s="803"/>
      <c r="H13" s="803"/>
      <c r="I13" s="803"/>
      <c r="J13" s="2801"/>
      <c r="K13" s="2397"/>
      <c r="L13" s="2397"/>
      <c r="M13" s="2243"/>
      <c r="N13" s="1669"/>
      <c r="O13" s="2243"/>
      <c r="P13" s="2243"/>
      <c r="Q13" s="2243"/>
      <c r="AD13" s="1617"/>
    </row>
    <row r="14" spans="1:30">
      <c r="A14" s="1018"/>
      <c r="B14" s="2216" t="s">
        <v>2191</v>
      </c>
      <c r="C14" s="2217">
        <v>70</v>
      </c>
      <c r="D14" s="2217"/>
      <c r="E14" s="2217"/>
      <c r="F14" s="2217"/>
      <c r="G14" s="2217"/>
      <c r="H14" s="2217"/>
      <c r="I14" s="2217"/>
      <c r="J14" s="2802"/>
      <c r="K14" s="2397"/>
      <c r="L14" s="2397"/>
      <c r="M14" s="2243"/>
      <c r="N14" s="1669"/>
      <c r="O14" s="2243"/>
      <c r="P14" s="2243"/>
      <c r="Q14" s="2243"/>
      <c r="AD14" s="1617"/>
    </row>
    <row r="15" spans="1:30">
      <c r="A15" s="312"/>
      <c r="B15" s="2218" t="s">
        <v>2192</v>
      </c>
      <c r="C15" s="2219">
        <f>IF(A13="出让",IF(C13="","",ROUNDDOWN(MIN((C13-$D$3)/365,C14),2)),C14)</f>
        <v>57.13</v>
      </c>
      <c r="D15" s="2219" t="str">
        <f>IF(A13="出让",IF(D13="","",ROUNDDOWN(MIN((D13-$D$3)/365,D14),2)),D14)</f>
        <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3"/>
      <c r="K15" s="1669"/>
      <c r="L15" s="3164">
        <v>40589</v>
      </c>
      <c r="M15" s="2243"/>
      <c r="N15" s="1669"/>
      <c r="O15" s="2243"/>
      <c r="P15" s="2243"/>
      <c r="Q15" s="2243"/>
      <c r="AD15" s="1617"/>
    </row>
    <row r="16" spans="1:30">
      <c r="A16" s="2209" t="s">
        <v>2193</v>
      </c>
      <c r="B16" s="3226"/>
      <c r="C16" s="3227"/>
      <c r="D16" s="3228"/>
      <c r="E16" s="2220" t="s">
        <v>2194</v>
      </c>
      <c r="F16" s="3229"/>
      <c r="G16" s="3230"/>
      <c r="H16" s="3230"/>
      <c r="I16" s="3231"/>
      <c r="J16" s="2243"/>
      <c r="K16" s="2401"/>
      <c r="L16" s="1669"/>
      <c r="M16" s="1669"/>
      <c r="N16" s="2243"/>
      <c r="O16" s="1669"/>
      <c r="P16" s="2243"/>
      <c r="Q16" s="2243"/>
      <c r="R16" s="2243"/>
    </row>
    <row r="17" spans="1:28">
      <c r="A17" s="305" t="s">
        <v>2195</v>
      </c>
      <c r="B17" s="294" t="s">
        <v>2196</v>
      </c>
      <c r="C17" s="8">
        <f>'数据-汇总表'!E3</f>
        <v>44.28</v>
      </c>
      <c r="D17" s="1255" t="s">
        <v>2197</v>
      </c>
      <c r="E17" s="3232" t="s">
        <v>2198</v>
      </c>
      <c r="F17" s="3233"/>
      <c r="G17" s="3233"/>
      <c r="H17" s="3233"/>
      <c r="I17" s="3234"/>
      <c r="J17" s="2243"/>
      <c r="K17" s="2402"/>
      <c r="L17" s="1669"/>
      <c r="M17" s="1669"/>
      <c r="N17" s="2243"/>
      <c r="O17" s="1669"/>
      <c r="P17" s="2243"/>
      <c r="Q17" s="2243"/>
      <c r="R17" s="2243"/>
      <c r="S17" s="2243"/>
      <c r="T17" s="2243"/>
      <c r="U17" s="2243"/>
      <c r="V17" s="2243"/>
    </row>
    <row r="18" spans="1:28" ht="24.75" thickBot="1">
      <c r="A18" s="2221" t="s">
        <v>2199</v>
      </c>
      <c r="B18" s="1027" t="s">
        <v>2200</v>
      </c>
      <c r="C18" s="2222">
        <f>'数据-汇总表'!D3</f>
        <v>0</v>
      </c>
      <c r="D18" s="1029" t="s">
        <v>2201</v>
      </c>
      <c r="E18" s="3235" t="s">
        <v>2202</v>
      </c>
      <c r="F18" s="3236"/>
      <c r="G18" s="3236"/>
      <c r="H18" s="3236"/>
      <c r="I18" s="3237"/>
      <c r="J18" s="2243"/>
      <c r="K18" s="2402"/>
      <c r="L18" s="1669"/>
      <c r="M18" s="1669"/>
      <c r="N18" s="2243"/>
      <c r="O18" s="1669"/>
      <c r="P18" s="2243"/>
      <c r="Q18" s="2243"/>
      <c r="R18" s="2243"/>
      <c r="S18" s="2243"/>
      <c r="T18" s="2243"/>
      <c r="U18" s="2243"/>
      <c r="V18" s="2243"/>
    </row>
    <row r="19" spans="1:28" ht="37.5" thickTop="1" thickBot="1">
      <c r="A19" s="319" t="s">
        <v>1055</v>
      </c>
      <c r="B19" s="299" t="s">
        <v>2203</v>
      </c>
      <c r="C19" s="1454"/>
      <c r="D19" s="1455" t="s">
        <v>2204</v>
      </c>
      <c r="E19" s="1456"/>
      <c r="F19" s="1457" t="str">
        <f>IF(AND(C19="是",E19="否"),"是否提供他项权证或相关说明","")</f>
        <v/>
      </c>
      <c r="G19" s="1458"/>
      <c r="H19" s="2440"/>
      <c r="I19" s="2440"/>
      <c r="J19" s="2243"/>
      <c r="K19" s="2400"/>
      <c r="L19" s="2397"/>
      <c r="M19" s="2397"/>
      <c r="N19" s="2243"/>
      <c r="O19" s="1669"/>
      <c r="P19" s="2243"/>
      <c r="Q19" s="2243"/>
      <c r="R19" s="2243"/>
      <c r="S19" s="2243"/>
      <c r="T19" s="2243"/>
      <c r="U19" s="2243"/>
      <c r="V19" s="2243"/>
    </row>
    <row r="20" spans="1:28">
      <c r="A20" s="2415" t="s">
        <v>2205</v>
      </c>
      <c r="B20" s="3222" t="s">
        <v>2206</v>
      </c>
      <c r="C20" s="3223"/>
      <c r="D20" s="3224" t="s">
        <v>2207</v>
      </c>
      <c r="E20" s="3225"/>
      <c r="F20" s="2428" t="s">
        <v>1056</v>
      </c>
      <c r="G20" s="2440"/>
      <c r="H20" s="2440"/>
      <c r="I20" s="2440"/>
      <c r="J20" s="2243"/>
      <c r="K20" s="3221"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5"/>
      <c r="P20" s="2180"/>
      <c r="Q20" s="2180"/>
      <c r="R20" s="2180"/>
      <c r="S20" s="2180"/>
      <c r="T20" s="2180"/>
      <c r="U20" s="2180"/>
      <c r="V20" s="2180"/>
      <c r="W20" s="1617"/>
      <c r="X20" s="1617"/>
      <c r="Y20" s="1617"/>
      <c r="Z20" s="1617"/>
      <c r="AA20" s="1617"/>
      <c r="AB20" s="1617"/>
    </row>
    <row r="21" spans="1:28" ht="24.75" thickBot="1">
      <c r="A21" s="2415"/>
      <c r="B21" s="2416" t="s">
        <v>2209</v>
      </c>
      <c r="C21" s="2294" t="s">
        <v>1057</v>
      </c>
      <c r="D21" s="1459" t="s">
        <v>2210</v>
      </c>
      <c r="E21" s="2417" t="s">
        <v>1057</v>
      </c>
      <c r="F21" s="2429"/>
      <c r="G21" s="2440"/>
      <c r="H21" s="2440"/>
      <c r="I21" s="2440"/>
      <c r="J21" s="2243"/>
      <c r="K21" s="3221"/>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5"/>
      <c r="P21" s="2180"/>
      <c r="Q21" s="2180"/>
      <c r="R21" s="2180"/>
      <c r="S21" s="2180"/>
      <c r="T21" s="2180"/>
      <c r="U21" s="2180"/>
      <c r="V21" s="2180"/>
      <c r="W21" s="1617"/>
      <c r="X21" s="1617"/>
      <c r="Y21" s="1617"/>
      <c r="Z21" s="1617"/>
      <c r="AA21" s="1617"/>
      <c r="AB21" s="1617"/>
    </row>
    <row r="22" spans="1:28" ht="24.75" thickBot="1">
      <c r="A22" s="2415"/>
      <c r="B22" s="2418" t="s">
        <v>2211</v>
      </c>
      <c r="C22" s="2294" t="s">
        <v>1058</v>
      </c>
      <c r="D22" s="2440"/>
      <c r="E22" s="2440"/>
      <c r="F22" s="2440"/>
      <c r="G22" s="2440"/>
      <c r="H22" s="2440"/>
      <c r="I22" s="2440"/>
      <c r="J22" s="2243"/>
      <c r="K22" s="3221"/>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5"/>
      <c r="P22" s="2180"/>
      <c r="Q22" s="2180"/>
      <c r="R22" s="2180"/>
      <c r="S22" s="2180"/>
      <c r="T22" s="2180"/>
      <c r="U22" s="2180"/>
      <c r="V22" s="2180"/>
      <c r="W22" s="1617"/>
      <c r="X22" s="1617"/>
      <c r="Y22" s="1617"/>
      <c r="Z22" s="1617"/>
      <c r="AA22" s="1617"/>
      <c r="AB22" s="1617"/>
    </row>
    <row r="23" spans="1:28">
      <c r="A23" s="2419" t="s">
        <v>2212</v>
      </c>
      <c r="B23" s="2291" t="s">
        <v>2213</v>
      </c>
      <c r="C23" s="2420"/>
      <c r="D23" s="2421" t="s">
        <v>2213</v>
      </c>
      <c r="E23" s="2422"/>
      <c r="F23" s="2440"/>
      <c r="G23" s="2440"/>
      <c r="H23" s="2440"/>
      <c r="I23" s="2440"/>
      <c r="J23" s="2243"/>
      <c r="K23" s="2399"/>
      <c r="L23" s="121"/>
      <c r="M23" s="2397"/>
      <c r="N23" s="2243"/>
      <c r="O23" s="1669"/>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9"/>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9"/>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69"/>
      <c r="P26" s="2243"/>
      <c r="Q26" s="2243"/>
      <c r="R26" s="2243"/>
      <c r="S26" s="2243"/>
      <c r="T26" s="2243"/>
      <c r="U26" s="2243"/>
      <c r="V26" s="2243"/>
    </row>
    <row r="27" spans="1:28" ht="13.5" thickTop="1">
      <c r="A27" s="3210" t="s">
        <v>2214</v>
      </c>
      <c r="B27" s="312" t="s">
        <v>2215</v>
      </c>
      <c r="C27" s="2223"/>
      <c r="D27" s="2224"/>
      <c r="E27" s="2440"/>
      <c r="F27" s="2440"/>
      <c r="G27" s="2440"/>
      <c r="H27" s="2440"/>
      <c r="I27" s="2440"/>
      <c r="J27" s="2243"/>
      <c r="K27" s="2401"/>
      <c r="L27" s="1669"/>
      <c r="M27" s="1669"/>
      <c r="N27" s="2243"/>
      <c r="O27" s="1669"/>
      <c r="P27" s="2243"/>
      <c r="Q27" s="2243"/>
      <c r="R27" s="2243"/>
      <c r="S27" s="2243"/>
      <c r="T27" s="2243"/>
      <c r="U27" s="2243"/>
      <c r="V27" s="2243"/>
    </row>
    <row r="28" spans="1:28">
      <c r="A28" s="3210"/>
      <c r="B28" s="294" t="s">
        <v>2216</v>
      </c>
      <c r="C28" s="2225"/>
      <c r="D28" s="2226"/>
      <c r="E28" s="2440"/>
      <c r="F28" s="2440"/>
      <c r="G28" s="2440"/>
      <c r="H28" s="2440"/>
      <c r="I28" s="2440"/>
      <c r="J28" s="2243"/>
      <c r="K28" s="2400"/>
      <c r="L28" s="2397"/>
      <c r="M28" s="2397"/>
      <c r="N28" s="2243"/>
      <c r="O28" s="1669"/>
      <c r="P28" s="2243"/>
      <c r="Q28" s="2243"/>
      <c r="R28" s="2243"/>
      <c r="S28" s="2243"/>
      <c r="T28" s="2243"/>
      <c r="U28" s="2243"/>
      <c r="V28" s="2243"/>
    </row>
    <row r="29" spans="1:28">
      <c r="A29" s="3210"/>
      <c r="B29" s="294" t="s">
        <v>2217</v>
      </c>
      <c r="C29" s="2227"/>
      <c r="D29" s="2228"/>
      <c r="E29" s="2440"/>
      <c r="F29" s="2440"/>
      <c r="G29" s="2440"/>
      <c r="H29" s="2440"/>
      <c r="I29" s="2440"/>
      <c r="J29" s="2243"/>
      <c r="K29" s="2400"/>
      <c r="L29" s="2397"/>
      <c r="M29" s="2397"/>
      <c r="N29" s="2243"/>
      <c r="O29" s="1669"/>
      <c r="P29" s="2243"/>
      <c r="Q29" s="2243"/>
      <c r="R29" s="2243"/>
      <c r="S29" s="2243"/>
      <c r="T29" s="2243"/>
      <c r="U29" s="2243"/>
      <c r="V29" s="2243"/>
    </row>
    <row r="30" spans="1:28">
      <c r="A30" s="3211"/>
      <c r="B30" s="294" t="s">
        <v>2218</v>
      </c>
      <c r="C30" s="3212"/>
      <c r="D30" s="3213"/>
      <c r="E30" s="2440"/>
      <c r="F30" s="2440"/>
      <c r="G30" s="2440"/>
      <c r="H30" s="2440"/>
      <c r="I30" s="2440"/>
      <c r="J30" s="2243"/>
      <c r="K30" s="2400"/>
      <c r="L30" s="2397"/>
      <c r="M30" s="2397"/>
      <c r="N30" s="2243"/>
      <c r="O30" s="1669"/>
      <c r="P30" s="2243"/>
      <c r="Q30" s="2243"/>
      <c r="R30" s="2243"/>
      <c r="S30" s="2243"/>
      <c r="T30" s="2243"/>
      <c r="U30" s="2243"/>
      <c r="V30" s="2243"/>
    </row>
    <row r="31" spans="1:28">
      <c r="A31" s="3214" t="s">
        <v>2219</v>
      </c>
      <c r="B31" s="2229"/>
      <c r="C31" s="12" t="str">
        <f>IF(B31="现房","成新及维护状况正常否",IF(B31="在建","工程状态是否正常",IF(B31="土地","是否闲置","-")))</f>
        <v>-</v>
      </c>
      <c r="D31" s="1280"/>
      <c r="E31" s="2230"/>
      <c r="F31" s="2440"/>
      <c r="G31" s="2440"/>
      <c r="H31" s="2440"/>
      <c r="I31" s="2440"/>
      <c r="J31" s="2243"/>
      <c r="K31" s="2399"/>
      <c r="L31" s="2397"/>
      <c r="M31" s="2397"/>
      <c r="N31" s="2243"/>
      <c r="O31" s="1669"/>
      <c r="P31" s="2243"/>
      <c r="Q31" s="2243"/>
      <c r="R31" s="2243"/>
      <c r="S31" s="2243"/>
      <c r="T31" s="2243"/>
      <c r="U31" s="2243"/>
      <c r="V31" s="2243"/>
    </row>
    <row r="32" spans="1:28">
      <c r="A32" s="3215"/>
      <c r="B32" s="2229"/>
      <c r="C32" s="12" t="str">
        <f>IF(B32="现房","成新及维护状况是否正常",IF(B32="在建","工程状态是否正常",IF(B32="土地","是否闲置","-")))</f>
        <v>-</v>
      </c>
      <c r="D32" s="1280"/>
      <c r="E32" s="2230"/>
      <c r="F32" s="2440"/>
      <c r="G32" s="2440"/>
      <c r="H32" s="2440"/>
      <c r="I32" s="2440"/>
      <c r="J32" s="2243"/>
      <c r="K32" s="2400"/>
      <c r="L32" s="2397"/>
      <c r="M32" s="2397"/>
      <c r="N32" s="2243"/>
      <c r="O32" s="1669"/>
      <c r="P32" s="2243"/>
      <c r="Q32" s="2243"/>
      <c r="R32" s="2243"/>
      <c r="S32" s="2243"/>
      <c r="T32" s="2243"/>
      <c r="U32" s="2243"/>
      <c r="V32" s="2243"/>
    </row>
    <row r="33" spans="1:30">
      <c r="A33" s="3215"/>
      <c r="B33" s="2232"/>
      <c r="C33" s="1477" t="str">
        <f>IF(B33="现房","成新及维护状况是否正常",IF(B33="在建","工程状态是否正常",IF(B33="土地","是否闲置","-")))</f>
        <v>-</v>
      </c>
      <c r="D33" s="1273"/>
      <c r="E33" s="2233"/>
      <c r="F33" s="2440"/>
      <c r="G33" s="2440"/>
      <c r="H33" s="2440"/>
      <c r="I33" s="2440"/>
      <c r="J33" s="2243"/>
      <c r="K33" s="2400"/>
      <c r="L33" s="2397"/>
      <c r="M33" s="2397"/>
      <c r="N33" s="2243"/>
      <c r="O33" s="1669"/>
      <c r="P33" s="2243"/>
      <c r="Q33" s="2243"/>
      <c r="R33" s="2243"/>
      <c r="S33" s="2243"/>
      <c r="T33" s="2243"/>
      <c r="U33" s="2243"/>
      <c r="V33" s="2243"/>
    </row>
    <row r="34" spans="1:30">
      <c r="A34" s="294" t="s">
        <v>2220</v>
      </c>
      <c r="B34" s="1868"/>
      <c r="C34" s="1868"/>
      <c r="D34" s="1868"/>
      <c r="E34" s="1868"/>
      <c r="F34" s="1868"/>
      <c r="G34" s="1868"/>
      <c r="H34" s="1868"/>
      <c r="I34" s="2440"/>
      <c r="J34" s="2243"/>
      <c r="K34" s="8">
        <f>COUNTIF(B34:H34,"——")</f>
        <v>0</v>
      </c>
      <c r="L34" s="315" t="s">
        <v>2221</v>
      </c>
      <c r="M34" s="315" t="s">
        <v>2222</v>
      </c>
      <c r="N34" s="315" t="s">
        <v>2223</v>
      </c>
      <c r="O34" s="315" t="s">
        <v>2224</v>
      </c>
      <c r="P34" s="315" t="s">
        <v>2225</v>
      </c>
      <c r="Q34" s="315" t="s">
        <v>2226</v>
      </c>
      <c r="R34" s="315" t="s">
        <v>2227</v>
      </c>
      <c r="S34" s="3209" t="s">
        <v>2228</v>
      </c>
      <c r="T34" s="315" t="str">
        <f>NUMBERSTRING(7-K34,1)&amp;"通"</f>
        <v>七通</v>
      </c>
      <c r="U34" s="2243"/>
      <c r="V34" s="2243"/>
    </row>
    <row r="35" spans="1:30">
      <c r="A35" s="2234"/>
      <c r="B35" s="3209" t="s">
        <v>2229</v>
      </c>
      <c r="C35" s="3209"/>
      <c r="D35" s="3209"/>
      <c r="E35" s="3209"/>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9"/>
      <c r="T35" s="138" t="str">
        <f>IF(T34="一通",L35,IF(T34="二通",M35,IF(T34="三通",N35,IF(T34="四通",O35,IF(T34="五通",P35,IF(T34="六通",Q35,R35))))))</f>
        <v>、、、、、、</v>
      </c>
      <c r="U35" s="2243"/>
      <c r="V35" s="2243"/>
    </row>
    <row r="36" spans="1:30">
      <c r="A36" s="2181"/>
      <c r="B36" s="8" t="s">
        <v>2185</v>
      </c>
      <c r="C36" s="8" t="s">
        <v>2186</v>
      </c>
      <c r="D36" s="8" t="s">
        <v>2184</v>
      </c>
      <c r="E36" s="8" t="s">
        <v>2189</v>
      </c>
      <c r="F36" s="2799" t="s">
        <v>2582</v>
      </c>
      <c r="G36" s="2440"/>
      <c r="H36" s="2440"/>
      <c r="I36" s="2440"/>
      <c r="J36" s="2243"/>
      <c r="K36" s="2400"/>
      <c r="L36" s="2397"/>
      <c r="M36" s="2397"/>
      <c r="N36" s="2243"/>
      <c r="O36" s="1669"/>
      <c r="P36" s="2243"/>
      <c r="Q36" s="2243"/>
      <c r="R36" s="2243"/>
      <c r="S36" s="2243"/>
      <c r="T36" s="2243"/>
      <c r="U36" s="2243"/>
      <c r="V36" s="2243"/>
    </row>
    <row r="37" spans="1:30">
      <c r="A37" s="2413" t="s">
        <v>2230</v>
      </c>
      <c r="B37" s="2235"/>
      <c r="C37" s="2235"/>
      <c r="D37" s="2235" t="s">
        <v>184</v>
      </c>
      <c r="E37" s="2235"/>
      <c r="F37" s="2235"/>
      <c r="G37" s="2440"/>
      <c r="H37" s="2440"/>
      <c r="I37" s="2440"/>
      <c r="J37" s="2243"/>
      <c r="K37" s="2400"/>
      <c r="L37" s="2397"/>
      <c r="M37" s="2397"/>
      <c r="N37" s="2243"/>
      <c r="O37" s="1669"/>
      <c r="P37" s="2243"/>
      <c r="Q37" s="2243"/>
      <c r="R37" s="2243"/>
      <c r="S37" s="2243"/>
      <c r="T37" s="2243"/>
      <c r="U37" s="2243"/>
      <c r="V37" s="2243"/>
    </row>
    <row r="38" spans="1:30" ht="13.5" thickBot="1">
      <c r="A38" s="2414" t="s">
        <v>2231</v>
      </c>
      <c r="B38" s="2236"/>
      <c r="C38" s="2236"/>
      <c r="D38" s="2236" t="s">
        <v>194</v>
      </c>
      <c r="E38" s="2236"/>
      <c r="F38" s="2236"/>
      <c r="G38" s="2441"/>
      <c r="H38" s="2441"/>
      <c r="I38" s="2441"/>
      <c r="J38" s="2243"/>
      <c r="K38" s="2400"/>
      <c r="L38" s="2397"/>
      <c r="M38" s="2397"/>
      <c r="N38" s="2243"/>
      <c r="O38" s="1669"/>
      <c r="P38" s="2243"/>
      <c r="Q38" s="2243"/>
      <c r="R38" s="2243"/>
      <c r="S38" s="2243"/>
      <c r="T38" s="2243"/>
      <c r="U38" s="2243"/>
      <c r="V38" s="2243"/>
    </row>
    <row r="39" spans="1:30" s="2239" customFormat="1" ht="14.25" thickTop="1" thickBot="1">
      <c r="A39" s="2237" t="s">
        <v>2232</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0"/>
      <c r="B40" s="2180"/>
      <c r="C40" s="2180"/>
      <c r="D40" s="2180"/>
      <c r="E40" s="2180"/>
      <c r="F40" s="2180"/>
      <c r="G40" s="2180"/>
      <c r="H40" s="2180"/>
      <c r="I40" s="1465"/>
      <c r="J40" s="2243"/>
      <c r="K40" s="2399"/>
      <c r="L40" s="1669"/>
      <c r="M40" s="1669"/>
      <c r="N40" s="2243"/>
      <c r="O40" s="1669"/>
      <c r="P40" s="2243"/>
      <c r="Q40" s="2243"/>
      <c r="R40" s="2243"/>
      <c r="S40" s="2243"/>
      <c r="T40" s="2243"/>
      <c r="U40" s="2243"/>
      <c r="V40" s="2243"/>
    </row>
    <row r="41" spans="1:30">
      <c r="A41" s="2240" t="s">
        <v>2233</v>
      </c>
      <c r="B41" s="1626"/>
      <c r="C41" s="1280"/>
      <c r="D41" s="2180"/>
      <c r="E41" s="2180"/>
      <c r="F41" s="2180"/>
      <c r="G41" s="2180"/>
      <c r="H41" s="2180"/>
      <c r="I41" s="1465"/>
      <c r="J41" s="2243"/>
      <c r="K41" s="2400"/>
      <c r="L41" s="2397"/>
      <c r="M41" s="2397"/>
      <c r="N41" s="2243"/>
      <c r="O41" s="1669"/>
      <c r="P41" s="2243"/>
      <c r="Q41" s="2243"/>
      <c r="R41" s="2243"/>
      <c r="S41" s="2243"/>
      <c r="T41" s="2243"/>
      <c r="U41" s="2243"/>
      <c r="V41" s="2243"/>
    </row>
    <row r="42" spans="1:30" ht="25.5">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3"/>
      <c r="T42" s="2243"/>
      <c r="U42" s="2243"/>
      <c r="V42" s="2243"/>
    </row>
    <row r="43" spans="1:30" s="1615" customFormat="1">
      <c r="A43" s="1461"/>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5" customFormat="1">
      <c r="A44" s="1461"/>
      <c r="B44" s="1461"/>
      <c r="C44" s="628"/>
      <c r="D44" s="628"/>
      <c r="E44" s="628"/>
      <c r="F44" s="628"/>
      <c r="G44" s="628"/>
      <c r="H44" s="628"/>
      <c r="I44" s="628"/>
      <c r="J44" s="2241"/>
      <c r="K44" s="2242"/>
      <c r="L44" s="2242"/>
      <c r="M44" s="628"/>
      <c r="N44" s="628"/>
      <c r="O44" s="628"/>
      <c r="P44" s="628"/>
      <c r="Q44" s="628"/>
      <c r="R44" s="628"/>
      <c r="S44" s="2243"/>
      <c r="T44" s="2243"/>
      <c r="U44" s="2243"/>
      <c r="V44" s="2243"/>
    </row>
    <row r="45" spans="1:30" s="1615" customFormat="1">
      <c r="A45" s="1461"/>
      <c r="B45" s="1461"/>
      <c r="C45" s="628"/>
      <c r="D45" s="628"/>
      <c r="E45" s="628"/>
      <c r="F45" s="628"/>
      <c r="G45" s="628"/>
      <c r="H45" s="628"/>
      <c r="I45" s="628"/>
      <c r="J45" s="2241"/>
      <c r="K45" s="2242"/>
      <c r="L45" s="2242"/>
      <c r="M45" s="628"/>
      <c r="N45" s="628"/>
      <c r="O45" s="628"/>
      <c r="P45" s="628"/>
      <c r="Q45" s="628"/>
      <c r="R45" s="628"/>
      <c r="S45" s="2243"/>
      <c r="T45" s="2243"/>
      <c r="U45" s="2243"/>
      <c r="V45" s="2243"/>
    </row>
    <row r="46" spans="1:30" s="1615" customFormat="1">
      <c r="A46" s="1461"/>
      <c r="B46" s="1461"/>
      <c r="C46" s="628"/>
      <c r="D46" s="628"/>
      <c r="E46" s="628"/>
      <c r="F46" s="628"/>
      <c r="G46" s="628"/>
      <c r="H46" s="628"/>
      <c r="I46" s="628"/>
      <c r="J46" s="2241"/>
      <c r="K46" s="2242"/>
      <c r="L46" s="2242"/>
      <c r="M46" s="628"/>
      <c r="N46" s="628"/>
      <c r="O46" s="628"/>
      <c r="P46" s="628"/>
      <c r="Q46" s="628"/>
      <c r="R46" s="628"/>
      <c r="S46" s="2243"/>
      <c r="T46" s="2243"/>
      <c r="U46" s="2243"/>
      <c r="V46" s="2243"/>
    </row>
    <row r="47" spans="1:30" s="1615" customFormat="1">
      <c r="A47" s="1461"/>
      <c r="B47" s="1461"/>
      <c r="C47" s="628"/>
      <c r="D47" s="628"/>
      <c r="E47" s="628"/>
      <c r="F47" s="628"/>
      <c r="G47" s="628"/>
      <c r="H47" s="628"/>
      <c r="I47" s="628"/>
      <c r="J47" s="2241"/>
      <c r="K47" s="2242"/>
      <c r="L47" s="2242"/>
      <c r="M47" s="628"/>
      <c r="N47" s="628"/>
      <c r="O47" s="628"/>
      <c r="P47" s="628"/>
      <c r="Q47" s="628"/>
      <c r="R47" s="628"/>
      <c r="S47" s="2243"/>
      <c r="T47" s="2243"/>
      <c r="U47" s="2243"/>
      <c r="V47" s="2243"/>
    </row>
    <row r="48" spans="1:30" s="1615" customFormat="1">
      <c r="A48" s="1461"/>
      <c r="B48" s="1461"/>
      <c r="C48" s="628"/>
      <c r="D48" s="628"/>
      <c r="E48" s="628"/>
      <c r="F48" s="628"/>
      <c r="G48" s="628"/>
      <c r="H48" s="628"/>
      <c r="I48" s="628"/>
      <c r="J48" s="2241"/>
      <c r="K48" s="2242"/>
      <c r="L48" s="2242"/>
      <c r="M48" s="628"/>
      <c r="N48" s="628"/>
      <c r="O48" s="628"/>
      <c r="P48" s="628"/>
      <c r="Q48" s="628"/>
      <c r="R48" s="628"/>
      <c r="S48" s="2243"/>
      <c r="T48" s="2243"/>
      <c r="U48" s="2243"/>
      <c r="V48" s="2243"/>
    </row>
    <row r="49" spans="1:22" s="1615" customFormat="1">
      <c r="A49" s="1461"/>
      <c r="B49" s="1461"/>
      <c r="C49" s="628"/>
      <c r="D49" s="628"/>
      <c r="E49" s="628"/>
      <c r="F49" s="628"/>
      <c r="G49" s="628"/>
      <c r="H49" s="628"/>
      <c r="I49" s="628"/>
      <c r="J49" s="2241"/>
      <c r="K49" s="2242"/>
      <c r="L49" s="2242"/>
      <c r="M49" s="628"/>
      <c r="N49" s="628"/>
      <c r="O49" s="628"/>
      <c r="P49" s="628"/>
      <c r="Q49" s="628"/>
      <c r="R49" s="628"/>
      <c r="S49" s="2243"/>
      <c r="T49" s="2243"/>
      <c r="U49" s="2243"/>
      <c r="V49" s="2243"/>
    </row>
    <row r="50" spans="1:22" s="1615" customFormat="1">
      <c r="A50" s="1461"/>
      <c r="B50" s="1461"/>
      <c r="C50" s="628"/>
      <c r="D50" s="628"/>
      <c r="E50" s="628"/>
      <c r="F50" s="628"/>
      <c r="G50" s="628"/>
      <c r="H50" s="628"/>
      <c r="I50" s="628"/>
      <c r="J50" s="2241"/>
      <c r="K50" s="2242"/>
      <c r="L50" s="2242"/>
      <c r="M50" s="628"/>
      <c r="N50" s="628"/>
      <c r="O50" s="628"/>
      <c r="P50" s="628"/>
      <c r="Q50" s="628"/>
      <c r="R50" s="628"/>
      <c r="S50" s="2243"/>
      <c r="T50" s="2243"/>
      <c r="U50" s="2243"/>
      <c r="V50" s="2243"/>
    </row>
    <row r="51" spans="1:22" s="1615" customFormat="1">
      <c r="A51" s="1461"/>
      <c r="B51" s="1461"/>
      <c r="C51" s="628"/>
      <c r="D51" s="628"/>
      <c r="E51" s="628"/>
      <c r="F51" s="628"/>
      <c r="G51" s="628"/>
      <c r="H51" s="628"/>
      <c r="I51" s="628"/>
      <c r="J51" s="2241"/>
      <c r="K51" s="2242"/>
      <c r="L51" s="2242"/>
      <c r="M51" s="628"/>
      <c r="N51" s="628"/>
      <c r="O51" s="628"/>
      <c r="P51" s="628"/>
      <c r="Q51" s="628"/>
      <c r="R51" s="628"/>
    </row>
    <row r="52" spans="1:22" s="1615" customFormat="1">
      <c r="A52" s="1461"/>
      <c r="B52" s="1461"/>
      <c r="C52" s="1461"/>
      <c r="D52" s="1461"/>
      <c r="E52" s="1461"/>
      <c r="F52" s="628"/>
      <c r="G52" s="1461"/>
      <c r="H52" s="1461"/>
      <c r="I52" s="1461"/>
      <c r="J52" s="2244"/>
      <c r="K52" s="2242"/>
      <c r="L52" s="2242"/>
      <c r="M52" s="2242"/>
      <c r="N52" s="1461"/>
      <c r="O52" s="1461"/>
      <c r="P52" s="1461"/>
      <c r="Q52" s="1461"/>
      <c r="R52" s="1461"/>
    </row>
    <row r="53" spans="1:22" s="1615" customFormat="1">
      <c r="A53" s="1461"/>
      <c r="B53" s="1461"/>
      <c r="C53" s="1461"/>
      <c r="D53" s="1461"/>
      <c r="E53" s="1461"/>
      <c r="F53" s="628"/>
      <c r="G53" s="1461"/>
      <c r="H53" s="1461"/>
      <c r="I53" s="1461"/>
      <c r="J53" s="2244"/>
      <c r="K53" s="2242"/>
      <c r="L53" s="2242"/>
      <c r="M53" s="2242"/>
      <c r="N53" s="1461"/>
      <c r="O53" s="1461"/>
      <c r="P53" s="1461"/>
      <c r="Q53" s="1461"/>
      <c r="R53" s="1461"/>
    </row>
    <row r="54" spans="1:22" s="1615" customFormat="1">
      <c r="A54" s="1461"/>
      <c r="B54" s="1461"/>
      <c r="C54" s="1461"/>
      <c r="D54" s="1461"/>
      <c r="E54" s="1461"/>
      <c r="F54" s="628"/>
      <c r="G54" s="1461"/>
      <c r="H54" s="1461"/>
      <c r="I54" s="1461"/>
      <c r="J54" s="2244"/>
      <c r="K54" s="2242"/>
      <c r="L54" s="2242"/>
      <c r="M54" s="2242"/>
      <c r="N54" s="1461"/>
      <c r="O54" s="1461"/>
      <c r="P54" s="1461"/>
      <c r="Q54" s="1461"/>
      <c r="R54" s="1461"/>
    </row>
    <row r="55" spans="1:22" s="1615" customFormat="1">
      <c r="A55" s="1461"/>
      <c r="B55" s="1461"/>
      <c r="C55" s="1461"/>
      <c r="D55" s="1461"/>
      <c r="E55" s="1461"/>
      <c r="F55" s="628"/>
      <c r="G55" s="1461"/>
      <c r="H55" s="1461"/>
      <c r="I55" s="1461"/>
      <c r="J55" s="2244"/>
      <c r="K55" s="2242"/>
      <c r="L55" s="2242"/>
      <c r="M55" s="2242"/>
      <c r="N55" s="1461"/>
      <c r="O55" s="1461"/>
      <c r="P55" s="1461"/>
      <c r="Q55" s="1461"/>
      <c r="R55" s="1461"/>
    </row>
    <row r="56" spans="1:22" s="1615" customFormat="1">
      <c r="A56" s="1461"/>
      <c r="B56" s="1461"/>
      <c r="C56" s="1461"/>
      <c r="D56" s="1461"/>
      <c r="E56" s="1461"/>
      <c r="F56" s="628"/>
      <c r="G56" s="1461"/>
      <c r="H56" s="1461"/>
      <c r="I56" s="1461"/>
      <c r="J56" s="2244"/>
      <c r="K56" s="2242"/>
      <c r="L56" s="2242"/>
      <c r="M56" s="2242"/>
      <c r="N56" s="1461"/>
      <c r="O56" s="1461"/>
      <c r="P56" s="1461"/>
      <c r="Q56" s="1461"/>
      <c r="R56" s="14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F13" activePane="bottomRight" state="frozen"/>
      <selection activeCell="M9" sqref="M9"/>
      <selection pane="topRight" activeCell="M9" sqref="M9"/>
      <selection pane="bottomLeft" activeCell="M9" sqref="M9"/>
      <selection pane="bottomRight" activeCell="J16" sqref="J16"/>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customWidth="1"/>
    <col min="16" max="16" width="9.75" style="1462" customWidth="1"/>
    <col min="17" max="17" width="9.375" style="1462" customWidth="1"/>
    <col min="18" max="18" width="9.25" style="1462" customWidth="1"/>
    <col min="19" max="19" width="10.875" style="1462" customWidth="1"/>
    <col min="20" max="21" width="10.75" style="1462" customWidth="1"/>
    <col min="22" max="22" width="10.875" style="1462" customWidth="1"/>
    <col min="23" max="27" width="10.75" style="1462" customWidth="1"/>
    <col min="28" max="28" width="10.875" style="1462"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6" t="s">
        <v>1067</v>
      </c>
      <c r="AZ2" s="987"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c r="B3" s="11">
        <f>IF(C3="否",G5-AT5,G5)</f>
        <v>44.28</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8"/>
      <c r="AZ3" s="628"/>
      <c r="BA3" s="989"/>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44.28</v>
      </c>
      <c r="H5" s="13">
        <f t="shared" ref="H5:AT5" si="0">SUM(H13:H656)</f>
        <v>44.28</v>
      </c>
      <c r="I5" s="13">
        <f t="shared" si="0"/>
        <v>44.28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44.28</v>
      </c>
      <c r="BA5" s="15">
        <f t="shared" si="1"/>
        <v>44.28</v>
      </c>
      <c r="BB5" s="15">
        <f t="shared" si="1"/>
        <v>44.28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2.75">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1" t="s">
        <v>1086</v>
      </c>
      <c r="AD8" s="1487"/>
      <c r="AE8" s="1479"/>
      <c r="AF8" s="1268"/>
      <c r="AG8" s="1268"/>
      <c r="AH8" s="1268"/>
      <c r="AI8" s="1268"/>
      <c r="AJ8" s="1268"/>
      <c r="AK8" s="1268"/>
      <c r="AL8" s="1268"/>
      <c r="AM8" s="1268"/>
      <c r="AN8" s="1268"/>
      <c r="AO8" s="1268"/>
      <c r="AP8" s="1268"/>
      <c r="AQ8" s="1268"/>
      <c r="AR8" s="1268"/>
      <c r="AS8" s="1268"/>
      <c r="AT8" s="1007" t="s">
        <v>1087</v>
      </c>
      <c r="AU8" s="1481" t="s">
        <v>1088</v>
      </c>
      <c r="AV8" s="1007"/>
      <c r="AW8" s="1466"/>
      <c r="AX8" s="1007"/>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7"/>
      <c r="H9" s="1489" t="s">
        <v>1091</v>
      </c>
      <c r="I9" s="1490" t="s">
        <v>3387</v>
      </c>
      <c r="J9" s="761"/>
      <c r="K9" s="1490"/>
      <c r="L9" s="761"/>
      <c r="M9" s="1490"/>
      <c r="N9" s="761"/>
      <c r="O9" s="1490"/>
      <c r="P9" s="761"/>
      <c r="Q9" s="1490"/>
      <c r="R9" s="761"/>
      <c r="S9" s="1490"/>
      <c r="T9" s="761"/>
      <c r="U9" s="1490"/>
      <c r="V9" s="761"/>
      <c r="W9" s="1490"/>
      <c r="X9" s="1491"/>
      <c r="Y9" s="1490"/>
      <c r="Z9" s="761"/>
      <c r="AA9" s="1490"/>
      <c r="AB9" s="761"/>
      <c r="AC9" s="1482"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2"/>
      <c r="AT9" s="1481"/>
      <c r="AU9" s="1481" t="s">
        <v>1094</v>
      </c>
      <c r="AV9" s="1007"/>
      <c r="AW9" s="1466"/>
      <c r="AX9" s="1007"/>
      <c r="AY9" s="25"/>
      <c r="AZ9" s="25" t="s">
        <v>1084</v>
      </c>
      <c r="BA9" s="1493" t="s">
        <v>1095</v>
      </c>
      <c r="BB9" s="1494"/>
      <c r="BC9" s="1025"/>
      <c r="BD9" s="1025"/>
      <c r="BE9" s="1025"/>
      <c r="BF9" s="1025"/>
      <c r="BG9" s="1025"/>
      <c r="BH9" s="1025"/>
      <c r="BI9" s="1025"/>
      <c r="BJ9" s="1025"/>
      <c r="BK9" s="1495"/>
      <c r="BL9" s="12" t="s">
        <v>1096</v>
      </c>
      <c r="BM9" s="1268"/>
      <c r="BN9" s="1484"/>
      <c r="BO9" s="1268"/>
      <c r="BP9" s="1268"/>
      <c r="BQ9" s="1268"/>
      <c r="BR9" s="1268"/>
      <c r="BS9" s="1268"/>
      <c r="BT9" s="23"/>
    </row>
    <row r="10" spans="1:72" s="1488" customFormat="1" ht="12.75">
      <c r="A10" s="1481"/>
      <c r="B10" s="1481"/>
      <c r="C10" s="1481"/>
      <c r="D10" s="1481"/>
      <c r="E10" s="1481"/>
      <c r="F10" s="1481"/>
      <c r="G10" s="1007"/>
      <c r="H10" s="25"/>
      <c r="I10" s="1490" t="s">
        <v>3388</v>
      </c>
      <c r="J10" s="761"/>
      <c r="K10" s="1496"/>
      <c r="L10" s="761"/>
      <c r="M10" s="1496"/>
      <c r="N10" s="761"/>
      <c r="O10" s="1496"/>
      <c r="P10" s="761"/>
      <c r="Q10" s="1496"/>
      <c r="R10" s="761"/>
      <c r="S10" s="1496"/>
      <c r="T10" s="761"/>
      <c r="U10" s="1496"/>
      <c r="V10" s="761"/>
      <c r="W10" s="1496"/>
      <c r="X10" s="761"/>
      <c r="Y10" s="1496"/>
      <c r="Z10" s="761"/>
      <c r="AA10" s="1496"/>
      <c r="AB10" s="761"/>
      <c r="AC10" s="1007"/>
      <c r="AD10" s="12" t="s">
        <v>1097</v>
      </c>
      <c r="AE10" s="1497"/>
      <c r="AF10" s="12" t="s">
        <v>1097</v>
      </c>
      <c r="AG10" s="1497"/>
      <c r="AH10" s="12" t="s">
        <v>1098</v>
      </c>
      <c r="AI10" s="1497"/>
      <c r="AJ10" s="12" t="s">
        <v>1098</v>
      </c>
      <c r="AK10" s="1497"/>
      <c r="AL10" s="12" t="s">
        <v>1099</v>
      </c>
      <c r="AM10" s="1013"/>
      <c r="AN10" s="12" t="s">
        <v>1099</v>
      </c>
      <c r="AO10" s="1013"/>
      <c r="AP10" s="12" t="s">
        <v>1100</v>
      </c>
      <c r="AQ10" s="1013"/>
      <c r="AR10" s="12" t="s">
        <v>1100</v>
      </c>
      <c r="AS10" s="1013"/>
      <c r="AT10" s="1481"/>
      <c r="AU10" s="1481"/>
      <c r="AV10" s="1007"/>
      <c r="AW10" s="1466"/>
      <c r="AX10" s="1007"/>
      <c r="AY10" s="25"/>
      <c r="AZ10" s="25"/>
      <c r="BA10" s="1498" t="s">
        <v>1091</v>
      </c>
      <c r="BB10" s="1499" t="str">
        <f>I9</f>
        <v>地上</v>
      </c>
      <c r="BC10" s="26">
        <f>K9</f>
        <v>0</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7"/>
      <c r="H11" s="1498"/>
      <c r="I11" s="1501" t="s">
        <v>3389</v>
      </c>
      <c r="J11" s="1502"/>
      <c r="K11" s="1501"/>
      <c r="L11" s="1502"/>
      <c r="M11" s="1501"/>
      <c r="N11" s="1502"/>
      <c r="O11" s="1501"/>
      <c r="P11" s="1502"/>
      <c r="Q11" s="1501"/>
      <c r="R11" s="1502"/>
      <c r="S11" s="1501"/>
      <c r="T11" s="1502"/>
      <c r="U11" s="1501"/>
      <c r="V11" s="1502"/>
      <c r="W11" s="1501"/>
      <c r="X11" s="1502"/>
      <c r="Y11" s="1501"/>
      <c r="Z11" s="1502"/>
      <c r="AA11" s="1501"/>
      <c r="AB11" s="1502"/>
      <c r="AC11" s="1007"/>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7"/>
      <c r="AW11" s="1466"/>
      <c r="AX11" s="1007"/>
      <c r="AY11" s="25"/>
      <c r="AZ11" s="25"/>
      <c r="BA11" s="25"/>
      <c r="BB11" s="1486" t="str">
        <f>I10</f>
        <v>住宅</v>
      </c>
      <c r="BC11" s="1486">
        <f>K10</f>
        <v>0</v>
      </c>
      <c r="BD11" s="1486">
        <f>M10</f>
        <v>0</v>
      </c>
      <c r="BE11" s="1486">
        <f>O10</f>
        <v>0</v>
      </c>
      <c r="BF11" s="1486">
        <f>Q10</f>
        <v>0</v>
      </c>
      <c r="BG11" s="1486">
        <f>S10</f>
        <v>0</v>
      </c>
      <c r="BH11" s="1486">
        <f>U10</f>
        <v>0</v>
      </c>
      <c r="BI11" s="1486">
        <f>W10</f>
        <v>0</v>
      </c>
      <c r="BJ11" s="1486">
        <f>Y10</f>
        <v>0</v>
      </c>
      <c r="BK11" s="1486">
        <f>AA10</f>
        <v>0</v>
      </c>
      <c r="BL11" s="1007"/>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t="str">
        <f>I11</f>
        <v>平层住宅</v>
      </c>
      <c r="BC12" s="1511">
        <f>K11</f>
        <v>0</v>
      </c>
      <c r="BD12" s="1511">
        <f>M11</f>
        <v>0</v>
      </c>
      <c r="BE12" s="1486">
        <f>O11</f>
        <v>0</v>
      </c>
      <c r="BF12" s="1486">
        <f>Q11</f>
        <v>0</v>
      </c>
      <c r="BG12" s="1486">
        <f>S11</f>
        <v>0</v>
      </c>
      <c r="BH12" s="1486">
        <f>U11</f>
        <v>0</v>
      </c>
      <c r="BI12" s="1486">
        <f>W11</f>
        <v>0</v>
      </c>
      <c r="BJ12" s="1486">
        <f>Y11</f>
        <v>0</v>
      </c>
      <c r="BK12" s="1486">
        <f>AA11</f>
        <v>0</v>
      </c>
      <c r="BL12" s="1007"/>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8"/>
      <c r="B13" s="628"/>
      <c r="C13" s="628"/>
      <c r="D13" s="1512" t="s">
        <v>3386</v>
      </c>
      <c r="E13" s="13">
        <f>IF($C$3="是",ROUND($A$3*G13/$B$3,2),ROUND($A$3*(G13-AT13)/$B$3,2))</f>
        <v>0</v>
      </c>
      <c r="F13" s="29"/>
      <c r="G13" s="30">
        <f>H13+AC13+AT13</f>
        <v>44.28</v>
      </c>
      <c r="H13" s="17">
        <f>SUMIF(I$12:AB$12,"总值",I13:AB13)</f>
        <v>44.28</v>
      </c>
      <c r="I13" s="1513">
        <v>44.28</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4"/>
      <c r="AV13" s="8">
        <f t="shared" ref="AV13:AX17" si="6">A13</f>
        <v>0</v>
      </c>
      <c r="AW13" s="8">
        <f t="shared" si="6"/>
        <v>0</v>
      </c>
      <c r="AX13" s="8">
        <f t="shared" si="6"/>
        <v>0</v>
      </c>
      <c r="AY13" s="1259">
        <f>ROUND($AY$6*AZ13/$AZ$5,2)</f>
        <v>0</v>
      </c>
      <c r="AZ13" s="13">
        <f>BA13+BL13</f>
        <v>44.28</v>
      </c>
      <c r="BA13" s="13">
        <f>SUM(BB13:BK13)</f>
        <v>44.28</v>
      </c>
      <c r="BB13" s="13">
        <f>IF($D13="是",I13-J13,0)</f>
        <v>44.28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2.75">
      <c r="A14" s="628"/>
      <c r="B14" s="628"/>
      <c r="C14" s="1461"/>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8"/>
      <c r="B15" s="628"/>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8"/>
      <c r="B16" s="628"/>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8"/>
      <c r="B17" s="628"/>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5" zoomScaleNormal="100" zoomScaleSheetLayoutView="100" workbookViewId="0">
      <selection activeCell="K9" sqref="K9"/>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1"/>
      <c r="C1" s="1071"/>
      <c r="D1" s="1071"/>
      <c r="E1" s="1071"/>
      <c r="F1" s="1071"/>
      <c r="G1" s="1071"/>
      <c r="H1" s="1071"/>
      <c r="I1" s="1071"/>
      <c r="J1" s="1071"/>
      <c r="K1" s="1071"/>
      <c r="L1" s="1071"/>
      <c r="M1" s="1071"/>
      <c r="N1" s="1071"/>
      <c r="O1" s="1071"/>
      <c r="P1" s="1071"/>
    </row>
    <row r="2" spans="1:16" ht="15">
      <c r="A2" s="3247" t="s">
        <v>1131</v>
      </c>
      <c r="B2" s="3247"/>
      <c r="C2" s="3247"/>
      <c r="D2" s="748" t="s">
        <v>1107</v>
      </c>
      <c r="E2" s="1522" t="s">
        <v>1108</v>
      </c>
      <c r="F2" s="2437"/>
      <c r="G2" s="2430"/>
      <c r="H2" s="2431"/>
      <c r="I2" s="2144" t="s">
        <v>1132</v>
      </c>
      <c r="J2" s="2437"/>
      <c r="K2" s="2437"/>
      <c r="L2" s="2437"/>
      <c r="M2" s="2437"/>
      <c r="N2" s="2438"/>
      <c r="O2" s="2437"/>
      <c r="P2" s="2437"/>
    </row>
    <row r="3" spans="1:16" ht="15.75" thickBot="1">
      <c r="A3" s="3248" t="s">
        <v>1105</v>
      </c>
      <c r="B3" s="3248"/>
      <c r="C3" s="3248"/>
      <c r="D3" s="41">
        <f>'数据-基础表'!AY6</f>
        <v>0</v>
      </c>
      <c r="E3" s="41">
        <f>'数据-基础表'!AZ5</f>
        <v>44.28</v>
      </c>
      <c r="F3" s="2437"/>
      <c r="G3" s="42"/>
      <c r="H3" s="43" t="s">
        <v>1106</v>
      </c>
      <c r="I3" s="802" t="e">
        <f>ROUND('数据-基础表'!B3/'数据-基础表'!A3,2)</f>
        <v>#DIV/0!</v>
      </c>
      <c r="J3" s="2437"/>
      <c r="K3" s="2437"/>
      <c r="L3" s="2437"/>
      <c r="M3" s="2437"/>
      <c r="N3" s="2438"/>
      <c r="O3" s="2437"/>
      <c r="P3" s="2437"/>
    </row>
    <row r="4" spans="1:16" ht="15">
      <c r="A4" s="3249"/>
      <c r="B4" s="3250"/>
      <c r="C4" s="3251"/>
      <c r="D4" s="1523" t="s">
        <v>1107</v>
      </c>
      <c r="E4" s="1524" t="s">
        <v>1108</v>
      </c>
      <c r="F4" s="2437"/>
      <c r="G4" s="2432" t="s">
        <v>1133</v>
      </c>
      <c r="H4" s="43" t="s">
        <v>1113</v>
      </c>
      <c r="I4" s="802" t="e">
        <f>ROUND(SUMIF('数据-基础表'!I9:AS9,"地上",'数据-基础表'!I5:AS5)/'数据-基础表'!A3,2)</f>
        <v>#DIV/0!</v>
      </c>
      <c r="J4" s="2437"/>
      <c r="K4" s="2437"/>
      <c r="L4" s="2437"/>
      <c r="M4" s="2437"/>
      <c r="N4" s="2438"/>
      <c r="O4" s="2437"/>
      <c r="P4" s="2437"/>
    </row>
    <row r="5" spans="1:16">
      <c r="A5" s="42" t="s">
        <v>1109</v>
      </c>
      <c r="B5" s="3252" t="s">
        <v>1110</v>
      </c>
      <c r="C5" s="3252"/>
      <c r="D5" s="43">
        <f>ROUND($D$3*E5/$E$3,2)</f>
        <v>0</v>
      </c>
      <c r="E5" s="44">
        <f>SUMIF('数据-基础表'!$11:$11,"住宅",'数据-基础表'!$5:$5)</f>
        <v>44.28</v>
      </c>
      <c r="F5" s="2437"/>
      <c r="G5" s="42"/>
      <c r="H5" s="43" t="s">
        <v>1106</v>
      </c>
      <c r="I5" s="802" t="e">
        <f>ROUND(E31/D31,2)</f>
        <v>#DIV/0!</v>
      </c>
      <c r="J5" s="2437"/>
      <c r="K5" s="2437"/>
      <c r="L5" s="2437"/>
      <c r="M5" s="2437"/>
      <c r="N5" s="2437"/>
      <c r="O5" s="2437"/>
      <c r="P5" s="2437"/>
    </row>
    <row r="6" spans="1:16" ht="15" thickBot="1">
      <c r="A6" s="1526"/>
      <c r="B6" s="3252" t="s">
        <v>1111</v>
      </c>
      <c r="C6" s="3252"/>
      <c r="D6" s="43">
        <f>ROUND($D$3*E6/$E$3,2)</f>
        <v>0</v>
      </c>
      <c r="E6" s="44">
        <f>E3-E5</f>
        <v>0</v>
      </c>
      <c r="F6" s="2437"/>
      <c r="G6" s="1528" t="s">
        <v>1112</v>
      </c>
      <c r="H6" s="45" t="s">
        <v>1113</v>
      </c>
      <c r="I6" s="2433" t="e">
        <f>ROUND(F31/D31,2)</f>
        <v>#DIV/0!</v>
      </c>
      <c r="J6" s="2437"/>
      <c r="K6" s="2437"/>
      <c r="L6" s="2437"/>
      <c r="M6" s="2437"/>
      <c r="N6" s="2437"/>
      <c r="O6" s="2437"/>
      <c r="P6" s="2437"/>
    </row>
    <row r="7" spans="1:16" ht="15.75" thickBot="1">
      <c r="A7" s="3244"/>
      <c r="B7" s="3245"/>
      <c r="C7" s="3246"/>
      <c r="D7" s="1523" t="s">
        <v>1107</v>
      </c>
      <c r="E7" s="1527" t="s">
        <v>1114</v>
      </c>
      <c r="F7" s="2437"/>
      <c r="G7" s="2434" t="s">
        <v>1115</v>
      </c>
      <c r="H7" s="95"/>
      <c r="I7" s="2435">
        <v>3</v>
      </c>
      <c r="J7" s="2437"/>
      <c r="K7" s="2437"/>
      <c r="L7" s="2437"/>
      <c r="M7" s="2437"/>
      <c r="N7" s="2437"/>
      <c r="O7" s="2437"/>
      <c r="P7" s="2437"/>
    </row>
    <row r="8" spans="1:16">
      <c r="A8" s="42" t="s">
        <v>1116</v>
      </c>
      <c r="B8" s="45" t="s">
        <v>1117</v>
      </c>
      <c r="C8" s="43" t="s">
        <v>1118</v>
      </c>
      <c r="D8" s="43">
        <f t="shared" ref="D8:D15" si="0">ROUND($D$3*E8/$E$3,2)</f>
        <v>0</v>
      </c>
      <c r="E8" s="46">
        <f>SUMIF('数据-基础表'!BB10:BK10,"地上",'数据-基础表'!BB5:BK5)</f>
        <v>44.28</v>
      </c>
      <c r="F8" s="2437"/>
      <c r="G8" s="2437"/>
      <c r="H8" s="2437"/>
      <c r="I8" s="2437"/>
      <c r="J8" s="2437"/>
      <c r="K8" s="2437"/>
      <c r="L8" s="2437"/>
      <c r="M8" s="2437"/>
      <c r="N8" s="2437"/>
      <c r="O8" s="2437"/>
      <c r="P8" s="2437"/>
    </row>
    <row r="9" spans="1:16">
      <c r="A9" s="1528"/>
      <c r="B9" s="1529"/>
      <c r="C9" s="43" t="s">
        <v>1119</v>
      </c>
      <c r="D9" s="43">
        <f t="shared" si="0"/>
        <v>0</v>
      </c>
      <c r="E9" s="47">
        <v>0</v>
      </c>
      <c r="F9" s="2437"/>
      <c r="G9" s="2437"/>
      <c r="H9" s="2437"/>
      <c r="I9" s="2437"/>
      <c r="J9" s="2437"/>
      <c r="K9" s="2437"/>
      <c r="L9" s="2437"/>
      <c r="M9" s="2437"/>
      <c r="N9" s="2437"/>
      <c r="O9" s="2437"/>
      <c r="P9" s="2437"/>
    </row>
    <row r="10" spans="1:16">
      <c r="A10" s="1528"/>
      <c r="B10" s="1529"/>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8"/>
      <c r="B11" s="1529"/>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8"/>
      <c r="B12" s="1529"/>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8"/>
      <c r="B13" s="1529"/>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8"/>
      <c r="B14" s="1529"/>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8"/>
      <c r="B15" s="1529"/>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6"/>
      <c r="B16" s="1529"/>
      <c r="C16" s="45" t="s">
        <v>1123</v>
      </c>
      <c r="D16" s="45">
        <f>SUM(D8:D15)</f>
        <v>0</v>
      </c>
      <c r="E16" s="48">
        <f>SUM(E8:E15)</f>
        <v>44.28</v>
      </c>
      <c r="F16" s="2437"/>
      <c r="G16" s="2437"/>
      <c r="H16" s="1530" t="s">
        <v>1135</v>
      </c>
      <c r="I16" s="1531"/>
      <c r="J16" s="1071"/>
      <c r="K16" s="3241" t="s">
        <v>1135</v>
      </c>
      <c r="L16" s="3242"/>
      <c r="M16" s="3242"/>
      <c r="N16" s="3242"/>
      <c r="O16" s="3242"/>
      <c r="P16" s="3243"/>
    </row>
    <row r="17" spans="1:19" ht="15">
      <c r="A17" s="1532" t="s">
        <v>1136</v>
      </c>
      <c r="B17" s="1533" t="s">
        <v>1137</v>
      </c>
      <c r="C17" s="1534" t="s">
        <v>1138</v>
      </c>
      <c r="D17" s="1535" t="s">
        <v>1126</v>
      </c>
      <c r="E17" s="1536" t="s">
        <v>1127</v>
      </c>
      <c r="F17" s="1537"/>
      <c r="G17" s="1538"/>
      <c r="H17" s="1539" t="s">
        <v>1139</v>
      </c>
      <c r="I17" s="1540" t="s">
        <v>1124</v>
      </c>
      <c r="J17" s="1071"/>
      <c r="K17" s="3238" t="s">
        <v>1140</v>
      </c>
      <c r="L17" s="3239"/>
      <c r="M17" s="3240"/>
      <c r="N17" s="3238" t="s">
        <v>1141</v>
      </c>
      <c r="O17" s="3239"/>
      <c r="P17" s="3240"/>
      <c r="R17" s="769" t="s">
        <v>1142</v>
      </c>
      <c r="S17" s="54"/>
    </row>
    <row r="18" spans="1:19" ht="15">
      <c r="A18" s="1528"/>
      <c r="B18" s="1525"/>
      <c r="C18" s="1541"/>
      <c r="D18" s="1542"/>
      <c r="E18" s="1543" t="s">
        <v>1143</v>
      </c>
      <c r="F18" s="1544" t="s">
        <v>1144</v>
      </c>
      <c r="G18" s="1545" t="s">
        <v>1145</v>
      </c>
      <c r="H18" s="980" t="s">
        <v>1146</v>
      </c>
      <c r="I18" s="1546" t="s">
        <v>1147</v>
      </c>
      <c r="J18" s="1071"/>
      <c r="K18" s="980" t="s">
        <v>1148</v>
      </c>
      <c r="L18" s="1547" t="s">
        <v>1149</v>
      </c>
      <c r="M18" s="802" t="s">
        <v>1150</v>
      </c>
      <c r="N18" s="980" t="s">
        <v>1148</v>
      </c>
      <c r="O18" s="1547" t="s">
        <v>1149</v>
      </c>
      <c r="P18" s="802" t="s">
        <v>1150</v>
      </c>
      <c r="R18" s="43" t="s">
        <v>1151</v>
      </c>
      <c r="S18" s="43" t="s">
        <v>1152</v>
      </c>
    </row>
    <row r="19" spans="1:19">
      <c r="A19" s="1548"/>
      <c r="B19" s="45" t="s">
        <v>1125</v>
      </c>
      <c r="C19" s="3114" t="s">
        <v>3390</v>
      </c>
      <c r="D19" s="43">
        <f>ROUND($D$3*E19/$E$3,2)</f>
        <v>0</v>
      </c>
      <c r="E19" s="51">
        <f t="shared" ref="E19:E26" si="1">SUM(F19:G19)</f>
        <v>44.28</v>
      </c>
      <c r="F19" s="2556">
        <f>'数据-基础表'!I13</f>
        <v>44.28</v>
      </c>
      <c r="G19" s="1242"/>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49"/>
      <c r="O19" s="1550"/>
      <c r="P19" s="46">
        <f>N19+O19</f>
        <v>0</v>
      </c>
      <c r="R19" s="43">
        <f t="shared" ref="R19:S26" si="5">D19+H19</f>
        <v>0</v>
      </c>
      <c r="S19" s="51">
        <f t="shared" si="5"/>
        <v>44.28</v>
      </c>
    </row>
    <row r="20" spans="1:19">
      <c r="A20" s="1548"/>
      <c r="B20" s="45" t="s">
        <v>1153</v>
      </c>
      <c r="C20" s="3114"/>
      <c r="D20" s="43">
        <f t="shared" ref="D20:D26" si="6">ROUND($D$3*E20/$E$3,2)</f>
        <v>0</v>
      </c>
      <c r="E20" s="51">
        <f t="shared" si="1"/>
        <v>0</v>
      </c>
      <c r="F20" s="2556"/>
      <c r="G20" s="1242"/>
      <c r="H20" s="637">
        <f t="shared" ref="H20:H26" si="7">ROUND($D$3*I20/$E$3,2)</f>
        <v>0</v>
      </c>
      <c r="I20" s="46">
        <f t="shared" si="2"/>
        <v>0</v>
      </c>
      <c r="J20" s="1071"/>
      <c r="K20" s="637">
        <f t="shared" si="3"/>
        <v>0</v>
      </c>
      <c r="L20" s="43">
        <f t="shared" si="4"/>
        <v>0</v>
      </c>
      <c r="M20" s="46">
        <f t="shared" ref="M20:M26" si="8">K20+L20</f>
        <v>0</v>
      </c>
      <c r="N20" s="1549"/>
      <c r="O20" s="1550"/>
      <c r="P20" s="46">
        <f t="shared" ref="P20:P26" si="9">N20+O20</f>
        <v>0</v>
      </c>
      <c r="R20" s="43">
        <f t="shared" si="5"/>
        <v>0</v>
      </c>
      <c r="S20" s="51">
        <f t="shared" si="5"/>
        <v>0</v>
      </c>
    </row>
    <row r="21" spans="1:19">
      <c r="A21" s="1548"/>
      <c r="B21" s="45" t="s">
        <v>1153</v>
      </c>
      <c r="C21" s="3114"/>
      <c r="D21" s="43">
        <f t="shared" si="6"/>
        <v>0</v>
      </c>
      <c r="E21" s="51">
        <f t="shared" si="1"/>
        <v>0</v>
      </c>
      <c r="F21" s="2556"/>
      <c r="G21" s="1242"/>
      <c r="H21" s="637">
        <f t="shared" si="7"/>
        <v>0</v>
      </c>
      <c r="I21" s="46">
        <f t="shared" si="2"/>
        <v>0</v>
      </c>
      <c r="J21" s="1071"/>
      <c r="K21" s="637">
        <f t="shared" si="3"/>
        <v>0</v>
      </c>
      <c r="L21" s="43">
        <f t="shared" si="4"/>
        <v>0</v>
      </c>
      <c r="M21" s="46">
        <f t="shared" si="8"/>
        <v>0</v>
      </c>
      <c r="N21" s="1549"/>
      <c r="O21" s="1550"/>
      <c r="P21" s="46">
        <f t="shared" si="9"/>
        <v>0</v>
      </c>
      <c r="R21" s="43">
        <f t="shared" si="5"/>
        <v>0</v>
      </c>
      <c r="S21" s="51">
        <f t="shared" si="5"/>
        <v>0</v>
      </c>
    </row>
    <row r="22" spans="1:19">
      <c r="A22" s="1548"/>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49"/>
      <c r="O22" s="1550"/>
      <c r="P22" s="46">
        <f t="shared" si="9"/>
        <v>0</v>
      </c>
      <c r="R22" s="43">
        <f t="shared" si="5"/>
        <v>0</v>
      </c>
      <c r="S22" s="51">
        <f t="shared" si="5"/>
        <v>0</v>
      </c>
    </row>
    <row r="23" spans="1:19">
      <c r="A23" s="1548"/>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49"/>
      <c r="O23" s="1550"/>
      <c r="P23" s="46">
        <f t="shared" si="9"/>
        <v>0</v>
      </c>
      <c r="R23" s="43">
        <f t="shared" si="5"/>
        <v>0</v>
      </c>
      <c r="S23" s="51">
        <f t="shared" si="5"/>
        <v>0</v>
      </c>
    </row>
    <row r="24" spans="1:19">
      <c r="A24" s="1548"/>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49"/>
      <c r="O24" s="1550"/>
      <c r="P24" s="46">
        <f t="shared" si="9"/>
        <v>0</v>
      </c>
      <c r="R24" s="43">
        <f t="shared" si="5"/>
        <v>0</v>
      </c>
      <c r="S24" s="51">
        <f t="shared" si="5"/>
        <v>0</v>
      </c>
    </row>
    <row r="25" spans="1:19">
      <c r="A25" s="1548"/>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2">
        <f>SUM(D19:D26)</f>
        <v>0</v>
      </c>
      <c r="E27" s="1073">
        <f>IF(SUM(E19:E26)='数据-基础表'!BA5,SUM(E19:E26),IF(F27="地上面积有误","面积有误","地下面积有误"))</f>
        <v>44.28</v>
      </c>
      <c r="F27" s="1072">
        <f>IF(SUM(F19:F26)=E8,SUM(F19:F26),"地上面积有误")</f>
        <v>44.28</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44.28</v>
      </c>
    </row>
    <row r="28" spans="1:19">
      <c r="A28" s="1548"/>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8"/>
      <c r="B29" s="45" t="s">
        <v>1155</v>
      </c>
      <c r="C29" s="1554"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8"/>
      <c r="B30" s="45"/>
      <c r="C30" s="1555" t="s">
        <v>1154</v>
      </c>
      <c r="D30" s="1072">
        <f>SUM(D28:D29)</f>
        <v>0</v>
      </c>
      <c r="E30" s="1072">
        <f>SUM(E28:E29)</f>
        <v>0</v>
      </c>
      <c r="F30" s="1072">
        <f>SUM(F28:F29)</f>
        <v>0</v>
      </c>
      <c r="G30" s="1074">
        <f>SUM(G28:G29)</f>
        <v>0</v>
      </c>
      <c r="H30" s="2437"/>
      <c r="I30" s="2437"/>
      <c r="J30" s="2437"/>
      <c r="K30" s="2437"/>
      <c r="L30" s="2437"/>
      <c r="M30" s="2437"/>
      <c r="N30" s="2437"/>
      <c r="O30" s="2437"/>
      <c r="P30" s="2437"/>
    </row>
    <row r="31" spans="1:19" ht="15.75" thickBot="1">
      <c r="A31" s="1556"/>
      <c r="B31" s="96"/>
      <c r="C31" s="785" t="s">
        <v>1158</v>
      </c>
      <c r="D31" s="643">
        <f>D27+D30</f>
        <v>0</v>
      </c>
      <c r="E31" s="643">
        <f>E27+E30</f>
        <v>44.28</v>
      </c>
      <c r="F31" s="644">
        <f>F27+F30</f>
        <v>44.28</v>
      </c>
      <c r="G31" s="645">
        <f>G27+G30</f>
        <v>0</v>
      </c>
      <c r="H31" s="2437"/>
      <c r="I31" s="2437"/>
      <c r="J31" s="2437"/>
      <c r="K31" s="2437"/>
      <c r="L31" s="2437"/>
      <c r="M31" s="2437"/>
      <c r="N31" s="2437"/>
      <c r="O31" s="2437"/>
      <c r="P31" s="2437"/>
    </row>
    <row r="32" spans="1:19">
      <c r="A32" s="1525"/>
      <c r="B32" s="1525" t="s">
        <v>1159</v>
      </c>
      <c r="C32" s="1525"/>
      <c r="D32" s="1525"/>
      <c r="E32" s="990">
        <f>SUMIF(C19:C26,"*住宅*",E19:E26)</f>
        <v>44.28</v>
      </c>
      <c r="F32" s="1525"/>
      <c r="G32" s="1525"/>
      <c r="H32" s="2437"/>
      <c r="I32" s="2437"/>
      <c r="J32" s="2437"/>
      <c r="K32" s="2437"/>
      <c r="L32" s="2437"/>
      <c r="M32" s="2437"/>
      <c r="N32" s="2437"/>
      <c r="O32" s="2437"/>
      <c r="P32" s="2437"/>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F6" activePane="bottomRight" state="frozen"/>
      <selection activeCell="M9" sqref="M9"/>
      <selection pane="topRight" activeCell="M9" sqref="M9"/>
      <selection pane="bottomLeft" activeCell="M9" sqref="M9"/>
      <selection pane="bottomRight" activeCell="I7" sqref="I7"/>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8.3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2"/>
    <col min="41" max="41" width="11.625" style="122" customWidth="1"/>
    <col min="42" max="42" width="9.75" style="122" customWidth="1"/>
    <col min="43" max="67" width="13.75" style="122"/>
    <col min="68" max="16384" width="13.75" style="1560"/>
  </cols>
  <sheetData>
    <row r="1" spans="1:67" ht="19.5"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0" customFormat="1" ht="15.75" thickBot="1">
      <c r="A2" s="1561" t="s">
        <v>1161</v>
      </c>
      <c r="B2" s="984">
        <f>项目基本情况!D3</f>
        <v>45301</v>
      </c>
      <c r="C2" s="1071"/>
      <c r="D2" s="1562"/>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7"/>
      <c r="AO2" s="2437"/>
      <c r="AP2" s="2437"/>
      <c r="AQ2" s="2437"/>
      <c r="AR2" s="2437"/>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1"/>
      <c r="D3" s="1562"/>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7"/>
      <c r="AO3" s="2437"/>
      <c r="AP3" s="2437"/>
      <c r="AQ3" s="2437"/>
      <c r="AR3" s="2437"/>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6"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7"/>
      <c r="AO4" s="2437"/>
      <c r="AP4" s="2437"/>
      <c r="AQ4" s="2437"/>
      <c r="AR4" s="2437"/>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3392</v>
      </c>
      <c r="O5" s="1576" t="s">
        <v>1181</v>
      </c>
      <c r="P5" s="1579" t="s">
        <v>1182</v>
      </c>
      <c r="Q5" s="58" t="s">
        <v>1183</v>
      </c>
      <c r="R5" s="1580" t="s">
        <v>1184</v>
      </c>
      <c r="S5" s="1581" t="s">
        <v>1185</v>
      </c>
      <c r="T5" s="1582" t="s">
        <v>1186</v>
      </c>
      <c r="U5" s="985" t="s">
        <v>1187</v>
      </c>
      <c r="V5" s="504" t="s">
        <v>1188</v>
      </c>
      <c r="W5" s="504" t="s">
        <v>1189</v>
      </c>
      <c r="X5" s="60"/>
      <c r="Y5" s="59" t="s">
        <v>1190</v>
      </c>
      <c r="Z5" s="1100" t="s">
        <v>1187</v>
      </c>
      <c r="AA5" s="504" t="s">
        <v>1188</v>
      </c>
      <c r="AB5" s="504" t="s">
        <v>1189</v>
      </c>
      <c r="AC5" s="60"/>
      <c r="AD5" s="60" t="s">
        <v>1190</v>
      </c>
      <c r="AE5" s="985" t="s">
        <v>1191</v>
      </c>
      <c r="AF5" s="504" t="s">
        <v>1192</v>
      </c>
      <c r="AG5" s="59" t="s">
        <v>1193</v>
      </c>
      <c r="AH5" s="985" t="s">
        <v>1194</v>
      </c>
      <c r="AI5" s="1100" t="s">
        <v>1195</v>
      </c>
      <c r="AJ5" s="1100" t="s">
        <v>1196</v>
      </c>
      <c r="AK5" s="504" t="s">
        <v>1197</v>
      </c>
      <c r="AL5" s="504" t="s">
        <v>1198</v>
      </c>
      <c r="AM5" s="59" t="s">
        <v>1199</v>
      </c>
      <c r="AN5" s="1583" t="s">
        <v>1200</v>
      </c>
      <c r="AO5" s="1453" t="s">
        <v>1201</v>
      </c>
      <c r="AP5" s="968"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4.25">
      <c r="A6" s="1585" t="str">
        <f>'数据-汇总表'!C19</f>
        <v>住宅</v>
      </c>
      <c r="B6" s="1586" t="str">
        <f>IF(A6=0,"","经营性")</f>
        <v>经营性</v>
      </c>
      <c r="C6" s="1587" t="s">
        <v>3388</v>
      </c>
      <c r="D6" s="805">
        <f>SUMIF(项目基本情况!C$12:I$12,C6,项目基本情况!C$14:I$14)</f>
        <v>70</v>
      </c>
      <c r="E6" s="804">
        <f>IF(B6="","",SUMIF(项目基本情况!C$12:I$12,C6,项目基本情况!C$13:I$13))</f>
        <v>66157</v>
      </c>
      <c r="F6" s="61">
        <f>SUMIF(项目基本情况!C$12:I$12,C6,项目基本情况!C$15:I$15)</f>
        <v>57.13</v>
      </c>
      <c r="G6" s="62">
        <f>IF(ISERROR(ROUND(POWER(1+H6,D6-F6)*(POWER(1+H6,F6)-1)/(POWER(1+H6,D6)-1),3)),0,ROUND(POWER(1+H6,D6-F6)*(POWER(1+H6,F6)-1)/(POWER(1+H6,D6)-1),3))</f>
        <v>0.97</v>
      </c>
      <c r="H6" s="691">
        <v>0.05</v>
      </c>
      <c r="I6" s="691">
        <v>0.05</v>
      </c>
      <c r="J6" s="63">
        <v>0.06</v>
      </c>
      <c r="K6" s="970">
        <f>SUMIF('数据-汇总表'!C$19:C$33,A6,'数据-汇总表'!E$19:E$33)</f>
        <v>44.28</v>
      </c>
      <c r="L6" s="692">
        <v>3500</v>
      </c>
      <c r="M6" s="64">
        <f t="shared" ref="M6:M14" si="0">ROUND(K6*L6/10000,0)</f>
        <v>15</v>
      </c>
      <c r="N6" s="690">
        <v>0.65</v>
      </c>
      <c r="O6" s="64" t="str">
        <f>IF($N$5="成新度","——",ROUND(M6*N6,0))</f>
        <v>——</v>
      </c>
      <c r="P6" s="65" t="str">
        <f>IF($N$5="成新度","——",M6-O6)</f>
        <v>——</v>
      </c>
      <c r="Q6" s="693">
        <v>0.3</v>
      </c>
      <c r="R6" s="66">
        <f ca="1">SUMIF('数据-汇总表'!C$19:C$33,A6,'数据-汇总表'!R$19:R$27)</f>
        <v>0</v>
      </c>
      <c r="S6" s="49">
        <f>IF('数据-汇总表'!$I$17="按面积比例",SUMIF('数据-汇总表'!C$19:C$33,A6,'数据-汇总表'!K$19:K$33),SUMIF('数据-汇总表'!C$19:C$33,A6,'数据-汇总表'!N$19:N$33))</f>
        <v>0</v>
      </c>
      <c r="T6" s="1092">
        <f>ROUND($L$14*S6/10000,0)</f>
        <v>0</v>
      </c>
      <c r="U6" s="3125">
        <v>6500</v>
      </c>
      <c r="V6" s="67">
        <v>0.03</v>
      </c>
      <c r="W6" s="67">
        <v>0.05</v>
      </c>
      <c r="X6" s="979"/>
      <c r="Y6" s="68">
        <f>N6</f>
        <v>0.65</v>
      </c>
      <c r="Z6" s="69"/>
      <c r="AA6" s="63"/>
      <c r="AB6" s="63"/>
      <c r="AC6" s="979"/>
      <c r="AD6" s="70"/>
      <c r="AE6" s="980">
        <f ca="1">IF(AN6="",0,SUMIF(INDIRECT("'"&amp;AN6&amp;"'"&amp;"!E:E"),$AE$5,INDIRECT("'"&amp;AN6&amp;"'"&amp;"!F:F")))</f>
        <v>57.13</v>
      </c>
      <c r="AF6" s="74"/>
      <c r="AG6" s="130">
        <f>IF(AF6="",0,AE6-AF6)</f>
        <v>0</v>
      </c>
      <c r="AH6" s="71">
        <v>1</v>
      </c>
      <c r="AI6" s="73">
        <v>12</v>
      </c>
      <c r="AJ6" s="74"/>
      <c r="AK6" s="75">
        <v>1.4999999999999999E-2</v>
      </c>
      <c r="AL6" s="76">
        <v>1.5E-3</v>
      </c>
      <c r="AM6" s="77">
        <v>0.01</v>
      </c>
      <c r="AN6" s="1588" t="s">
        <v>3434</v>
      </c>
      <c r="AO6" s="50">
        <f ca="1">SUMIF(INDIRECT("'"&amp;AN6&amp;"'"&amp;"!A:A"),"总价",INDIRECT("'"&amp;AN6&amp;"'"&amp;"!B:B"))</f>
        <v>224.42509999999999</v>
      </c>
      <c r="AP6" s="1589">
        <f>IF(C6="住宅",K6*L6,0)</f>
        <v>154980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f>'数据-汇总表'!C20</f>
        <v>0</v>
      </c>
      <c r="B7" s="1586" t="str">
        <f t="shared" ref="B7:B13" si="1">IF(A7=0,"","经营性")</f>
        <v/>
      </c>
      <c r="C7" s="1587"/>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c r="A8" s="1585">
        <f>'数据-汇总表'!C21</f>
        <v>0</v>
      </c>
      <c r="B8" s="1586" t="str">
        <f t="shared" si="1"/>
        <v/>
      </c>
      <c r="C8" s="1587"/>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c r="A9" s="1585">
        <f>'数据-汇总表'!C22</f>
        <v>0</v>
      </c>
      <c r="B9" s="1586" t="str">
        <f t="shared" si="1"/>
        <v/>
      </c>
      <c r="C9" s="1587"/>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c r="A10" s="1585">
        <f>'数据-汇总表'!C23</f>
        <v>0</v>
      </c>
      <c r="B10" s="1586" t="str">
        <f t="shared" si="1"/>
        <v/>
      </c>
      <c r="C10" s="1587"/>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c r="A11" s="1585">
        <f>'数据-汇总表'!C24</f>
        <v>0</v>
      </c>
      <c r="B11" s="1586" t="str">
        <f t="shared" si="1"/>
        <v/>
      </c>
      <c r="C11" s="1587"/>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c r="A12" s="1585">
        <f>'数据-汇总表'!C25</f>
        <v>0</v>
      </c>
      <c r="B12" s="1586" t="str">
        <f t="shared" si="1"/>
        <v/>
      </c>
      <c r="C12" s="1587"/>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c r="A13" s="1585">
        <f>'数据-汇总表'!C26</f>
        <v>0</v>
      </c>
      <c r="B13" s="1586" t="str">
        <f t="shared" si="1"/>
        <v/>
      </c>
      <c r="C13" s="1587"/>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5"/>
      <c r="AJ14" s="50"/>
      <c r="AK14" s="981"/>
      <c r="AL14" s="982"/>
      <c r="AM14" s="983"/>
      <c r="AN14" s="2447"/>
      <c r="AO14" s="2437"/>
      <c r="AP14" s="2437"/>
      <c r="AQ14" s="2437"/>
      <c r="AR14" s="2437"/>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5"/>
      <c r="AJ15" s="50"/>
      <c r="AK15" s="981"/>
      <c r="AL15" s="982"/>
      <c r="AM15" s="983"/>
      <c r="AN15" s="2447"/>
      <c r="AO15" s="2437"/>
      <c r="AP15" s="2437"/>
      <c r="AQ15" s="2437"/>
      <c r="AR15" s="2437"/>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3"/>
      <c r="D16" s="1593"/>
      <c r="E16" s="82"/>
      <c r="F16" s="82"/>
      <c r="G16" s="83">
        <f>ROUND(SUMPRODUCT(G6:G13,K6:K13)/SUMPRODUCT((G6:G13&gt;0)*(K6:K13)),3)</f>
        <v>0.97</v>
      </c>
      <c r="H16" s="84">
        <f>ROUND(SUMPRODUCT(H6:H13,K6:K13)/SUMPRODUCT((H6:H13&gt;0)*(K6:K13)),3)</f>
        <v>0.05</v>
      </c>
      <c r="I16" s="85"/>
      <c r="J16" s="85"/>
      <c r="K16" s="86">
        <f>SUM(K6:K15)</f>
        <v>44.28</v>
      </c>
      <c r="L16" s="87">
        <f>ROUND(M16*10000/SUM(K6:K14),0)</f>
        <v>3388</v>
      </c>
      <c r="M16" s="87">
        <f>SUM(M6:M14)</f>
        <v>15</v>
      </c>
      <c r="N16" s="88">
        <f>ROUND(SUMPRODUCT(M6:M14,N6:N14)/M16,3)</f>
        <v>0.65</v>
      </c>
      <c r="O16" s="87">
        <f>SUM(O6:O14)</f>
        <v>0</v>
      </c>
      <c r="P16" s="87">
        <f>SUM(P6:P14)</f>
        <v>0</v>
      </c>
      <c r="Q16" s="89">
        <f>ROUND(SUMPRODUCT(Q6:Q13,K6:K13)/SUMPRODUCT((Q6:Q13&gt;0)*(K6:K13)),2)</f>
        <v>0.3</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5" t="s">
        <v>1211</v>
      </c>
      <c r="B19" s="97">
        <v>0</v>
      </c>
      <c r="C19" s="2559" t="s">
        <v>2305</v>
      </c>
      <c r="D19" s="2450"/>
      <c r="E19" s="2437"/>
      <c r="F19" s="2437"/>
      <c r="G19" s="2437"/>
      <c r="H19" s="2437"/>
      <c r="I19" s="2437"/>
      <c r="J19" s="2437"/>
      <c r="K19" s="2448"/>
      <c r="L19" s="2448"/>
      <c r="M19" s="2447"/>
      <c r="N19" s="2447"/>
      <c r="O19" s="2447">
        <v>1957</v>
      </c>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6" t="s">
        <v>1212</v>
      </c>
      <c r="B20" s="98">
        <v>1</v>
      </c>
      <c r="C20" s="2560" t="s">
        <v>2303</v>
      </c>
      <c r="D20" s="2450"/>
      <c r="E20" s="2437"/>
      <c r="F20" s="2437"/>
      <c r="G20" s="2437"/>
      <c r="H20" s="2437"/>
      <c r="I20" s="2437"/>
      <c r="J20" s="2437"/>
      <c r="K20" s="2448"/>
      <c r="L20" s="2448"/>
      <c r="M20" s="2447"/>
      <c r="N20" s="2447"/>
      <c r="O20" s="2447">
        <f>1-(1-2%)*(2024-O19)/50</f>
        <v>-0.31319999999999992</v>
      </c>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7" t="s">
        <v>1213</v>
      </c>
      <c r="B21" s="98">
        <v>1</v>
      </c>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6" t="s">
        <v>1214</v>
      </c>
      <c r="B22" s="99">
        <f>B19+B20</f>
        <v>1</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7" t="s">
        <v>1215</v>
      </c>
      <c r="B23" s="99">
        <f>B19+B21</f>
        <v>1</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8"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8"/>
      <c r="B25" s="1541"/>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1" t="s">
        <v>1217</v>
      </c>
      <c r="B26" s="1599"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600" t="s">
        <v>1220</v>
      </c>
      <c r="B27" s="101">
        <v>160</v>
      </c>
      <c r="C27" s="2561" t="s">
        <v>2307</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1" t="s">
        <v>1221</v>
      </c>
      <c r="B28" s="103">
        <v>200</v>
      </c>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2" t="s">
        <v>1222</v>
      </c>
      <c r="B29" s="105"/>
      <c r="C29" s="2562" t="s">
        <v>2294</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3" t="s">
        <v>1223</v>
      </c>
      <c r="B30" s="638">
        <v>200</v>
      </c>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1" t="s">
        <v>1224</v>
      </c>
      <c r="B31" s="104">
        <f>B30-B32</f>
        <v>200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4" t="s">
        <v>1225</v>
      </c>
      <c r="B32" s="639">
        <v>0</v>
      </c>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600" t="s">
        <v>1226</v>
      </c>
      <c r="B33" s="640">
        <v>0.05</v>
      </c>
      <c r="C33" s="2563" t="s">
        <v>2295</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1" t="s">
        <v>1227</v>
      </c>
      <c r="B34" s="106">
        <v>0.05</v>
      </c>
      <c r="C34" s="2563" t="s">
        <v>2296</v>
      </c>
      <c r="D34" s="2458" t="s">
        <v>2304</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1" t="s">
        <v>1228</v>
      </c>
      <c r="B35" s="103">
        <v>200</v>
      </c>
      <c r="C35" s="2563" t="s">
        <v>2297</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2" t="s">
        <v>1229</v>
      </c>
      <c r="B36" s="107">
        <v>1.4999999999999999E-2</v>
      </c>
      <c r="C36" s="2563" t="s">
        <v>2298</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3" t="s">
        <v>1230</v>
      </c>
      <c r="B37" s="108">
        <v>0.03</v>
      </c>
      <c r="C37" s="2563" t="s">
        <v>2299</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1" t="s">
        <v>1231</v>
      </c>
      <c r="B38" s="106">
        <v>0.03</v>
      </c>
      <c r="C38" s="2563" t="s">
        <v>2299</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4"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29.25" thickBot="1">
      <c r="A40" s="2572" t="s">
        <v>3391</v>
      </c>
      <c r="B40" s="1015">
        <f ca="1">IF(A40="利息：取LPR",存贷款利率!G1,存贷款利率!G1+C40)</f>
        <v>4.7500000000000001E-2</v>
      </c>
      <c r="C40" s="2571">
        <v>1.2999999999999999E-2</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600" t="s">
        <v>1233</v>
      </c>
      <c r="B41" s="109">
        <f>B42+B43</f>
        <v>5.6000000000000001E-2</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5" t="s">
        <v>1234</v>
      </c>
      <c r="B42" s="110">
        <v>0.05</v>
      </c>
      <c r="C42" s="2457">
        <f>IF(B2&lt;DATE(2016,5,1),0,B42)</f>
        <v>0.05</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5" t="s">
        <v>1235</v>
      </c>
      <c r="B43" s="111">
        <f>B42*(B44+B45+B46)+B47</f>
        <v>6.000000000000001E-3</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6" t="s">
        <v>1236</v>
      </c>
      <c r="B44" s="112">
        <v>7.0000000000000007E-2</v>
      </c>
      <c r="C44" s="2563" t="s">
        <v>2308</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6" t="s">
        <v>1237</v>
      </c>
      <c r="B45" s="110">
        <v>0.03</v>
      </c>
      <c r="C45" s="2562" t="s">
        <v>2300</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6" t="s">
        <v>1238</v>
      </c>
      <c r="B46" s="110">
        <v>0.02</v>
      </c>
      <c r="C46" s="2562" t="s">
        <v>2301</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7" t="s">
        <v>1239</v>
      </c>
      <c r="B47" s="113"/>
      <c r="C47" s="2565" t="s">
        <v>2309</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8" t="s">
        <v>1240</v>
      </c>
      <c r="B48" s="114">
        <v>0.03</v>
      </c>
      <c r="C48" s="2562" t="s">
        <v>2300</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4" t="s">
        <v>1241</v>
      </c>
      <c r="B49" s="110">
        <v>5.0000000000000001E-4</v>
      </c>
      <c r="C49" s="2562" t="s">
        <v>2302</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9"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2"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9" t="s">
        <v>1244</v>
      </c>
      <c r="B52" s="117">
        <f>SUMIF(A54:A63,B53,B54:B63)</f>
        <v>0</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1" t="s">
        <v>1245</v>
      </c>
      <c r="B53" s="1610"/>
      <c r="C53" s="2438" t="s">
        <v>1246</v>
      </c>
      <c r="D53" s="2564" t="s">
        <v>2306</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1"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1"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1"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1"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1"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1" t="s">
        <v>1252</v>
      </c>
      <c r="B59" s="72"/>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1"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1"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1"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2"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9.5" style="1521"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1" customWidth="1"/>
    <col min="19" max="29" width="9" style="751"/>
    <col min="30" max="16384" width="9" style="1521"/>
  </cols>
  <sheetData>
    <row r="1" spans="1:29" s="2257" customFormat="1" ht="18.75" thickBot="1">
      <c r="A1" s="3253" t="s">
        <v>2286</v>
      </c>
      <c r="B1" s="3254"/>
      <c r="C1" s="3254"/>
      <c r="D1" s="3254"/>
      <c r="E1" s="3254"/>
      <c r="F1" s="3254"/>
      <c r="G1" s="3254"/>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2281</v>
      </c>
      <c r="D2" s="1594"/>
      <c r="E2" s="2258"/>
      <c r="F2" s="2261"/>
      <c r="G2" s="2260" t="s">
        <v>2282</v>
      </c>
      <c r="H2" s="751"/>
      <c r="I2" s="751"/>
      <c r="J2" s="751"/>
      <c r="K2" s="751"/>
      <c r="L2" s="751"/>
      <c r="M2" s="751"/>
      <c r="N2" s="751"/>
      <c r="O2" s="751"/>
      <c r="P2" s="751"/>
      <c r="Q2" s="751"/>
    </row>
    <row r="3" spans="1:29" ht="48">
      <c r="A3" s="2245" t="s">
        <v>2283</v>
      </c>
      <c r="B3" s="2262" t="s">
        <v>2252</v>
      </c>
      <c r="C3" s="2263" t="s">
        <v>2284</v>
      </c>
      <c r="D3" s="2264"/>
      <c r="E3" s="2246" t="s">
        <v>2283</v>
      </c>
      <c r="F3" s="2265" t="s">
        <v>2253</v>
      </c>
      <c r="G3" s="2266" t="s">
        <v>2285</v>
      </c>
      <c r="H3" s="751"/>
      <c r="I3" s="751"/>
      <c r="J3" s="751"/>
      <c r="K3" s="751"/>
      <c r="L3" s="751"/>
      <c r="M3" s="751"/>
      <c r="N3" s="751"/>
      <c r="O3" s="751"/>
      <c r="P3" s="751"/>
      <c r="Q3" s="751"/>
    </row>
    <row r="4" spans="1:29" ht="36.75">
      <c r="A4" s="2246"/>
      <c r="B4" s="315" t="s">
        <v>2254</v>
      </c>
      <c r="C4" s="2267" t="s">
        <v>2255</v>
      </c>
      <c r="D4" s="2264"/>
      <c r="E4" s="2268"/>
      <c r="F4" s="1280" t="s">
        <v>2256</v>
      </c>
      <c r="G4" s="2269" t="s">
        <v>2257</v>
      </c>
      <c r="H4" s="751"/>
      <c r="I4" s="751"/>
      <c r="J4" s="751"/>
      <c r="K4" s="751"/>
      <c r="L4" s="751"/>
      <c r="M4" s="751"/>
      <c r="N4" s="751"/>
      <c r="O4" s="751"/>
      <c r="P4" s="751"/>
      <c r="Q4" s="751"/>
    </row>
    <row r="5" spans="1:29" ht="36.75">
      <c r="A5" s="2246"/>
      <c r="B5" s="315" t="s">
        <v>2258</v>
      </c>
      <c r="C5" s="2267" t="s">
        <v>2259</v>
      </c>
      <c r="D5" s="2264"/>
      <c r="E5" s="2268"/>
      <c r="F5" s="315" t="s">
        <v>2260</v>
      </c>
      <c r="G5" s="2269" t="s">
        <v>2261</v>
      </c>
      <c r="H5" s="751"/>
      <c r="I5" s="751"/>
      <c r="J5" s="751"/>
      <c r="K5" s="751"/>
      <c r="L5" s="751"/>
      <c r="M5" s="751"/>
      <c r="N5" s="751"/>
      <c r="O5" s="751"/>
      <c r="P5" s="751"/>
      <c r="Q5" s="751"/>
    </row>
    <row r="6" spans="1:29" ht="36">
      <c r="A6" s="2246"/>
      <c r="B6" s="315" t="s">
        <v>2262</v>
      </c>
      <c r="C6" s="2269" t="s">
        <v>2257</v>
      </c>
      <c r="D6" s="2264"/>
      <c r="E6" s="2268"/>
      <c r="F6" s="315" t="s">
        <v>2263</v>
      </c>
      <c r="G6" s="2269" t="s">
        <v>2264</v>
      </c>
      <c r="H6" s="751"/>
      <c r="I6" s="751"/>
      <c r="J6" s="751"/>
      <c r="K6" s="751"/>
      <c r="L6" s="751"/>
      <c r="M6" s="751"/>
      <c r="N6" s="751"/>
      <c r="O6" s="751"/>
      <c r="P6" s="751"/>
      <c r="Q6" s="751"/>
    </row>
    <row r="7" spans="1:29" ht="24.75" thickBot="1">
      <c r="A7" s="2246"/>
      <c r="B7" s="315" t="s">
        <v>2260</v>
      </c>
      <c r="C7" s="2269" t="s">
        <v>2261</v>
      </c>
      <c r="D7" s="2243"/>
      <c r="E7" s="2270"/>
      <c r="F7" s="2271" t="s">
        <v>2265</v>
      </c>
      <c r="G7" s="2272" t="s">
        <v>2266</v>
      </c>
      <c r="H7" s="751"/>
      <c r="I7" s="751"/>
      <c r="J7" s="751"/>
      <c r="K7" s="751"/>
      <c r="L7" s="751"/>
      <c r="M7" s="751"/>
      <c r="N7" s="751"/>
      <c r="O7" s="751"/>
      <c r="P7" s="751"/>
      <c r="Q7" s="751"/>
    </row>
    <row r="8" spans="1:29">
      <c r="A8" s="2246"/>
      <c r="B8" s="315" t="s">
        <v>2263</v>
      </c>
      <c r="C8" s="2269" t="s">
        <v>2264</v>
      </c>
      <c r="D8" s="2243"/>
      <c r="E8" s="2243"/>
      <c r="F8" s="121"/>
      <c r="G8" s="121"/>
      <c r="H8" s="751"/>
      <c r="I8" s="751"/>
      <c r="J8" s="751"/>
      <c r="K8" s="751"/>
      <c r="L8" s="751"/>
      <c r="M8" s="751"/>
      <c r="N8" s="751"/>
      <c r="O8" s="751"/>
      <c r="P8" s="751"/>
      <c r="Q8" s="751"/>
    </row>
    <row r="9" spans="1:29" ht="24">
      <c r="A9" s="2246"/>
      <c r="B9" s="315" t="s">
        <v>2267</v>
      </c>
      <c r="C9" s="2267" t="s">
        <v>2268</v>
      </c>
      <c r="D9" s="2264"/>
      <c r="E9" s="2243"/>
      <c r="F9" s="121"/>
      <c r="G9" s="121"/>
      <c r="H9" s="751"/>
      <c r="I9" s="751"/>
      <c r="J9" s="751"/>
      <c r="K9" s="751"/>
      <c r="L9" s="751"/>
      <c r="M9" s="751"/>
      <c r="N9" s="751"/>
      <c r="O9" s="751"/>
      <c r="P9" s="751"/>
      <c r="Q9" s="751"/>
    </row>
    <row r="10" spans="1:29" ht="15" thickBot="1">
      <c r="A10" s="2247"/>
      <c r="B10" s="2273" t="s">
        <v>2269</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2287</v>
      </c>
      <c r="B13" s="2278"/>
      <c r="C13" s="2278"/>
      <c r="D13" s="2277"/>
      <c r="E13" s="2278"/>
      <c r="F13" s="2278"/>
      <c r="G13" s="2278"/>
    </row>
    <row r="14" spans="1:29" ht="15" thickBot="1">
      <c r="A14" s="2283"/>
      <c r="B14" s="2283"/>
      <c r="C14" s="2284" t="s">
        <v>2270</v>
      </c>
      <c r="D14" s="2264"/>
      <c r="E14" s="2285"/>
      <c r="F14" s="2285"/>
      <c r="G14" s="2260" t="s">
        <v>2271</v>
      </c>
    </row>
    <row r="15" spans="1:29" ht="51">
      <c r="A15" s="2248" t="s">
        <v>2272</v>
      </c>
      <c r="B15" s="2286" t="s">
        <v>2252</v>
      </c>
      <c r="C15" s="2287" t="str">
        <f>C3</f>
        <v>估价对象周边居住用地比例、居住小区规模和社区发展完善程度，综合评价居住社区成熟度一般</v>
      </c>
      <c r="D15" s="2264"/>
      <c r="E15" s="2249" t="s">
        <v>2273</v>
      </c>
      <c r="F15" s="2286" t="s">
        <v>2274</v>
      </c>
      <c r="G15" s="2288" t="str">
        <f>G3</f>
        <v>估价对象位于XX开发区，园区建设成熟度XX，产业集聚程度XX</v>
      </c>
    </row>
    <row r="16" spans="1:29" ht="38.25">
      <c r="A16" s="2250"/>
      <c r="B16" s="2289" t="s">
        <v>2254</v>
      </c>
      <c r="C16" s="2290" t="str">
        <f>C4</f>
        <v>估价对象位于XX商圈，周边商业氛围成熟，人流量大，商业繁华度好</v>
      </c>
      <c r="D16" s="2264"/>
      <c r="E16" s="2251"/>
      <c r="F16" s="2291" t="s">
        <v>2256</v>
      </c>
      <c r="G16" s="2292" t="str">
        <f>G4</f>
        <v>估价对象周边道路状况、公共交通通达情况、停车便捷程度，综合评价交通便捷度较好</v>
      </c>
    </row>
    <row r="17" spans="1:17" ht="38.25">
      <c r="A17" s="2250"/>
      <c r="B17" s="2289" t="s">
        <v>2258</v>
      </c>
      <c r="C17" s="2290" t="str">
        <f>C5</f>
        <v>估价对象位于XX商圈，周边办公楼项目较多，入驻率高，办公集聚程度较好</v>
      </c>
      <c r="D17" s="2243"/>
      <c r="E17" s="2251"/>
      <c r="F17" s="2291" t="s">
        <v>2275</v>
      </c>
      <c r="G17" s="2293"/>
    </row>
    <row r="18" spans="1:17" ht="38.25">
      <c r="A18" s="2250"/>
      <c r="B18" s="2291" t="s">
        <v>2262</v>
      </c>
      <c r="C18" s="2292" t="str">
        <f>C6</f>
        <v>估价对象周边道路状况、公共交通通达情况、停车便捷程度，综合评价交通便捷度较好</v>
      </c>
      <c r="D18" s="2243"/>
      <c r="E18" s="2251"/>
      <c r="F18" s="2291" t="s">
        <v>2265</v>
      </c>
      <c r="G18" s="2292" t="str">
        <f>G7</f>
        <v>该园区内是否有污染型企业，绿化情况，卫生条件，整体环境状况判断</v>
      </c>
    </row>
    <row r="19" spans="1:17" ht="25.5">
      <c r="A19" s="2250"/>
      <c r="B19" s="2291" t="s">
        <v>2276</v>
      </c>
      <c r="C19" s="2293"/>
      <c r="D19" s="2264"/>
      <c r="E19" s="2251"/>
      <c r="F19" s="315" t="s">
        <v>2260</v>
      </c>
      <c r="G19" s="2292" t="str">
        <f>G5</f>
        <v>估价对象所在区域公共配套设施齐备情况</v>
      </c>
    </row>
    <row r="20" spans="1:17" ht="25.5">
      <c r="A20" s="2250"/>
      <c r="B20" s="2291" t="s">
        <v>2277</v>
      </c>
      <c r="C20" s="2290" t="str">
        <f>C9</f>
        <v>区域自然环境：；人文环境；综合评价环境状况一般</v>
      </c>
      <c r="D20" s="2243"/>
      <c r="E20" s="2251"/>
      <c r="F20" s="315" t="s">
        <v>2263</v>
      </c>
      <c r="G20" s="2292" t="str">
        <f>G6</f>
        <v>估价对象所在区域基础设施水平</v>
      </c>
    </row>
    <row r="21" spans="1:17" ht="25.5">
      <c r="A21" s="2250"/>
      <c r="B21" s="315" t="s">
        <v>2260</v>
      </c>
      <c r="C21" s="2292" t="str">
        <f>C7</f>
        <v>估价对象所在区域公共配套设施齐备情况</v>
      </c>
      <c r="D21" s="2264"/>
      <c r="E21" s="2251"/>
      <c r="F21" s="2291" t="s">
        <v>2278</v>
      </c>
      <c r="G21" s="2294"/>
    </row>
    <row r="22" spans="1:17" ht="13.5" customHeight="1">
      <c r="A22" s="2250"/>
      <c r="B22" s="315" t="s">
        <v>2263</v>
      </c>
      <c r="C22" s="2292" t="str">
        <f>C8</f>
        <v>估价对象所在区域基础设施水平</v>
      </c>
      <c r="D22" s="2264"/>
      <c r="E22" s="2251"/>
      <c r="F22" s="2291" t="s">
        <v>2269</v>
      </c>
      <c r="G22" s="2293"/>
    </row>
    <row r="23" spans="1:17" s="751" customFormat="1" ht="15" thickBot="1">
      <c r="A23" s="2250"/>
      <c r="B23" s="2291" t="s">
        <v>2278</v>
      </c>
      <c r="C23" s="2294"/>
      <c r="D23" s="1613"/>
      <c r="E23" s="2252"/>
      <c r="F23" s="2295" t="s">
        <v>2279</v>
      </c>
      <c r="G23" s="2296"/>
      <c r="H23" s="2275"/>
      <c r="I23" s="2275"/>
      <c r="J23" s="2275"/>
      <c r="K23" s="2275"/>
      <c r="L23" s="2275"/>
      <c r="M23" s="2275"/>
      <c r="N23" s="2275"/>
      <c r="O23" s="2275"/>
      <c r="P23" s="2275"/>
      <c r="Q23" s="2275"/>
    </row>
    <row r="24" spans="1:17" s="751" customFormat="1" ht="15" thickBot="1">
      <c r="A24" s="2253"/>
      <c r="B24" s="2295" t="s">
        <v>2280</v>
      </c>
      <c r="C24" s="2297">
        <f>C10</f>
        <v>0</v>
      </c>
      <c r="D24" s="1613"/>
      <c r="E24" s="2243"/>
      <c r="F24" s="2243"/>
      <c r="G24" s="2243"/>
      <c r="H24" s="2275"/>
      <c r="I24" s="2275"/>
      <c r="J24" s="2275"/>
      <c r="K24" s="2275"/>
      <c r="L24" s="2275"/>
      <c r="M24" s="2275"/>
      <c r="N24" s="2275"/>
      <c r="O24" s="2275"/>
      <c r="P24" s="2275"/>
      <c r="Q24" s="2275"/>
    </row>
    <row r="25" spans="1:17" s="751" customFormat="1">
      <c r="B25" s="2275"/>
      <c r="C25" s="2275"/>
      <c r="D25" s="2275"/>
      <c r="H25" s="2275"/>
      <c r="I25" s="2275"/>
      <c r="J25" s="2275"/>
      <c r="K25" s="2275"/>
      <c r="L25" s="2275"/>
      <c r="M25" s="2275"/>
      <c r="N25" s="2275"/>
      <c r="O25" s="2275"/>
      <c r="P25" s="2275"/>
      <c r="Q25" s="2275"/>
    </row>
    <row r="26" spans="1:17" s="751" customFormat="1">
      <c r="B26" s="2275"/>
      <c r="C26" s="2275"/>
      <c r="D26" s="2275"/>
      <c r="H26" s="2275"/>
      <c r="I26" s="2275"/>
      <c r="J26" s="2275"/>
      <c r="K26" s="2275"/>
      <c r="L26" s="2275"/>
      <c r="M26" s="2275"/>
      <c r="N26" s="2275"/>
      <c r="O26" s="2275"/>
      <c r="P26" s="2275"/>
      <c r="Q26" s="2275"/>
    </row>
    <row r="27" spans="1:17" s="751" customFormat="1">
      <c r="B27" s="2275"/>
      <c r="C27" s="2275"/>
      <c r="D27" s="2275"/>
      <c r="H27" s="2275"/>
      <c r="I27" s="2275"/>
      <c r="J27" s="2275"/>
      <c r="K27" s="2275"/>
      <c r="L27" s="2275"/>
      <c r="M27" s="2275"/>
      <c r="N27" s="2275"/>
      <c r="O27" s="2275"/>
      <c r="P27" s="2275"/>
      <c r="Q27" s="2275"/>
    </row>
    <row r="28" spans="1:17" s="751" customFormat="1">
      <c r="B28" s="2275"/>
      <c r="C28" s="2275"/>
      <c r="D28" s="2275"/>
      <c r="H28" s="2275"/>
      <c r="I28" s="2275"/>
      <c r="J28" s="2275"/>
      <c r="K28" s="2275"/>
      <c r="L28" s="2275"/>
      <c r="M28" s="2275"/>
      <c r="N28" s="2275"/>
      <c r="O28" s="2275"/>
      <c r="P28" s="2275"/>
      <c r="Q28" s="2275"/>
    </row>
    <row r="29" spans="1:17" s="751" customFormat="1">
      <c r="B29" s="2275"/>
      <c r="C29" s="2275"/>
      <c r="D29" s="2275"/>
      <c r="H29" s="2275"/>
      <c r="I29" s="2275"/>
      <c r="J29" s="2275"/>
      <c r="K29" s="2275"/>
      <c r="L29" s="2275"/>
      <c r="M29" s="2275"/>
      <c r="N29" s="2275"/>
      <c r="O29" s="2275"/>
      <c r="P29" s="2275"/>
      <c r="Q29" s="2275"/>
    </row>
    <row r="30" spans="1:17" s="751" customFormat="1">
      <c r="B30" s="2275"/>
      <c r="C30" s="2275"/>
      <c r="D30" s="2275"/>
      <c r="H30" s="2275"/>
      <c r="I30" s="2275"/>
      <c r="J30" s="2275"/>
      <c r="K30" s="2275"/>
      <c r="L30" s="2275"/>
      <c r="M30" s="2275"/>
      <c r="N30" s="2275"/>
      <c r="O30" s="2275"/>
      <c r="P30" s="2275"/>
      <c r="Q30" s="2275"/>
    </row>
    <row r="31" spans="1:17" s="751" customFormat="1">
      <c r="B31" s="2275"/>
      <c r="C31" s="2275"/>
      <c r="D31" s="2275"/>
      <c r="H31" s="2275"/>
      <c r="I31" s="2275"/>
      <c r="J31" s="2275"/>
      <c r="K31" s="2275"/>
      <c r="L31" s="2275"/>
      <c r="M31" s="2275"/>
      <c r="N31" s="2275"/>
      <c r="O31" s="2275"/>
      <c r="P31" s="2275"/>
      <c r="Q31" s="2275"/>
    </row>
    <row r="32" spans="1:17" s="751" customFormat="1">
      <c r="B32" s="2275"/>
      <c r="C32" s="2275"/>
      <c r="D32" s="2275"/>
      <c r="H32" s="2275"/>
      <c r="I32" s="2275"/>
      <c r="J32" s="2275"/>
      <c r="K32" s="2275"/>
      <c r="L32" s="2275"/>
      <c r="M32" s="2275"/>
      <c r="N32" s="2275"/>
      <c r="O32" s="2275"/>
      <c r="P32" s="2275"/>
      <c r="Q32" s="2275"/>
    </row>
    <row r="33" spans="2:17" s="751" customFormat="1">
      <c r="B33" s="2275"/>
      <c r="C33" s="2275"/>
      <c r="D33" s="2275"/>
      <c r="H33" s="2275"/>
      <c r="I33" s="2275"/>
      <c r="J33" s="2275"/>
      <c r="K33" s="2275"/>
      <c r="L33" s="2275"/>
      <c r="M33" s="2275"/>
      <c r="N33" s="2275"/>
      <c r="O33" s="2275"/>
      <c r="P33" s="2275"/>
      <c r="Q33" s="2275"/>
    </row>
    <row r="34" spans="2:17" s="751" customFormat="1">
      <c r="B34" s="2275"/>
      <c r="C34" s="2275"/>
      <c r="D34" s="2275"/>
      <c r="H34" s="2275"/>
      <c r="I34" s="2275"/>
      <c r="J34" s="2275"/>
      <c r="K34" s="2275"/>
      <c r="L34" s="2275"/>
      <c r="M34" s="2275"/>
      <c r="N34" s="2275"/>
      <c r="O34" s="2275"/>
      <c r="P34" s="2275"/>
      <c r="Q34" s="2275"/>
    </row>
    <row r="35" spans="2:17" s="751" customFormat="1">
      <c r="B35" s="2275"/>
      <c r="C35" s="2275"/>
      <c r="D35" s="2275"/>
      <c r="H35" s="2275"/>
      <c r="I35" s="2275"/>
      <c r="J35" s="2275"/>
      <c r="K35" s="2275"/>
      <c r="L35" s="2275"/>
      <c r="M35" s="2275"/>
      <c r="N35" s="2275"/>
      <c r="O35" s="2275"/>
      <c r="P35" s="2275"/>
      <c r="Q35" s="2275"/>
    </row>
    <row r="36" spans="2:17" s="751" customFormat="1">
      <c r="B36" s="2275"/>
      <c r="C36" s="2275"/>
      <c r="D36" s="2275"/>
      <c r="H36" s="2275"/>
      <c r="I36" s="2275"/>
      <c r="J36" s="2275"/>
      <c r="K36" s="2275"/>
      <c r="L36" s="2275"/>
      <c r="M36" s="2275"/>
      <c r="N36" s="2275"/>
      <c r="O36" s="2275"/>
      <c r="P36" s="2275"/>
      <c r="Q36" s="2275"/>
    </row>
    <row r="37" spans="2:17" s="751" customFormat="1">
      <c r="B37" s="2275"/>
      <c r="C37" s="2275"/>
      <c r="D37" s="2275"/>
      <c r="H37" s="2275"/>
      <c r="I37" s="2275"/>
      <c r="J37" s="2275"/>
      <c r="K37" s="2275"/>
      <c r="L37" s="2275"/>
      <c r="M37" s="2275"/>
      <c r="N37" s="2275"/>
      <c r="O37" s="2275"/>
      <c r="P37" s="2275"/>
      <c r="Q37" s="2275"/>
    </row>
    <row r="38" spans="2:17" s="751" customFormat="1">
      <c r="B38" s="2275"/>
      <c r="C38" s="2275"/>
      <c r="D38" s="2275"/>
      <c r="E38" s="2275"/>
      <c r="F38" s="2275"/>
      <c r="G38" s="2275"/>
      <c r="H38" s="2275"/>
      <c r="I38" s="2275"/>
      <c r="J38" s="2275"/>
      <c r="K38" s="2275"/>
      <c r="L38" s="2275"/>
      <c r="M38" s="2275"/>
      <c r="N38" s="2275"/>
      <c r="O38" s="2275"/>
      <c r="P38" s="2275"/>
      <c r="Q38" s="2275"/>
    </row>
    <row r="39" spans="2:17" s="751" customFormat="1">
      <c r="B39" s="2275"/>
      <c r="C39" s="2275"/>
      <c r="D39" s="2275"/>
      <c r="E39" s="2275"/>
      <c r="F39" s="2275"/>
      <c r="G39" s="2275"/>
      <c r="H39" s="2275"/>
      <c r="I39" s="2275"/>
      <c r="J39" s="2275"/>
      <c r="K39" s="2275"/>
      <c r="L39" s="2275"/>
      <c r="M39" s="2275"/>
      <c r="N39" s="2275"/>
      <c r="O39" s="2275"/>
      <c r="P39" s="2275"/>
      <c r="Q39" s="2275"/>
    </row>
    <row r="40" spans="2:17" s="751" customFormat="1">
      <c r="B40" s="2275"/>
      <c r="C40" s="2275"/>
      <c r="D40" s="2275"/>
      <c r="E40" s="2275"/>
      <c r="F40" s="2275"/>
      <c r="G40" s="2275"/>
      <c r="H40" s="2275"/>
      <c r="I40" s="2275"/>
      <c r="J40" s="2275"/>
      <c r="K40" s="2275"/>
      <c r="L40" s="2275"/>
      <c r="M40" s="2275"/>
      <c r="N40" s="2275"/>
      <c r="O40" s="2275"/>
      <c r="P40" s="2275"/>
      <c r="Q40" s="2275"/>
    </row>
    <row r="41" spans="2:17" s="751" customFormat="1">
      <c r="B41" s="2275"/>
      <c r="C41" s="2275"/>
      <c r="D41" s="2275"/>
      <c r="E41" s="2275"/>
      <c r="F41" s="2275"/>
      <c r="G41" s="2275"/>
      <c r="H41" s="2275"/>
      <c r="I41" s="2275"/>
      <c r="J41" s="2275"/>
      <c r="K41" s="2275"/>
      <c r="L41" s="2275"/>
      <c r="M41" s="2275"/>
      <c r="N41" s="2275"/>
      <c r="O41" s="2275"/>
      <c r="P41" s="2275"/>
      <c r="Q41" s="2275"/>
    </row>
    <row r="42" spans="2:17" s="751" customFormat="1">
      <c r="B42" s="2275"/>
      <c r="C42" s="2275"/>
      <c r="D42" s="2275"/>
      <c r="E42" s="2275"/>
      <c r="F42" s="2275"/>
      <c r="G42" s="2275"/>
      <c r="H42" s="2275"/>
      <c r="I42" s="2275"/>
      <c r="J42" s="2275"/>
      <c r="K42" s="2275"/>
      <c r="L42" s="2275"/>
      <c r="M42" s="2275"/>
      <c r="N42" s="2275"/>
      <c r="O42" s="2275"/>
      <c r="P42" s="2275"/>
      <c r="Q42" s="2275"/>
    </row>
    <row r="43" spans="2:17" s="751" customFormat="1">
      <c r="B43" s="2275"/>
      <c r="C43" s="2275"/>
      <c r="D43" s="2275"/>
      <c r="E43" s="2275"/>
      <c r="F43" s="2275"/>
      <c r="G43" s="2275"/>
      <c r="H43" s="2275"/>
      <c r="I43" s="2275"/>
      <c r="J43" s="2275"/>
      <c r="K43" s="2275"/>
      <c r="L43" s="2275"/>
      <c r="M43" s="2275"/>
      <c r="N43" s="2275"/>
      <c r="O43" s="2275"/>
      <c r="P43" s="2275"/>
      <c r="Q43" s="2275"/>
    </row>
    <row r="44" spans="2:17" s="751" customFormat="1">
      <c r="B44" s="2275"/>
      <c r="C44" s="2275"/>
      <c r="D44" s="2275"/>
      <c r="E44" s="2275"/>
      <c r="F44" s="2275"/>
      <c r="G44" s="2275"/>
      <c r="H44" s="2275"/>
      <c r="I44" s="2275"/>
      <c r="J44" s="2275"/>
      <c r="K44" s="2275"/>
      <c r="L44" s="2275"/>
      <c r="M44" s="2275"/>
      <c r="N44" s="2275"/>
      <c r="O44" s="2275"/>
      <c r="P44" s="2275"/>
      <c r="Q44" s="2275"/>
    </row>
    <row r="45" spans="2:17" s="751" customFormat="1">
      <c r="B45" s="2275"/>
      <c r="C45" s="2275"/>
      <c r="D45" s="2275"/>
      <c r="E45" s="2275"/>
      <c r="F45" s="2275"/>
      <c r="G45" s="2275"/>
      <c r="H45" s="2275"/>
      <c r="I45" s="2275"/>
      <c r="J45" s="2275"/>
      <c r="K45" s="2275"/>
      <c r="L45" s="2275"/>
      <c r="M45" s="2275"/>
      <c r="N45" s="2275"/>
      <c r="O45" s="2275"/>
      <c r="P45" s="2275"/>
      <c r="Q45" s="2275"/>
    </row>
    <row r="46" spans="2:17" s="751" customFormat="1">
      <c r="B46" s="2275"/>
      <c r="C46" s="2275"/>
      <c r="D46" s="2275"/>
      <c r="E46" s="2275"/>
      <c r="F46" s="2275"/>
      <c r="G46" s="2275"/>
      <c r="H46" s="2275"/>
      <c r="I46" s="2275"/>
      <c r="J46" s="2275"/>
      <c r="K46" s="2275"/>
      <c r="L46" s="2275"/>
      <c r="M46" s="2275"/>
      <c r="N46" s="2275"/>
      <c r="O46" s="2275"/>
      <c r="P46" s="2275"/>
      <c r="Q46" s="2275"/>
    </row>
    <row r="47" spans="2:17" s="751" customFormat="1">
      <c r="B47" s="2275"/>
      <c r="C47" s="2275"/>
      <c r="D47" s="2275"/>
      <c r="E47" s="2275"/>
      <c r="F47" s="2275"/>
      <c r="G47" s="2275"/>
      <c r="H47" s="2275"/>
      <c r="I47" s="2275"/>
      <c r="J47" s="2275"/>
      <c r="K47" s="2275"/>
      <c r="L47" s="2275"/>
      <c r="M47" s="2275"/>
      <c r="N47" s="2275"/>
      <c r="O47" s="2275"/>
      <c r="P47" s="2275"/>
      <c r="Q47" s="2275"/>
    </row>
    <row r="48" spans="2:17" s="751" customFormat="1">
      <c r="B48" s="2275"/>
      <c r="C48" s="2275"/>
      <c r="D48" s="2275"/>
      <c r="E48" s="2275"/>
      <c r="F48" s="2275"/>
      <c r="G48" s="2275"/>
      <c r="H48" s="2275"/>
      <c r="I48" s="2275"/>
      <c r="J48" s="2275"/>
      <c r="K48" s="2275"/>
      <c r="L48" s="2275"/>
      <c r="M48" s="2275"/>
      <c r="N48" s="2275"/>
      <c r="O48" s="2275"/>
      <c r="P48" s="2275"/>
      <c r="Q48" s="2275"/>
    </row>
    <row r="49" spans="2:17" s="751" customFormat="1">
      <c r="B49" s="2275"/>
      <c r="C49" s="2275"/>
      <c r="D49" s="2275"/>
      <c r="E49" s="2275"/>
      <c r="F49" s="2275"/>
      <c r="G49" s="2275"/>
      <c r="H49" s="2275"/>
      <c r="I49" s="2275"/>
      <c r="J49" s="2275"/>
      <c r="K49" s="2275"/>
      <c r="L49" s="2275"/>
      <c r="M49" s="2275"/>
      <c r="N49" s="2275"/>
      <c r="O49" s="2275"/>
      <c r="P49" s="2275"/>
      <c r="Q49" s="2275"/>
    </row>
    <row r="50" spans="2:17" s="751" customFormat="1">
      <c r="B50" s="2275"/>
      <c r="C50" s="2275"/>
      <c r="D50" s="2275"/>
      <c r="E50" s="2275"/>
      <c r="F50" s="2275"/>
      <c r="G50" s="2275"/>
      <c r="H50" s="2275"/>
      <c r="I50" s="2275"/>
      <c r="J50" s="2275"/>
      <c r="K50" s="2275"/>
      <c r="L50" s="2275"/>
      <c r="M50" s="2275"/>
      <c r="N50" s="2275"/>
      <c r="O50" s="2275"/>
      <c r="P50" s="2275"/>
      <c r="Q50" s="2275"/>
    </row>
    <row r="51" spans="2:17" s="751" customFormat="1">
      <c r="B51" s="2275"/>
      <c r="C51" s="2275"/>
      <c r="D51" s="2275"/>
      <c r="E51" s="2275"/>
      <c r="F51" s="2275"/>
      <c r="G51" s="2275"/>
      <c r="H51" s="2275"/>
      <c r="I51" s="2275"/>
      <c r="J51" s="2275"/>
      <c r="K51" s="2275"/>
      <c r="L51" s="2275"/>
      <c r="M51" s="2275"/>
      <c r="N51" s="2275"/>
      <c r="O51" s="2275"/>
      <c r="P51" s="2275"/>
      <c r="Q51" s="2275"/>
    </row>
    <row r="52" spans="2:17" s="751" customFormat="1">
      <c r="B52" s="2275"/>
      <c r="C52" s="2275"/>
      <c r="D52" s="2275"/>
      <c r="E52" s="2275"/>
      <c r="F52" s="2275"/>
      <c r="G52" s="2275"/>
      <c r="H52" s="2275"/>
      <c r="I52" s="2275"/>
      <c r="J52" s="2275"/>
      <c r="K52" s="2275"/>
      <c r="L52" s="2275"/>
      <c r="M52" s="2275"/>
      <c r="N52" s="2275"/>
      <c r="O52" s="2275"/>
      <c r="P52" s="2275"/>
      <c r="Q52" s="2275"/>
    </row>
    <row r="53" spans="2:17" s="751" customFormat="1">
      <c r="B53" s="2275"/>
      <c r="C53" s="2275"/>
      <c r="D53" s="2275"/>
      <c r="E53" s="2275"/>
      <c r="F53" s="2275"/>
      <c r="G53" s="2275"/>
      <c r="H53" s="2275"/>
      <c r="I53" s="2275"/>
      <c r="J53" s="2275"/>
      <c r="K53" s="2275"/>
      <c r="L53" s="2275"/>
      <c r="M53" s="2275"/>
      <c r="N53" s="2275"/>
      <c r="O53" s="2275"/>
      <c r="P53" s="2275"/>
      <c r="Q53" s="2275"/>
    </row>
    <row r="54" spans="2:17" s="751" customFormat="1">
      <c r="B54" s="2275"/>
      <c r="C54" s="2275"/>
      <c r="D54" s="2275"/>
      <c r="E54" s="2275"/>
      <c r="F54" s="2275"/>
      <c r="G54" s="2275"/>
      <c r="H54" s="2275"/>
      <c r="I54" s="2275"/>
      <c r="J54" s="2275"/>
      <c r="K54" s="2275"/>
      <c r="L54" s="2275"/>
      <c r="M54" s="2275"/>
      <c r="N54" s="2275"/>
      <c r="O54" s="2275"/>
      <c r="P54" s="2275"/>
      <c r="Q54" s="2275"/>
    </row>
    <row r="55" spans="2:17" s="751" customFormat="1">
      <c r="B55" s="2275"/>
      <c r="C55" s="2275"/>
      <c r="D55" s="2275"/>
      <c r="E55" s="2275"/>
      <c r="F55" s="2275"/>
      <c r="G55" s="2275"/>
      <c r="H55" s="2275"/>
      <c r="I55" s="2275"/>
      <c r="J55" s="2275"/>
      <c r="K55" s="2275"/>
      <c r="L55" s="2275"/>
      <c r="M55" s="2275"/>
      <c r="N55" s="2275"/>
      <c r="O55" s="2275"/>
      <c r="P55" s="2275"/>
      <c r="Q55" s="2275"/>
    </row>
    <row r="56" spans="2:17" s="751" customFormat="1">
      <c r="B56" s="2275"/>
      <c r="C56" s="2275"/>
      <c r="D56" s="2275"/>
      <c r="E56" s="2275"/>
      <c r="F56" s="2275"/>
      <c r="G56" s="2275"/>
      <c r="H56" s="2275"/>
      <c r="I56" s="2275"/>
      <c r="J56" s="2275"/>
      <c r="K56" s="2275"/>
      <c r="L56" s="2275"/>
      <c r="M56" s="2275"/>
      <c r="N56" s="2275"/>
      <c r="O56" s="2275"/>
      <c r="P56" s="2275"/>
      <c r="Q56" s="2275"/>
    </row>
    <row r="57" spans="2:17" s="751" customFormat="1">
      <c r="B57" s="2275"/>
      <c r="C57" s="2275"/>
      <c r="D57" s="2275"/>
      <c r="E57" s="2275"/>
      <c r="F57" s="2275"/>
      <c r="G57" s="2275"/>
      <c r="H57" s="2275"/>
      <c r="I57" s="2275"/>
      <c r="J57" s="2275"/>
      <c r="K57" s="2275"/>
      <c r="L57" s="2275"/>
      <c r="M57" s="2275"/>
      <c r="N57" s="2275"/>
      <c r="O57" s="2275"/>
      <c r="P57" s="2275"/>
      <c r="Q57" s="2275"/>
    </row>
    <row r="58" spans="2:17" s="751" customFormat="1">
      <c r="B58" s="2275"/>
      <c r="C58" s="2275"/>
      <c r="D58" s="2275"/>
      <c r="E58" s="2275"/>
      <c r="F58" s="2275"/>
      <c r="G58" s="2275"/>
      <c r="H58" s="2275"/>
      <c r="I58" s="2275"/>
      <c r="J58" s="2275"/>
      <c r="K58" s="2275"/>
      <c r="L58" s="2275"/>
      <c r="M58" s="2275"/>
      <c r="N58" s="2275"/>
      <c r="O58" s="2275"/>
      <c r="P58" s="2275"/>
      <c r="Q58" s="2275"/>
    </row>
    <row r="59" spans="2:17" s="751" customFormat="1">
      <c r="B59" s="2275"/>
      <c r="C59" s="2275"/>
      <c r="D59" s="2275"/>
      <c r="E59" s="2275"/>
      <c r="F59" s="2275"/>
      <c r="G59" s="2275"/>
      <c r="H59" s="2275"/>
      <c r="I59" s="2275"/>
      <c r="J59" s="2275"/>
      <c r="K59" s="2275"/>
      <c r="L59" s="2275"/>
      <c r="M59" s="2275"/>
      <c r="N59" s="2275"/>
      <c r="O59" s="2275"/>
      <c r="P59" s="2275"/>
      <c r="Q59" s="2275"/>
    </row>
    <row r="60" spans="2:17" s="751" customFormat="1">
      <c r="B60" s="2275"/>
      <c r="C60" s="2275"/>
      <c r="D60" s="2275"/>
      <c r="E60" s="2275"/>
      <c r="F60" s="2275"/>
      <c r="G60" s="2275"/>
      <c r="H60" s="2275"/>
      <c r="I60" s="2275"/>
      <c r="J60" s="2275"/>
      <c r="K60" s="2275"/>
      <c r="L60" s="2275"/>
      <c r="M60" s="2275"/>
      <c r="N60" s="2275"/>
      <c r="O60" s="2275"/>
      <c r="P60" s="2275"/>
      <c r="Q60" s="2275"/>
    </row>
    <row r="61" spans="2:17" s="751" customFormat="1">
      <c r="B61" s="2275"/>
      <c r="C61" s="2275"/>
      <c r="D61" s="2275"/>
      <c r="E61" s="2275"/>
      <c r="F61" s="2275"/>
      <c r="G61" s="2275"/>
      <c r="H61" s="2275"/>
      <c r="I61" s="2275"/>
      <c r="J61" s="2275"/>
      <c r="K61" s="2275"/>
      <c r="L61" s="2275"/>
      <c r="M61" s="2275"/>
      <c r="N61" s="2275"/>
      <c r="O61" s="2275"/>
      <c r="P61" s="2275"/>
      <c r="Q61" s="2275"/>
    </row>
    <row r="62" spans="2:17" s="751" customFormat="1">
      <c r="B62" s="2275"/>
      <c r="C62" s="2275"/>
      <c r="D62" s="2275"/>
      <c r="E62" s="2275"/>
      <c r="F62" s="2275"/>
      <c r="G62" s="2275"/>
      <c r="H62" s="2275"/>
      <c r="I62" s="2275"/>
      <c r="J62" s="2275"/>
      <c r="K62" s="2275"/>
      <c r="L62" s="2275"/>
      <c r="M62" s="2275"/>
      <c r="N62" s="2275"/>
      <c r="O62" s="2275"/>
      <c r="P62" s="2275"/>
      <c r="Q62" s="2275"/>
    </row>
    <row r="63" spans="2:17" s="751" customFormat="1">
      <c r="B63" s="2275"/>
      <c r="C63" s="2275"/>
      <c r="D63" s="2275"/>
      <c r="E63" s="2275"/>
      <c r="F63" s="2275"/>
      <c r="G63" s="2275"/>
      <c r="H63" s="2275"/>
      <c r="I63" s="2275"/>
      <c r="J63" s="2275"/>
      <c r="K63" s="2275"/>
      <c r="L63" s="2275"/>
      <c r="M63" s="2275"/>
      <c r="N63" s="2275"/>
      <c r="O63" s="2275"/>
      <c r="P63" s="2275"/>
      <c r="Q63" s="2275"/>
    </row>
    <row r="64" spans="2:17" s="751" customFormat="1">
      <c r="B64" s="2275"/>
      <c r="C64" s="2275"/>
      <c r="D64" s="2275"/>
      <c r="E64" s="2275"/>
      <c r="F64" s="2275"/>
      <c r="G64" s="2275"/>
      <c r="H64" s="2275"/>
      <c r="I64" s="2275"/>
      <c r="J64" s="2275"/>
      <c r="K64" s="2275"/>
      <c r="L64" s="2275"/>
      <c r="M64" s="2275"/>
      <c r="N64" s="2275"/>
      <c r="O64" s="2275"/>
      <c r="P64" s="2275"/>
      <c r="Q64" s="2275"/>
    </row>
    <row r="65" spans="2:17" s="751" customFormat="1">
      <c r="B65" s="2275"/>
      <c r="C65" s="2275"/>
      <c r="D65" s="2275"/>
      <c r="E65" s="2275"/>
      <c r="F65" s="2275"/>
      <c r="G65" s="2275"/>
      <c r="H65" s="2275"/>
      <c r="I65" s="2275"/>
      <c r="J65" s="2275"/>
      <c r="K65" s="2275"/>
      <c r="L65" s="2275"/>
      <c r="M65" s="2275"/>
      <c r="N65" s="2275"/>
      <c r="O65" s="2275"/>
      <c r="P65" s="2275"/>
      <c r="Q65" s="2275"/>
    </row>
    <row r="66" spans="2:17" s="751" customFormat="1">
      <c r="B66" s="2275"/>
      <c r="C66" s="2275"/>
      <c r="D66" s="2275"/>
      <c r="E66" s="2275"/>
      <c r="F66" s="2275"/>
      <c r="G66" s="2275"/>
      <c r="H66" s="2275"/>
      <c r="I66" s="2275"/>
      <c r="J66" s="2275"/>
      <c r="K66" s="2275"/>
      <c r="L66" s="2275"/>
      <c r="M66" s="2275"/>
      <c r="N66" s="2275"/>
      <c r="O66" s="2275"/>
      <c r="P66" s="2275"/>
      <c r="Q66" s="2275"/>
    </row>
    <row r="67" spans="2:17" s="751" customFormat="1">
      <c r="B67" s="2275"/>
      <c r="C67" s="2275"/>
      <c r="D67" s="2275"/>
      <c r="E67" s="2275"/>
      <c r="F67" s="2275"/>
      <c r="G67" s="2275"/>
      <c r="H67" s="2275"/>
      <c r="I67" s="2275"/>
      <c r="J67" s="2275"/>
      <c r="K67" s="2275"/>
      <c r="L67" s="2275"/>
      <c r="M67" s="2275"/>
      <c r="N67" s="2275"/>
      <c r="O67" s="2275"/>
      <c r="P67" s="2275"/>
      <c r="Q67" s="2275"/>
    </row>
    <row r="68" spans="2:17" s="751" customFormat="1">
      <c r="B68" s="2275"/>
      <c r="C68" s="2275"/>
      <c r="D68" s="2275"/>
      <c r="E68" s="2275"/>
      <c r="F68" s="2275"/>
      <c r="G68" s="2275"/>
      <c r="H68" s="2275"/>
      <c r="I68" s="2275"/>
      <c r="J68" s="2275"/>
      <c r="K68" s="2275"/>
      <c r="L68" s="2275"/>
      <c r="M68" s="2275"/>
      <c r="N68" s="2275"/>
      <c r="O68" s="2275"/>
      <c r="P68" s="2275"/>
      <c r="Q68" s="2275"/>
    </row>
    <row r="69" spans="2:17" s="751" customFormat="1">
      <c r="B69" s="2275"/>
      <c r="C69" s="2275"/>
      <c r="D69" s="2275"/>
      <c r="E69" s="2275"/>
      <c r="F69" s="2275"/>
      <c r="G69" s="2275"/>
      <c r="H69" s="2275"/>
      <c r="I69" s="2275"/>
      <c r="J69" s="2275"/>
      <c r="K69" s="2275"/>
      <c r="L69" s="2275"/>
      <c r="M69" s="2275"/>
      <c r="N69" s="2275"/>
      <c r="O69" s="2275"/>
      <c r="P69" s="2275"/>
      <c r="Q69" s="2275"/>
    </row>
    <row r="70" spans="2:17" s="751" customFormat="1">
      <c r="B70" s="2275"/>
      <c r="C70" s="2275"/>
      <c r="D70" s="2275"/>
      <c r="E70" s="2275"/>
      <c r="F70" s="2275"/>
      <c r="G70" s="2275"/>
      <c r="H70" s="2275"/>
      <c r="I70" s="2275"/>
      <c r="J70" s="2275"/>
      <c r="K70" s="2275"/>
      <c r="L70" s="2275"/>
      <c r="M70" s="2275"/>
      <c r="N70" s="2275"/>
      <c r="O70" s="2275"/>
      <c r="P70" s="2275"/>
      <c r="Q70" s="2275"/>
    </row>
    <row r="71" spans="2:17" s="751" customFormat="1">
      <c r="B71" s="2275"/>
      <c r="C71" s="2275"/>
      <c r="D71" s="2275"/>
      <c r="E71" s="2275"/>
      <c r="F71" s="2275"/>
      <c r="G71" s="2275"/>
      <c r="H71" s="2275"/>
      <c r="I71" s="2275"/>
      <c r="J71" s="2275"/>
      <c r="K71" s="2275"/>
      <c r="L71" s="2275"/>
      <c r="M71" s="2275"/>
      <c r="N71" s="2275"/>
      <c r="O71" s="2275"/>
      <c r="P71" s="2275"/>
      <c r="Q71" s="2275"/>
    </row>
    <row r="72" spans="2:17" s="751" customFormat="1">
      <c r="B72" s="2275"/>
      <c r="C72" s="2275"/>
      <c r="D72" s="2275"/>
      <c r="E72" s="2275"/>
      <c r="F72" s="2275"/>
      <c r="G72" s="2275"/>
      <c r="H72" s="2275"/>
      <c r="I72" s="2275"/>
      <c r="J72" s="2275"/>
      <c r="K72" s="2275"/>
      <c r="L72" s="2275"/>
      <c r="M72" s="2275"/>
      <c r="N72" s="2275"/>
      <c r="O72" s="2275"/>
      <c r="P72" s="2275"/>
      <c r="Q72" s="2275"/>
    </row>
    <row r="73" spans="2:17" s="751" customFormat="1">
      <c r="B73" s="2275"/>
      <c r="C73" s="2275"/>
      <c r="D73" s="2275"/>
      <c r="E73" s="2275"/>
      <c r="F73" s="2275"/>
      <c r="G73" s="2275"/>
      <c r="H73" s="2275"/>
      <c r="I73" s="2275"/>
      <c r="J73" s="2275"/>
      <c r="K73" s="2275"/>
      <c r="L73" s="2275"/>
      <c r="M73" s="2275"/>
      <c r="N73" s="2275"/>
      <c r="O73" s="2275"/>
      <c r="P73" s="2275"/>
      <c r="Q73" s="2275"/>
    </row>
    <row r="74" spans="2:17" s="751" customFormat="1">
      <c r="B74" s="2275"/>
      <c r="C74" s="2275"/>
      <c r="D74" s="2275"/>
      <c r="E74" s="2275"/>
      <c r="F74" s="2275"/>
      <c r="G74" s="2275"/>
      <c r="H74" s="2275"/>
      <c r="I74" s="2275"/>
      <c r="J74" s="2275"/>
      <c r="K74" s="2275"/>
      <c r="L74" s="2275"/>
      <c r="M74" s="2275"/>
      <c r="N74" s="2275"/>
      <c r="O74" s="2275"/>
      <c r="P74" s="2275"/>
      <c r="Q74" s="2275"/>
    </row>
    <row r="75" spans="2:17" s="751" customFormat="1">
      <c r="B75" s="2275"/>
      <c r="C75" s="2275"/>
      <c r="D75" s="2275"/>
      <c r="E75" s="2275"/>
      <c r="F75" s="2275"/>
      <c r="G75" s="2275"/>
      <c r="H75" s="2275"/>
      <c r="I75" s="2275"/>
      <c r="J75" s="2275"/>
      <c r="K75" s="2275"/>
      <c r="L75" s="2275"/>
      <c r="M75" s="2275"/>
      <c r="N75" s="2275"/>
      <c r="O75" s="2275"/>
      <c r="P75" s="2275"/>
      <c r="Q75" s="2275"/>
    </row>
    <row r="76" spans="2:17" s="751" customFormat="1">
      <c r="B76" s="2275"/>
      <c r="C76" s="2275"/>
      <c r="D76" s="2275"/>
      <c r="E76" s="2275"/>
      <c r="F76" s="2275"/>
      <c r="G76" s="2275"/>
      <c r="H76" s="2275"/>
      <c r="I76" s="2275"/>
      <c r="J76" s="2275"/>
      <c r="K76" s="2275"/>
      <c r="L76" s="2275"/>
      <c r="M76" s="2275"/>
      <c r="N76" s="2275"/>
      <c r="O76" s="2275"/>
      <c r="P76" s="2275"/>
      <c r="Q76" s="2275"/>
    </row>
    <row r="77" spans="2:17" s="751" customFormat="1">
      <c r="B77" s="2275"/>
      <c r="C77" s="2275"/>
      <c r="D77" s="2275"/>
      <c r="E77" s="2275"/>
      <c r="F77" s="2275"/>
      <c r="G77" s="2275"/>
      <c r="H77" s="2275"/>
      <c r="I77" s="2275"/>
      <c r="J77" s="2275"/>
      <c r="K77" s="2275"/>
      <c r="L77" s="2275"/>
      <c r="M77" s="2275"/>
      <c r="N77" s="2275"/>
      <c r="O77" s="2275"/>
      <c r="P77" s="2275"/>
      <c r="Q77" s="2275"/>
    </row>
    <row r="78" spans="2:17" s="751" customFormat="1">
      <c r="B78" s="2275"/>
      <c r="C78" s="2275"/>
      <c r="D78" s="2275"/>
      <c r="E78" s="2275"/>
      <c r="F78" s="2275"/>
      <c r="G78" s="2275"/>
      <c r="H78" s="2275"/>
      <c r="I78" s="2275"/>
      <c r="J78" s="2275"/>
      <c r="K78" s="2275"/>
      <c r="L78" s="2275"/>
      <c r="M78" s="2275"/>
      <c r="N78" s="2275"/>
      <c r="O78" s="2275"/>
      <c r="P78" s="2275"/>
      <c r="Q78" s="2275"/>
    </row>
    <row r="79" spans="2:17" s="751" customFormat="1">
      <c r="B79" s="2275"/>
      <c r="C79" s="2275"/>
      <c r="D79" s="2275"/>
      <c r="E79" s="2275"/>
      <c r="F79" s="2275"/>
      <c r="G79" s="2275"/>
      <c r="H79" s="2275"/>
      <c r="I79" s="2275"/>
      <c r="J79" s="2275"/>
      <c r="K79" s="2275"/>
      <c r="L79" s="2275"/>
      <c r="M79" s="2275"/>
      <c r="N79" s="2275"/>
      <c r="O79" s="2275"/>
      <c r="P79" s="2275"/>
      <c r="Q79" s="2275"/>
    </row>
    <row r="80" spans="2:17" s="751" customFormat="1">
      <c r="B80" s="2275"/>
      <c r="C80" s="2275"/>
      <c r="D80" s="2275"/>
      <c r="E80" s="2275"/>
      <c r="F80" s="2275"/>
      <c r="G80" s="2275"/>
      <c r="H80" s="2275"/>
      <c r="I80" s="2275"/>
      <c r="J80" s="2275"/>
      <c r="K80" s="2275"/>
      <c r="L80" s="2275"/>
      <c r="M80" s="2275"/>
      <c r="N80" s="2275"/>
      <c r="O80" s="2275"/>
      <c r="P80" s="2275"/>
      <c r="Q80" s="2275"/>
    </row>
    <row r="81" spans="2:17" s="751" customFormat="1">
      <c r="B81" s="2275"/>
      <c r="C81" s="2275"/>
      <c r="D81" s="2275"/>
      <c r="E81" s="2275"/>
      <c r="F81" s="2275"/>
      <c r="G81" s="2275"/>
      <c r="H81" s="2275"/>
      <c r="I81" s="2275"/>
      <c r="J81" s="2275"/>
      <c r="K81" s="2275"/>
      <c r="L81" s="2275"/>
      <c r="M81" s="2275"/>
      <c r="N81" s="2275"/>
      <c r="O81" s="2275"/>
      <c r="P81" s="2275"/>
      <c r="Q81" s="2275"/>
    </row>
    <row r="82" spans="2:17" s="751" customFormat="1">
      <c r="B82" s="2275"/>
      <c r="C82" s="2275"/>
      <c r="D82" s="2275"/>
      <c r="E82" s="2275"/>
      <c r="F82" s="2275"/>
      <c r="G82" s="2275"/>
      <c r="H82" s="2275"/>
      <c r="I82" s="2275"/>
      <c r="J82" s="2275"/>
      <c r="K82" s="2275"/>
      <c r="L82" s="2275"/>
      <c r="M82" s="2275"/>
      <c r="N82" s="2275"/>
      <c r="O82" s="2275"/>
      <c r="P82" s="2275"/>
      <c r="Q82" s="2275"/>
    </row>
    <row r="83" spans="2:17" s="751" customFormat="1">
      <c r="B83" s="2275"/>
      <c r="C83" s="2275"/>
      <c r="D83" s="2275"/>
      <c r="E83" s="2275"/>
      <c r="F83" s="2275"/>
      <c r="G83" s="2275"/>
      <c r="H83" s="2275"/>
      <c r="I83" s="2275"/>
      <c r="J83" s="2275"/>
      <c r="K83" s="2275"/>
      <c r="L83" s="2275"/>
      <c r="M83" s="2275"/>
      <c r="N83" s="2275"/>
      <c r="O83" s="2275"/>
      <c r="P83" s="2275"/>
      <c r="Q83" s="2275"/>
    </row>
    <row r="84" spans="2:17" s="751" customFormat="1">
      <c r="B84" s="2275"/>
      <c r="C84" s="2275"/>
      <c r="D84" s="2275"/>
      <c r="E84" s="2275"/>
      <c r="F84" s="2275"/>
      <c r="G84" s="2275"/>
      <c r="H84" s="2275"/>
      <c r="I84" s="2275"/>
      <c r="J84" s="2275"/>
      <c r="K84" s="2275"/>
      <c r="L84" s="2275"/>
      <c r="M84" s="2275"/>
      <c r="N84" s="2275"/>
      <c r="O84" s="2275"/>
      <c r="P84" s="2275"/>
      <c r="Q84" s="2275"/>
    </row>
    <row r="85" spans="2:17" s="751" customFormat="1">
      <c r="B85" s="2275"/>
      <c r="C85" s="2275"/>
      <c r="D85" s="2275"/>
      <c r="E85" s="2275"/>
      <c r="F85" s="2275"/>
      <c r="G85" s="2275"/>
      <c r="H85" s="2275"/>
      <c r="I85" s="2275"/>
      <c r="J85" s="2275"/>
      <c r="K85" s="2275"/>
      <c r="L85" s="2275"/>
      <c r="M85" s="2275"/>
      <c r="N85" s="2275"/>
      <c r="O85" s="2275"/>
      <c r="P85" s="2275"/>
      <c r="Q85" s="2275"/>
    </row>
    <row r="86" spans="2:17" s="751" customFormat="1">
      <c r="B86" s="2275"/>
      <c r="C86" s="2275"/>
      <c r="D86" s="2275"/>
      <c r="E86" s="2275"/>
      <c r="F86" s="2275"/>
      <c r="G86" s="2275"/>
      <c r="H86" s="2275"/>
      <c r="I86" s="2275"/>
      <c r="J86" s="2275"/>
      <c r="K86" s="2275"/>
      <c r="L86" s="2275"/>
      <c r="M86" s="2275"/>
      <c r="N86" s="2275"/>
      <c r="O86" s="2275"/>
      <c r="P86" s="2275"/>
      <c r="Q86" s="2275"/>
    </row>
    <row r="87" spans="2:17" s="751" customFormat="1">
      <c r="B87" s="2275"/>
      <c r="C87" s="2275"/>
      <c r="D87" s="2275"/>
      <c r="E87" s="2275"/>
      <c r="F87" s="2275"/>
      <c r="G87" s="2275"/>
      <c r="H87" s="2275"/>
      <c r="I87" s="2275"/>
      <c r="J87" s="2275"/>
      <c r="K87" s="2275"/>
      <c r="L87" s="2275"/>
      <c r="M87" s="2275"/>
      <c r="N87" s="2275"/>
      <c r="O87" s="2275"/>
      <c r="P87" s="2275"/>
      <c r="Q87" s="2275"/>
    </row>
    <row r="88" spans="2:17" s="751" customFormat="1">
      <c r="B88" s="2275"/>
      <c r="C88" s="2275"/>
      <c r="D88" s="2275"/>
      <c r="E88" s="2275"/>
      <c r="F88" s="2275"/>
      <c r="G88" s="2275"/>
      <c r="H88" s="2275"/>
      <c r="I88" s="2275"/>
      <c r="J88" s="2275"/>
      <c r="K88" s="2275"/>
      <c r="L88" s="2275"/>
      <c r="M88" s="2275"/>
      <c r="N88" s="2275"/>
      <c r="O88" s="2275"/>
      <c r="P88" s="2275"/>
      <c r="Q88" s="2275"/>
    </row>
    <row r="89" spans="2:17" s="751" customFormat="1">
      <c r="B89" s="2275"/>
      <c r="C89" s="2275"/>
      <c r="D89" s="2275"/>
      <c r="E89" s="2275"/>
      <c r="F89" s="2275"/>
      <c r="G89" s="2275"/>
      <c r="H89" s="2275"/>
      <c r="I89" s="2275"/>
      <c r="J89" s="2275"/>
      <c r="K89" s="2275"/>
      <c r="L89" s="2275"/>
      <c r="M89" s="2275"/>
      <c r="N89" s="2275"/>
      <c r="O89" s="2275"/>
      <c r="P89" s="2275"/>
      <c r="Q89" s="2275"/>
    </row>
    <row r="90" spans="2:17" s="751" customFormat="1">
      <c r="B90" s="2275"/>
      <c r="C90" s="2275"/>
      <c r="D90" s="2275"/>
      <c r="E90" s="2275"/>
      <c r="F90" s="2275"/>
      <c r="G90" s="2275"/>
      <c r="H90" s="2275"/>
      <c r="I90" s="2275"/>
      <c r="J90" s="2275"/>
      <c r="K90" s="2275"/>
      <c r="L90" s="2275"/>
      <c r="M90" s="2275"/>
      <c r="N90" s="2275"/>
      <c r="O90" s="2275"/>
      <c r="P90" s="2275"/>
      <c r="Q90" s="2275"/>
    </row>
    <row r="91" spans="2:17" s="751" customFormat="1">
      <c r="B91" s="2275"/>
      <c r="C91" s="2275"/>
      <c r="D91" s="2275"/>
      <c r="E91" s="2275"/>
      <c r="F91" s="2275"/>
      <c r="G91" s="2275"/>
      <c r="H91" s="2275"/>
      <c r="I91" s="2275"/>
      <c r="J91" s="2275"/>
      <c r="K91" s="2275"/>
      <c r="L91" s="2275"/>
      <c r="M91" s="2275"/>
      <c r="N91" s="2275"/>
      <c r="O91" s="2275"/>
      <c r="P91" s="2275"/>
      <c r="Q91" s="2275"/>
    </row>
    <row r="92" spans="2:17" s="751" customFormat="1">
      <c r="B92" s="2275"/>
      <c r="C92" s="2275"/>
      <c r="D92" s="2275"/>
      <c r="E92" s="2275"/>
      <c r="F92" s="2275"/>
      <c r="G92" s="2275"/>
      <c r="H92" s="2275"/>
      <c r="I92" s="2275"/>
      <c r="J92" s="2275"/>
      <c r="K92" s="2275"/>
      <c r="L92" s="2275"/>
      <c r="M92" s="2275"/>
      <c r="N92" s="2275"/>
      <c r="O92" s="2275"/>
      <c r="P92" s="2275"/>
      <c r="Q92" s="2275"/>
    </row>
    <row r="93" spans="2:17" s="751" customFormat="1">
      <c r="B93" s="2275"/>
      <c r="C93" s="2275"/>
      <c r="D93" s="2275"/>
      <c r="E93" s="2275"/>
      <c r="F93" s="2275"/>
      <c r="G93" s="2275"/>
      <c r="H93" s="2275"/>
      <c r="I93" s="2275"/>
      <c r="J93" s="2275"/>
      <c r="K93" s="2275"/>
      <c r="L93" s="2275"/>
      <c r="M93" s="2275"/>
      <c r="N93" s="2275"/>
      <c r="O93" s="2275"/>
      <c r="P93" s="2275"/>
      <c r="Q93" s="2275"/>
    </row>
    <row r="94" spans="2:17" s="751" customFormat="1">
      <c r="B94" s="2275"/>
      <c r="C94" s="2275"/>
      <c r="D94" s="2275"/>
      <c r="E94" s="2275"/>
      <c r="F94" s="2275"/>
      <c r="G94" s="2275"/>
      <c r="H94" s="2275"/>
      <c r="I94" s="2275"/>
      <c r="J94" s="2275"/>
      <c r="K94" s="2275"/>
      <c r="L94" s="2275"/>
      <c r="M94" s="2275"/>
      <c r="N94" s="2275"/>
      <c r="O94" s="2275"/>
      <c r="P94" s="2275"/>
      <c r="Q94" s="2275"/>
    </row>
    <row r="95" spans="2:17" s="751" customFormat="1">
      <c r="B95" s="2275"/>
      <c r="C95" s="2275"/>
      <c r="D95" s="2275"/>
      <c r="E95" s="2275"/>
      <c r="F95" s="2275"/>
      <c r="G95" s="2275"/>
      <c r="H95" s="2275"/>
      <c r="I95" s="2275"/>
      <c r="J95" s="2275"/>
      <c r="K95" s="2275"/>
      <c r="L95" s="2275"/>
      <c r="M95" s="2275"/>
      <c r="N95" s="2275"/>
      <c r="O95" s="2275"/>
      <c r="P95" s="2275"/>
      <c r="Q95" s="2275"/>
    </row>
    <row r="96" spans="2:17" s="751" customFormat="1">
      <c r="B96" s="2275"/>
      <c r="C96" s="2275"/>
      <c r="D96" s="2275"/>
      <c r="E96" s="2275"/>
      <c r="F96" s="2275"/>
      <c r="G96" s="2275"/>
      <c r="H96" s="2275"/>
      <c r="I96" s="2275"/>
      <c r="J96" s="2275"/>
      <c r="K96" s="2275"/>
      <c r="L96" s="2275"/>
      <c r="M96" s="2275"/>
      <c r="N96" s="2275"/>
      <c r="O96" s="2275"/>
      <c r="P96" s="2275"/>
      <c r="Q96" s="2275"/>
    </row>
    <row r="97" spans="2:17" s="751" customFormat="1">
      <c r="B97" s="2275"/>
      <c r="C97" s="2275"/>
      <c r="D97" s="2275"/>
      <c r="E97" s="2275"/>
      <c r="F97" s="2275"/>
      <c r="G97" s="2275"/>
      <c r="H97" s="2275"/>
      <c r="I97" s="2275"/>
      <c r="J97" s="2275"/>
      <c r="K97" s="2275"/>
      <c r="L97" s="2275"/>
      <c r="M97" s="2275"/>
      <c r="N97" s="2275"/>
      <c r="O97" s="2275"/>
      <c r="P97" s="2275"/>
      <c r="Q97" s="2275"/>
    </row>
    <row r="98" spans="2:17" s="751" customFormat="1">
      <c r="B98" s="2275"/>
      <c r="C98" s="2275"/>
      <c r="D98" s="2275"/>
      <c r="E98" s="2275"/>
      <c r="F98" s="2275"/>
      <c r="G98" s="2275"/>
      <c r="H98" s="2275"/>
      <c r="I98" s="2275"/>
      <c r="J98" s="2275"/>
      <c r="K98" s="2275"/>
      <c r="L98" s="2275"/>
      <c r="M98" s="2275"/>
      <c r="N98" s="2275"/>
      <c r="O98" s="2275"/>
      <c r="P98" s="2275"/>
      <c r="Q98" s="2275"/>
    </row>
    <row r="99" spans="2:17" s="751" customFormat="1">
      <c r="B99" s="2275"/>
      <c r="C99" s="2275"/>
      <c r="D99" s="2275"/>
      <c r="E99" s="2275"/>
      <c r="F99" s="2275"/>
      <c r="G99" s="2275"/>
      <c r="H99" s="2275"/>
      <c r="I99" s="2275"/>
      <c r="J99" s="2275"/>
      <c r="K99" s="2275"/>
      <c r="L99" s="2275"/>
      <c r="M99" s="2275"/>
      <c r="N99" s="2275"/>
      <c r="O99" s="2275"/>
      <c r="P99" s="2275"/>
      <c r="Q99" s="2275"/>
    </row>
    <row r="100" spans="2:17" s="751" customFormat="1">
      <c r="B100" s="2275"/>
      <c r="C100" s="2275"/>
      <c r="D100" s="2275"/>
      <c r="E100" s="2275"/>
      <c r="F100" s="2275"/>
      <c r="G100" s="2275"/>
      <c r="H100" s="2275"/>
      <c r="I100" s="2275"/>
      <c r="J100" s="2275"/>
      <c r="K100" s="2275"/>
      <c r="L100" s="2275"/>
      <c r="M100" s="2275"/>
      <c r="N100" s="2275"/>
      <c r="O100" s="2275"/>
      <c r="P100" s="2275"/>
      <c r="Q100" s="2275"/>
    </row>
    <row r="101" spans="2:17" s="751" customFormat="1">
      <c r="B101" s="2275"/>
      <c r="C101" s="2275"/>
      <c r="D101" s="2275"/>
      <c r="E101" s="2275"/>
      <c r="F101" s="2275"/>
      <c r="G101" s="2275"/>
      <c r="H101" s="2275"/>
      <c r="I101" s="2275"/>
      <c r="J101" s="2275"/>
      <c r="K101" s="2275"/>
      <c r="L101" s="2275"/>
      <c r="M101" s="2275"/>
      <c r="N101" s="2275"/>
      <c r="O101" s="2275"/>
      <c r="P101" s="2275"/>
      <c r="Q101" s="2275"/>
    </row>
    <row r="102" spans="2:17" s="751" customFormat="1">
      <c r="B102" s="2275"/>
      <c r="C102" s="2275"/>
      <c r="D102" s="2275"/>
      <c r="E102" s="2275"/>
      <c r="F102" s="2275"/>
      <c r="G102" s="2275"/>
      <c r="H102" s="2275"/>
      <c r="I102" s="2275"/>
      <c r="J102" s="2275"/>
      <c r="K102" s="2275"/>
      <c r="L102" s="2275"/>
      <c r="M102" s="2275"/>
      <c r="N102" s="2275"/>
      <c r="O102" s="2275"/>
      <c r="P102" s="2275"/>
      <c r="Q102" s="2275"/>
    </row>
    <row r="103" spans="2:17" s="751" customFormat="1">
      <c r="B103" s="2275"/>
      <c r="C103" s="2275"/>
      <c r="D103" s="2275"/>
      <c r="E103" s="2275"/>
      <c r="F103" s="2275"/>
      <c r="G103" s="2275"/>
      <c r="H103" s="2275"/>
      <c r="I103" s="2275"/>
      <c r="J103" s="2275"/>
      <c r="K103" s="2275"/>
      <c r="L103" s="2275"/>
      <c r="M103" s="2275"/>
      <c r="N103" s="2275"/>
      <c r="O103" s="2275"/>
      <c r="P103" s="2275"/>
      <c r="Q103" s="2275"/>
    </row>
    <row r="104" spans="2:17" s="751" customFormat="1">
      <c r="B104" s="2275"/>
      <c r="C104" s="2275"/>
      <c r="D104" s="2275"/>
      <c r="E104" s="2275"/>
      <c r="F104" s="2275"/>
      <c r="G104" s="2275"/>
      <c r="H104" s="2275"/>
      <c r="I104" s="2275"/>
      <c r="J104" s="2275"/>
      <c r="K104" s="2275"/>
      <c r="L104" s="2275"/>
      <c r="M104" s="2275"/>
      <c r="N104" s="2275"/>
      <c r="O104" s="2275"/>
      <c r="P104" s="2275"/>
      <c r="Q104" s="2275"/>
    </row>
    <row r="105" spans="2:17" s="751" customFormat="1">
      <c r="B105" s="2275"/>
      <c r="C105" s="2275"/>
      <c r="D105" s="2275"/>
      <c r="E105" s="2275"/>
      <c r="F105" s="2275"/>
      <c r="G105" s="2275"/>
      <c r="H105" s="2275"/>
      <c r="I105" s="2275"/>
      <c r="J105" s="2275"/>
      <c r="K105" s="2275"/>
      <c r="L105" s="2275"/>
      <c r="M105" s="2275"/>
      <c r="N105" s="2275"/>
      <c r="O105" s="2275"/>
      <c r="P105" s="2275"/>
      <c r="Q105" s="2275"/>
    </row>
    <row r="106" spans="2:17" s="751" customFormat="1">
      <c r="B106" s="2275"/>
      <c r="C106" s="2275"/>
      <c r="D106" s="2275"/>
      <c r="E106" s="2275"/>
      <c r="F106" s="2275"/>
      <c r="G106" s="2275"/>
      <c r="H106" s="2275"/>
      <c r="I106" s="2275"/>
      <c r="J106" s="2275"/>
      <c r="K106" s="2275"/>
      <c r="L106" s="2275"/>
      <c r="M106" s="2275"/>
      <c r="N106" s="2275"/>
      <c r="O106" s="2275"/>
      <c r="P106" s="2275"/>
      <c r="Q106" s="2275"/>
    </row>
    <row r="107" spans="2:17" s="751" customFormat="1">
      <c r="B107" s="2275"/>
      <c r="C107" s="2275"/>
      <c r="D107" s="2275"/>
      <c r="E107" s="2275"/>
      <c r="F107" s="2275"/>
      <c r="G107" s="2275"/>
      <c r="H107" s="2275"/>
      <c r="I107" s="2275"/>
      <c r="J107" s="2275"/>
      <c r="K107" s="2275"/>
      <c r="L107" s="2275"/>
      <c r="M107" s="2275"/>
      <c r="N107" s="2275"/>
      <c r="O107" s="2275"/>
      <c r="P107" s="2275"/>
      <c r="Q107" s="2275"/>
    </row>
    <row r="108" spans="2:17" s="751" customFormat="1">
      <c r="B108" s="2275"/>
      <c r="C108" s="2275"/>
      <c r="D108" s="2275"/>
      <c r="E108" s="2275"/>
      <c r="F108" s="2275"/>
      <c r="G108" s="2275"/>
      <c r="H108" s="2275"/>
      <c r="I108" s="2275"/>
      <c r="J108" s="2275"/>
      <c r="K108" s="2275"/>
      <c r="L108" s="2275"/>
      <c r="M108" s="2275"/>
      <c r="N108" s="2275"/>
      <c r="O108" s="2275"/>
      <c r="P108" s="2275"/>
      <c r="Q108" s="2275"/>
    </row>
    <row r="109" spans="2:17" s="751" customFormat="1">
      <c r="B109" s="2275"/>
      <c r="C109" s="2275"/>
      <c r="D109" s="2275"/>
      <c r="E109" s="2275"/>
      <c r="F109" s="2275"/>
      <c r="G109" s="2275"/>
      <c r="H109" s="2275"/>
      <c r="I109" s="2275"/>
      <c r="J109" s="2275"/>
      <c r="K109" s="2275"/>
      <c r="L109" s="2275"/>
      <c r="M109" s="2275"/>
      <c r="N109" s="2275"/>
      <c r="O109" s="2275"/>
      <c r="P109" s="2275"/>
      <c r="Q109" s="2275"/>
    </row>
    <row r="110" spans="2:17" s="751" customFormat="1">
      <c r="B110" s="2275"/>
      <c r="C110" s="2275"/>
      <c r="D110" s="2275"/>
      <c r="E110" s="2275"/>
      <c r="F110" s="2275"/>
      <c r="G110" s="2275"/>
      <c r="H110" s="2275"/>
      <c r="I110" s="2275"/>
      <c r="J110" s="2275"/>
      <c r="K110" s="2275"/>
      <c r="L110" s="2275"/>
      <c r="M110" s="2275"/>
      <c r="N110" s="2275"/>
      <c r="O110" s="2275"/>
      <c r="P110" s="2275"/>
      <c r="Q110" s="2275"/>
    </row>
    <row r="111" spans="2:17" s="751" customFormat="1">
      <c r="B111" s="2275"/>
      <c r="C111" s="2275"/>
      <c r="D111" s="2275"/>
      <c r="E111" s="2275"/>
      <c r="F111" s="2275"/>
      <c r="G111" s="2275"/>
      <c r="H111" s="2275"/>
      <c r="I111" s="2275"/>
      <c r="J111" s="2275"/>
      <c r="K111" s="2275"/>
      <c r="L111" s="2275"/>
      <c r="M111" s="2275"/>
      <c r="N111" s="2275"/>
      <c r="O111" s="2275"/>
      <c r="P111" s="2275"/>
      <c r="Q111" s="2275"/>
    </row>
    <row r="112" spans="2:17" s="751" customFormat="1">
      <c r="B112" s="2275"/>
      <c r="C112" s="2275"/>
      <c r="D112" s="2275"/>
      <c r="E112" s="2275"/>
      <c r="F112" s="2275"/>
      <c r="G112" s="2275"/>
      <c r="H112" s="2275"/>
      <c r="I112" s="2275"/>
      <c r="J112" s="2275"/>
      <c r="K112" s="2275"/>
      <c r="L112" s="2275"/>
      <c r="M112" s="2275"/>
      <c r="N112" s="2275"/>
      <c r="O112" s="2275"/>
      <c r="P112" s="2275"/>
      <c r="Q112" s="2275"/>
    </row>
    <row r="113" spans="2:17" s="751" customFormat="1">
      <c r="B113" s="2275"/>
      <c r="C113" s="2275"/>
      <c r="D113" s="2275"/>
      <c r="E113" s="2275"/>
      <c r="F113" s="2275"/>
      <c r="G113" s="2275"/>
      <c r="H113" s="2275"/>
      <c r="I113" s="2275"/>
      <c r="J113" s="2275"/>
      <c r="K113" s="2275"/>
      <c r="L113" s="2275"/>
      <c r="M113" s="2275"/>
      <c r="N113" s="2275"/>
      <c r="O113" s="2275"/>
      <c r="P113" s="2275"/>
      <c r="Q113" s="2275"/>
    </row>
    <row r="114" spans="2:17" s="751" customFormat="1">
      <c r="B114" s="2275"/>
      <c r="C114" s="2275"/>
      <c r="D114" s="2275"/>
      <c r="E114" s="2275"/>
      <c r="F114" s="2275"/>
      <c r="G114" s="2275"/>
      <c r="H114" s="2275"/>
      <c r="I114" s="2275"/>
      <c r="J114" s="2275"/>
      <c r="K114" s="2275"/>
      <c r="L114" s="2275"/>
      <c r="M114" s="2275"/>
      <c r="N114" s="2275"/>
      <c r="O114" s="2275"/>
      <c r="P114" s="2275"/>
      <c r="Q114" s="2275"/>
    </row>
    <row r="115" spans="2:17" s="751" customFormat="1">
      <c r="B115" s="2275"/>
      <c r="C115" s="2275"/>
      <c r="D115" s="2275"/>
      <c r="E115" s="2275"/>
      <c r="F115" s="2275"/>
      <c r="G115" s="2275"/>
      <c r="H115" s="2275"/>
      <c r="I115" s="2275"/>
      <c r="J115" s="2275"/>
      <c r="K115" s="2275"/>
      <c r="L115" s="2275"/>
      <c r="M115" s="2275"/>
      <c r="N115" s="2275"/>
      <c r="O115" s="2275"/>
      <c r="P115" s="2275"/>
      <c r="Q115" s="2275"/>
    </row>
    <row r="116" spans="2:17" s="751" customFormat="1">
      <c r="B116" s="2275"/>
      <c r="C116" s="2275"/>
      <c r="D116" s="2275"/>
      <c r="E116" s="2275"/>
      <c r="F116" s="2275"/>
      <c r="G116" s="2275"/>
      <c r="H116" s="2275"/>
      <c r="I116" s="2275"/>
      <c r="J116" s="2275"/>
      <c r="K116" s="2275"/>
      <c r="L116" s="2275"/>
      <c r="M116" s="2275"/>
      <c r="N116" s="2275"/>
      <c r="O116" s="2275"/>
      <c r="P116" s="2275"/>
      <c r="Q116" s="2275"/>
    </row>
    <row r="117" spans="2:17" s="751" customFormat="1">
      <c r="B117" s="2275"/>
      <c r="C117" s="2275"/>
      <c r="D117" s="2275"/>
      <c r="E117" s="2275"/>
      <c r="F117" s="2275"/>
      <c r="G117" s="2275"/>
      <c r="H117" s="2275"/>
      <c r="I117" s="2275"/>
      <c r="J117" s="2275"/>
      <c r="K117" s="2275"/>
      <c r="L117" s="2275"/>
      <c r="M117" s="2275"/>
      <c r="N117" s="2275"/>
      <c r="O117" s="2275"/>
      <c r="P117" s="2275"/>
      <c r="Q117" s="2275"/>
    </row>
    <row r="118" spans="2:17" s="751" customFormat="1">
      <c r="B118" s="2275"/>
      <c r="C118" s="2275"/>
      <c r="D118" s="2275"/>
      <c r="E118" s="2275"/>
      <c r="F118" s="2275"/>
      <c r="G118" s="2275"/>
      <c r="H118" s="2275"/>
      <c r="I118" s="2275"/>
      <c r="J118" s="2275"/>
      <c r="K118" s="2275"/>
      <c r="L118" s="2275"/>
      <c r="M118" s="2275"/>
      <c r="N118" s="2275"/>
      <c r="O118" s="2275"/>
      <c r="P118" s="2275"/>
      <c r="Q118" s="2275"/>
    </row>
    <row r="119" spans="2:17" s="751" customFormat="1">
      <c r="B119" s="2275"/>
      <c r="C119" s="2275"/>
      <c r="D119" s="2275"/>
      <c r="E119" s="2275"/>
      <c r="F119" s="2275"/>
      <c r="G119" s="2275"/>
      <c r="H119" s="2275"/>
      <c r="I119" s="2275"/>
      <c r="J119" s="2275"/>
      <c r="K119" s="2275"/>
      <c r="L119" s="2275"/>
      <c r="M119" s="2275"/>
      <c r="N119" s="2275"/>
      <c r="O119" s="2275"/>
      <c r="P119" s="2275"/>
      <c r="Q119" s="2275"/>
    </row>
    <row r="120" spans="2:17" s="751" customFormat="1">
      <c r="B120" s="2275"/>
      <c r="C120" s="2275"/>
      <c r="D120" s="2275"/>
      <c r="E120" s="2275"/>
      <c r="F120" s="2275"/>
      <c r="G120" s="2275"/>
      <c r="H120" s="2275"/>
      <c r="I120" s="2275"/>
      <c r="J120" s="2275"/>
      <c r="K120" s="2275"/>
      <c r="L120" s="2275"/>
      <c r="M120" s="2275"/>
      <c r="N120" s="2275"/>
      <c r="O120" s="2275"/>
      <c r="P120" s="2275"/>
      <c r="Q120" s="2275"/>
    </row>
    <row r="121" spans="2:17" s="751" customFormat="1">
      <c r="B121" s="2275"/>
      <c r="C121" s="2275"/>
      <c r="D121" s="2275"/>
      <c r="E121" s="2275"/>
      <c r="F121" s="2275"/>
      <c r="G121" s="2275"/>
      <c r="H121" s="2275"/>
      <c r="I121" s="2275"/>
      <c r="J121" s="2275"/>
      <c r="K121" s="2275"/>
      <c r="L121" s="2275"/>
      <c r="M121" s="2275"/>
      <c r="N121" s="2275"/>
      <c r="O121" s="2275"/>
      <c r="P121" s="2275"/>
      <c r="Q121" s="2275"/>
    </row>
    <row r="122" spans="2:17" s="751" customFormat="1">
      <c r="B122" s="2275"/>
      <c r="C122" s="2275"/>
      <c r="D122" s="2275"/>
      <c r="E122" s="2275"/>
      <c r="F122" s="2275"/>
      <c r="G122" s="2275"/>
      <c r="H122" s="2275"/>
      <c r="I122" s="2275"/>
      <c r="J122" s="2275"/>
      <c r="K122" s="2275"/>
      <c r="L122" s="2275"/>
      <c r="M122" s="2275"/>
      <c r="N122" s="2275"/>
      <c r="O122" s="2275"/>
      <c r="P122" s="2275"/>
      <c r="Q122" s="2275"/>
    </row>
    <row r="123" spans="2:17" s="751" customFormat="1">
      <c r="B123" s="2275"/>
      <c r="C123" s="2275"/>
      <c r="D123" s="2275"/>
      <c r="E123" s="2275"/>
      <c r="F123" s="2275"/>
      <c r="G123" s="2275"/>
      <c r="H123" s="2275"/>
      <c r="I123" s="2275"/>
      <c r="J123" s="2275"/>
      <c r="K123" s="2275"/>
      <c r="L123" s="2275"/>
      <c r="M123" s="2275"/>
      <c r="N123" s="2275"/>
      <c r="O123" s="2275"/>
      <c r="P123" s="2275"/>
      <c r="Q123" s="2275"/>
    </row>
    <row r="124" spans="2:17" s="751" customFormat="1">
      <c r="B124" s="2275"/>
      <c r="C124" s="2275"/>
      <c r="D124" s="2275"/>
      <c r="E124" s="2275"/>
      <c r="F124" s="2275"/>
      <c r="G124" s="2275"/>
      <c r="H124" s="2275"/>
      <c r="I124" s="2275"/>
      <c r="J124" s="2275"/>
      <c r="K124" s="2275"/>
      <c r="L124" s="2275"/>
      <c r="M124" s="2275"/>
      <c r="N124" s="2275"/>
      <c r="O124" s="2275"/>
      <c r="P124" s="2275"/>
      <c r="Q124" s="2275"/>
    </row>
    <row r="125" spans="2:17" s="751" customFormat="1">
      <c r="B125" s="2275"/>
      <c r="C125" s="2275"/>
      <c r="D125" s="2275"/>
      <c r="E125" s="2275"/>
      <c r="F125" s="2275"/>
      <c r="G125" s="2275"/>
      <c r="H125" s="2275"/>
      <c r="I125" s="2275"/>
      <c r="J125" s="2275"/>
      <c r="K125" s="2275"/>
      <c r="L125" s="2275"/>
      <c r="M125" s="2275"/>
      <c r="N125" s="2275"/>
      <c r="O125" s="2275"/>
      <c r="P125" s="2275"/>
      <c r="Q125" s="2275"/>
    </row>
    <row r="126" spans="2:17" s="751" customFormat="1">
      <c r="B126" s="2275"/>
      <c r="C126" s="2275"/>
      <c r="D126" s="2275"/>
      <c r="E126" s="2275"/>
      <c r="F126" s="2275"/>
      <c r="G126" s="2275"/>
      <c r="H126" s="2275"/>
      <c r="I126" s="2275"/>
      <c r="J126" s="2275"/>
      <c r="K126" s="2275"/>
      <c r="L126" s="2275"/>
      <c r="M126" s="2275"/>
      <c r="N126" s="2275"/>
      <c r="O126" s="2275"/>
      <c r="P126" s="2275"/>
      <c r="Q126" s="2275"/>
    </row>
    <row r="127" spans="2:17" s="751" customFormat="1">
      <c r="B127" s="2275"/>
      <c r="C127" s="2275"/>
      <c r="D127" s="2275"/>
      <c r="E127" s="2275"/>
      <c r="F127" s="2275"/>
      <c r="G127" s="2275"/>
      <c r="H127" s="2275"/>
      <c r="I127" s="2275"/>
      <c r="J127" s="2275"/>
      <c r="K127" s="2275"/>
      <c r="L127" s="2275"/>
      <c r="M127" s="2275"/>
      <c r="N127" s="2275"/>
      <c r="O127" s="2275"/>
      <c r="P127" s="2275"/>
      <c r="Q127" s="2275"/>
    </row>
    <row r="128" spans="2:17" s="751" customFormat="1">
      <c r="B128" s="2275"/>
      <c r="C128" s="2275"/>
      <c r="D128" s="2275"/>
      <c r="E128" s="2275"/>
      <c r="F128" s="2275"/>
      <c r="G128" s="2275"/>
      <c r="H128" s="2275"/>
      <c r="I128" s="2275"/>
      <c r="J128" s="2275"/>
      <c r="K128" s="2275"/>
      <c r="L128" s="2275"/>
      <c r="M128" s="2275"/>
      <c r="N128" s="2275"/>
      <c r="O128" s="2275"/>
      <c r="P128" s="2275"/>
      <c r="Q128" s="2275"/>
    </row>
    <row r="129" spans="2:17" s="751" customFormat="1">
      <c r="B129" s="2275"/>
      <c r="C129" s="2275"/>
      <c r="D129" s="2275"/>
      <c r="E129" s="2275"/>
      <c r="F129" s="2275"/>
      <c r="G129" s="2275"/>
      <c r="H129" s="2275"/>
      <c r="I129" s="2275"/>
      <c r="J129" s="2275"/>
      <c r="K129" s="2275"/>
      <c r="L129" s="2275"/>
      <c r="M129" s="2275"/>
      <c r="N129" s="2275"/>
      <c r="O129" s="2275"/>
      <c r="P129" s="2275"/>
      <c r="Q129" s="2275"/>
    </row>
    <row r="130" spans="2:17" s="751" customFormat="1">
      <c r="B130" s="2275"/>
      <c r="C130" s="2275"/>
      <c r="D130" s="2275"/>
      <c r="E130" s="2275"/>
      <c r="F130" s="2275"/>
      <c r="G130" s="2275"/>
      <c r="H130" s="2275"/>
      <c r="I130" s="2275"/>
      <c r="J130" s="2275"/>
      <c r="K130" s="2275"/>
      <c r="L130" s="2275"/>
      <c r="M130" s="2275"/>
      <c r="N130" s="2275"/>
      <c r="O130" s="2275"/>
      <c r="P130" s="2275"/>
      <c r="Q130" s="2275"/>
    </row>
    <row r="131" spans="2:17" s="751" customFormat="1">
      <c r="B131" s="2275"/>
      <c r="C131" s="2275"/>
      <c r="D131" s="2275"/>
      <c r="E131" s="2275"/>
      <c r="F131" s="2275"/>
      <c r="G131" s="2275"/>
      <c r="H131" s="2275"/>
      <c r="I131" s="2275"/>
      <c r="J131" s="2275"/>
      <c r="K131" s="2275"/>
      <c r="L131" s="2275"/>
      <c r="M131" s="2275"/>
      <c r="N131" s="2275"/>
      <c r="O131" s="2275"/>
      <c r="P131" s="2275"/>
      <c r="Q131" s="2275"/>
    </row>
    <row r="132" spans="2:17" s="751" customFormat="1">
      <c r="B132" s="2275"/>
      <c r="C132" s="2275"/>
      <c r="D132" s="2275"/>
      <c r="E132" s="2275"/>
      <c r="F132" s="2275"/>
      <c r="G132" s="2275"/>
      <c r="H132" s="2275"/>
      <c r="I132" s="2275"/>
      <c r="J132" s="2275"/>
      <c r="K132" s="2275"/>
      <c r="L132" s="2275"/>
      <c r="M132" s="2275"/>
      <c r="N132" s="2275"/>
      <c r="O132" s="2275"/>
      <c r="P132" s="2275"/>
      <c r="Q132" s="2275"/>
    </row>
    <row r="133" spans="2:17" s="751" customFormat="1">
      <c r="B133" s="2275"/>
      <c r="C133" s="2275"/>
      <c r="D133" s="2275"/>
      <c r="E133" s="2275"/>
      <c r="F133" s="2275"/>
      <c r="G133" s="2275"/>
      <c r="H133" s="2275"/>
      <c r="I133" s="2275"/>
      <c r="J133" s="2275"/>
      <c r="K133" s="2275"/>
      <c r="L133" s="2275"/>
      <c r="M133" s="2275"/>
      <c r="N133" s="2275"/>
      <c r="O133" s="2275"/>
      <c r="P133" s="2275"/>
      <c r="Q133" s="2275"/>
    </row>
    <row r="134" spans="2:17" s="751" customFormat="1">
      <c r="B134" s="2275"/>
      <c r="C134" s="2275"/>
      <c r="D134" s="2275"/>
      <c r="E134" s="2275"/>
      <c r="F134" s="2275"/>
      <c r="G134" s="2275"/>
      <c r="H134" s="2275"/>
      <c r="I134" s="2275"/>
      <c r="J134" s="2275"/>
      <c r="K134" s="2275"/>
      <c r="L134" s="2275"/>
      <c r="M134" s="2275"/>
      <c r="N134" s="2275"/>
      <c r="O134" s="2275"/>
      <c r="P134" s="2275"/>
      <c r="Q134" s="2275"/>
    </row>
    <row r="135" spans="2:17" s="751" customFormat="1">
      <c r="B135" s="2275"/>
      <c r="C135" s="2275"/>
      <c r="D135" s="2275"/>
      <c r="E135" s="2275"/>
      <c r="F135" s="2275"/>
      <c r="G135" s="2275"/>
      <c r="H135" s="2275"/>
      <c r="I135" s="2275"/>
      <c r="J135" s="2275"/>
      <c r="K135" s="2275"/>
      <c r="L135" s="2275"/>
      <c r="M135" s="2275"/>
      <c r="N135" s="2275"/>
      <c r="O135" s="2275"/>
      <c r="P135" s="2275"/>
      <c r="Q135" s="2275"/>
    </row>
    <row r="136" spans="2:17" s="751" customFormat="1">
      <c r="B136" s="2275"/>
      <c r="C136" s="2275"/>
      <c r="D136" s="2275"/>
      <c r="E136" s="2275"/>
      <c r="F136" s="2275"/>
      <c r="G136" s="2275"/>
      <c r="H136" s="2275"/>
      <c r="I136" s="2275"/>
      <c r="J136" s="2275"/>
      <c r="K136" s="2275"/>
      <c r="L136" s="2275"/>
      <c r="M136" s="2275"/>
      <c r="N136" s="2275"/>
      <c r="O136" s="2275"/>
      <c r="P136" s="2275"/>
      <c r="Q136" s="2275"/>
    </row>
    <row r="137" spans="2:17" s="751" customFormat="1">
      <c r="B137" s="2275"/>
      <c r="C137" s="2275"/>
      <c r="D137" s="2275"/>
      <c r="E137" s="2275"/>
      <c r="F137" s="2275"/>
      <c r="G137" s="2275"/>
      <c r="H137" s="2275"/>
      <c r="I137" s="2275"/>
      <c r="J137" s="2275"/>
      <c r="K137" s="2275"/>
      <c r="L137" s="2275"/>
      <c r="M137" s="2275"/>
      <c r="N137" s="2275"/>
      <c r="O137" s="2275"/>
      <c r="P137" s="2275"/>
      <c r="Q137" s="2275"/>
    </row>
    <row r="138" spans="2:17" s="751" customFormat="1">
      <c r="B138" s="2275"/>
      <c r="C138" s="2275"/>
      <c r="D138" s="2275"/>
      <c r="E138" s="2275"/>
      <c r="F138" s="2275"/>
      <c r="G138" s="2275"/>
      <c r="H138" s="2275"/>
      <c r="I138" s="2275"/>
      <c r="J138" s="2275"/>
      <c r="K138" s="2275"/>
      <c r="L138" s="2275"/>
      <c r="M138" s="2275"/>
      <c r="N138" s="2275"/>
      <c r="O138" s="2275"/>
      <c r="P138" s="2275"/>
      <c r="Q138" s="2275"/>
    </row>
    <row r="139" spans="2:17" s="751" customFormat="1">
      <c r="B139" s="2275"/>
      <c r="C139" s="2275"/>
      <c r="D139" s="2275"/>
      <c r="E139" s="2275"/>
      <c r="F139" s="2275"/>
      <c r="G139" s="2275"/>
      <c r="H139" s="2275"/>
      <c r="I139" s="2275"/>
      <c r="J139" s="2275"/>
      <c r="K139" s="2275"/>
      <c r="L139" s="2275"/>
      <c r="M139" s="2275"/>
      <c r="N139" s="2275"/>
      <c r="O139" s="2275"/>
      <c r="P139" s="2275"/>
      <c r="Q139" s="2275"/>
    </row>
    <row r="140" spans="2:17" s="751" customFormat="1">
      <c r="B140" s="2275"/>
      <c r="C140" s="2275"/>
      <c r="D140" s="2275"/>
      <c r="E140" s="2275"/>
      <c r="F140" s="2275"/>
      <c r="G140" s="2275"/>
      <c r="H140" s="2275"/>
      <c r="I140" s="2275"/>
      <c r="J140" s="2275"/>
      <c r="K140" s="2275"/>
      <c r="L140" s="2275"/>
      <c r="M140" s="2275"/>
      <c r="N140" s="2275"/>
      <c r="O140" s="2275"/>
      <c r="P140" s="2275"/>
      <c r="Q140" s="2275"/>
    </row>
    <row r="141" spans="2:17" s="751" customFormat="1">
      <c r="B141" s="2275"/>
      <c r="C141" s="2275"/>
      <c r="D141" s="2275"/>
      <c r="E141" s="2275"/>
      <c r="F141" s="2275"/>
      <c r="G141" s="2275"/>
      <c r="H141" s="2275"/>
      <c r="I141" s="2275"/>
      <c r="J141" s="2275"/>
      <c r="K141" s="2275"/>
      <c r="L141" s="2275"/>
      <c r="M141" s="2275"/>
      <c r="N141" s="2275"/>
      <c r="O141" s="2275"/>
      <c r="P141" s="2275"/>
      <c r="Q141" s="2275"/>
    </row>
    <row r="142" spans="2:17" s="751" customFormat="1">
      <c r="B142" s="2275"/>
      <c r="C142" s="2275"/>
      <c r="D142" s="2275"/>
      <c r="E142" s="2275"/>
      <c r="F142" s="2275"/>
      <c r="G142" s="2275"/>
      <c r="H142" s="2275"/>
      <c r="I142" s="2275"/>
      <c r="J142" s="2275"/>
      <c r="K142" s="2275"/>
      <c r="L142" s="2275"/>
      <c r="M142" s="2275"/>
      <c r="N142" s="2275"/>
      <c r="O142" s="2275"/>
      <c r="P142" s="2275"/>
      <c r="Q142" s="2275"/>
    </row>
    <row r="143" spans="2:17" s="751" customFormat="1">
      <c r="B143" s="2275"/>
      <c r="C143" s="2275"/>
      <c r="D143" s="2275"/>
      <c r="E143" s="2275"/>
      <c r="F143" s="2275"/>
      <c r="G143" s="2275"/>
      <c r="H143" s="2275"/>
      <c r="I143" s="2275"/>
      <c r="J143" s="2275"/>
      <c r="K143" s="2275"/>
      <c r="L143" s="2275"/>
      <c r="M143" s="2275"/>
      <c r="N143" s="2275"/>
      <c r="O143" s="2275"/>
      <c r="P143" s="2275"/>
      <c r="Q143" s="2275"/>
    </row>
    <row r="144" spans="2:17" s="751" customFormat="1">
      <c r="B144" s="2275"/>
      <c r="C144" s="2275"/>
      <c r="D144" s="2275"/>
      <c r="E144" s="2275"/>
      <c r="F144" s="2275"/>
      <c r="G144" s="2275"/>
      <c r="H144" s="2275"/>
      <c r="I144" s="2275"/>
      <c r="J144" s="2275"/>
      <c r="K144" s="2275"/>
      <c r="L144" s="2275"/>
      <c r="M144" s="2275"/>
      <c r="N144" s="2275"/>
      <c r="O144" s="2275"/>
      <c r="P144" s="2275"/>
      <c r="Q144" s="2275"/>
    </row>
    <row r="145" spans="2:17" s="751" customFormat="1">
      <c r="B145" s="2275"/>
      <c r="C145" s="2275"/>
      <c r="D145" s="2275"/>
      <c r="E145" s="2275"/>
      <c r="F145" s="2275"/>
      <c r="G145" s="2275"/>
      <c r="H145" s="2275"/>
      <c r="I145" s="2275"/>
      <c r="J145" s="2275"/>
      <c r="K145" s="2275"/>
      <c r="L145" s="2275"/>
      <c r="M145" s="2275"/>
      <c r="N145" s="2275"/>
      <c r="O145" s="2275"/>
      <c r="P145" s="2275"/>
      <c r="Q145" s="2275"/>
    </row>
    <row r="146" spans="2:17" s="751" customFormat="1">
      <c r="B146" s="2275"/>
      <c r="C146" s="2275"/>
      <c r="D146" s="2275"/>
      <c r="E146" s="2275"/>
      <c r="F146" s="2275"/>
      <c r="G146" s="2275"/>
      <c r="H146" s="2275"/>
      <c r="I146" s="2275"/>
      <c r="J146" s="2275"/>
      <c r="K146" s="2275"/>
      <c r="L146" s="2275"/>
      <c r="M146" s="2275"/>
      <c r="N146" s="2275"/>
      <c r="O146" s="2275"/>
      <c r="P146" s="2275"/>
      <c r="Q146" s="2275"/>
    </row>
    <row r="147" spans="2:17" s="751" customFormat="1">
      <c r="B147" s="2275"/>
      <c r="C147" s="2275"/>
      <c r="D147" s="2275"/>
      <c r="E147" s="2275"/>
      <c r="F147" s="2275"/>
      <c r="G147" s="2275"/>
      <c r="H147" s="2275"/>
      <c r="I147" s="2275"/>
      <c r="J147" s="2275"/>
      <c r="K147" s="2275"/>
      <c r="L147" s="2275"/>
      <c r="M147" s="2275"/>
      <c r="N147" s="2275"/>
      <c r="O147" s="2275"/>
      <c r="P147" s="2275"/>
      <c r="Q147" s="2275"/>
    </row>
    <row r="148" spans="2:17" s="751" customFormat="1">
      <c r="B148" s="2275"/>
      <c r="C148" s="2275"/>
      <c r="D148" s="2275"/>
      <c r="E148" s="2275"/>
      <c r="F148" s="2275"/>
      <c r="G148" s="2275"/>
      <c r="H148" s="2275"/>
      <c r="I148" s="2275"/>
      <c r="J148" s="2275"/>
      <c r="K148" s="2275"/>
      <c r="L148" s="2275"/>
      <c r="M148" s="2275"/>
      <c r="N148" s="2275"/>
      <c r="O148" s="2275"/>
      <c r="P148" s="2275"/>
      <c r="Q148" s="2275"/>
    </row>
    <row r="149" spans="2:17" s="751" customFormat="1">
      <c r="B149" s="2275"/>
      <c r="C149" s="2275"/>
      <c r="D149" s="2275"/>
      <c r="E149" s="2275"/>
      <c r="F149" s="2275"/>
      <c r="G149" s="2275"/>
      <c r="H149" s="2275"/>
      <c r="I149" s="2275"/>
      <c r="J149" s="2275"/>
      <c r="K149" s="2275"/>
      <c r="L149" s="2275"/>
      <c r="M149" s="2275"/>
      <c r="N149" s="2275"/>
      <c r="O149" s="2275"/>
      <c r="P149" s="2275"/>
      <c r="Q149" s="2275"/>
    </row>
    <row r="150" spans="2:17" s="751" customFormat="1">
      <c r="B150" s="2275"/>
      <c r="C150" s="2275"/>
      <c r="D150" s="2275"/>
      <c r="E150" s="2275"/>
      <c r="F150" s="2275"/>
      <c r="G150" s="2275"/>
      <c r="H150" s="2275"/>
      <c r="I150" s="2275"/>
      <c r="J150" s="2275"/>
      <c r="K150" s="2275"/>
      <c r="L150" s="2275"/>
      <c r="M150" s="2275"/>
      <c r="N150" s="2275"/>
      <c r="O150" s="2275"/>
      <c r="P150" s="2275"/>
      <c r="Q150" s="2275"/>
    </row>
    <row r="151" spans="2:17" s="751" customFormat="1">
      <c r="B151" s="2275"/>
      <c r="C151" s="2275"/>
      <c r="D151" s="2275"/>
      <c r="E151" s="2275"/>
      <c r="F151" s="2275"/>
      <c r="G151" s="2275"/>
      <c r="H151" s="2275"/>
      <c r="I151" s="2275"/>
      <c r="J151" s="2275"/>
      <c r="K151" s="2275"/>
      <c r="L151" s="2275"/>
      <c r="M151" s="2275"/>
      <c r="N151" s="2275"/>
      <c r="O151" s="2275"/>
      <c r="P151" s="2275"/>
      <c r="Q151" s="2275"/>
    </row>
    <row r="152" spans="2:17" s="751" customFormat="1">
      <c r="B152" s="2275"/>
      <c r="C152" s="2275"/>
      <c r="D152" s="2275"/>
      <c r="E152" s="2275"/>
      <c r="F152" s="2275"/>
      <c r="G152" s="2275"/>
      <c r="H152" s="2275"/>
      <c r="I152" s="2275"/>
      <c r="J152" s="2275"/>
      <c r="K152" s="2275"/>
      <c r="L152" s="2275"/>
      <c r="M152" s="2275"/>
      <c r="N152" s="2275"/>
      <c r="O152" s="2275"/>
      <c r="P152" s="2275"/>
      <c r="Q152" s="2275"/>
    </row>
    <row r="153" spans="2:17" s="751" customFormat="1">
      <c r="B153" s="2275"/>
      <c r="C153" s="2275"/>
      <c r="D153" s="2275"/>
      <c r="E153" s="2275"/>
      <c r="F153" s="2275"/>
      <c r="G153" s="2275"/>
      <c r="H153" s="2275"/>
      <c r="I153" s="2275"/>
      <c r="J153" s="2275"/>
      <c r="K153" s="2275"/>
      <c r="L153" s="2275"/>
      <c r="M153" s="2275"/>
      <c r="N153" s="2275"/>
      <c r="O153" s="2275"/>
      <c r="P153" s="2275"/>
      <c r="Q153" s="2275"/>
    </row>
    <row r="154" spans="2:17" s="751" customFormat="1">
      <c r="B154" s="2275"/>
      <c r="C154" s="2275"/>
      <c r="D154" s="2275"/>
      <c r="E154" s="2275"/>
      <c r="F154" s="2275"/>
      <c r="G154" s="2275"/>
      <c r="H154" s="2275"/>
      <c r="I154" s="2275"/>
      <c r="J154" s="2275"/>
      <c r="K154" s="2275"/>
      <c r="L154" s="2275"/>
      <c r="M154" s="2275"/>
      <c r="N154" s="2275"/>
      <c r="O154" s="2275"/>
      <c r="P154" s="2275"/>
      <c r="Q154" s="2275"/>
    </row>
    <row r="155" spans="2:17" s="751" customFormat="1">
      <c r="B155" s="2275"/>
      <c r="C155" s="2275"/>
      <c r="D155" s="2275"/>
      <c r="E155" s="2275"/>
      <c r="F155" s="2275"/>
      <c r="G155" s="2275"/>
      <c r="H155" s="2275"/>
      <c r="I155" s="2275"/>
      <c r="J155" s="2275"/>
      <c r="K155" s="2275"/>
      <c r="L155" s="2275"/>
      <c r="M155" s="2275"/>
      <c r="N155" s="2275"/>
      <c r="O155" s="2275"/>
      <c r="P155" s="2275"/>
      <c r="Q155" s="2275"/>
    </row>
    <row r="156" spans="2:17" s="751" customFormat="1">
      <c r="B156" s="2275"/>
      <c r="C156" s="2275"/>
      <c r="D156" s="2275"/>
      <c r="E156" s="2275"/>
      <c r="F156" s="2275"/>
      <c r="G156" s="2275"/>
      <c r="H156" s="2275"/>
      <c r="I156" s="2275"/>
      <c r="J156" s="2275"/>
      <c r="K156" s="2275"/>
      <c r="L156" s="2275"/>
      <c r="M156" s="2275"/>
      <c r="N156" s="2275"/>
      <c r="O156" s="2275"/>
      <c r="P156" s="2275"/>
      <c r="Q156" s="2275"/>
    </row>
    <row r="157" spans="2:17" s="751" customFormat="1">
      <c r="B157" s="2275"/>
      <c r="C157" s="2275"/>
      <c r="D157" s="2275"/>
      <c r="E157" s="2275"/>
      <c r="F157" s="2275"/>
      <c r="G157" s="2275"/>
      <c r="H157" s="2275"/>
      <c r="I157" s="2275"/>
      <c r="J157" s="2275"/>
      <c r="K157" s="2275"/>
      <c r="L157" s="2275"/>
      <c r="M157" s="2275"/>
      <c r="N157" s="2275"/>
      <c r="O157" s="2275"/>
      <c r="P157" s="2275"/>
      <c r="Q157" s="2275"/>
    </row>
    <row r="158" spans="2:17" s="751" customFormat="1">
      <c r="B158" s="2275"/>
      <c r="C158" s="2275"/>
      <c r="D158" s="2275"/>
      <c r="E158" s="2275"/>
      <c r="F158" s="2275"/>
      <c r="G158" s="2275"/>
      <c r="H158" s="2275"/>
      <c r="I158" s="2275"/>
      <c r="J158" s="2275"/>
      <c r="K158" s="2275"/>
      <c r="L158" s="2275"/>
      <c r="M158" s="2275"/>
      <c r="N158" s="2275"/>
      <c r="O158" s="2275"/>
      <c r="P158" s="2275"/>
      <c r="Q158" s="2275"/>
    </row>
    <row r="159" spans="2:17" s="751" customFormat="1">
      <c r="B159" s="2275"/>
      <c r="C159" s="2275"/>
      <c r="D159" s="2275"/>
      <c r="E159" s="2275"/>
      <c r="F159" s="2275"/>
      <c r="G159" s="2275"/>
      <c r="H159" s="2275"/>
      <c r="I159" s="2275"/>
      <c r="J159" s="2275"/>
      <c r="K159" s="2275"/>
      <c r="L159" s="2275"/>
      <c r="M159" s="2275"/>
      <c r="N159" s="2275"/>
      <c r="O159" s="2275"/>
      <c r="P159" s="2275"/>
      <c r="Q159" s="2275"/>
    </row>
    <row r="160" spans="2:17" s="751" customFormat="1">
      <c r="B160" s="2275"/>
      <c r="C160" s="2275"/>
      <c r="D160" s="2275"/>
      <c r="E160" s="2275"/>
      <c r="F160" s="2275"/>
      <c r="G160" s="2275"/>
      <c r="H160" s="2275"/>
      <c r="I160" s="2275"/>
      <c r="J160" s="2275"/>
      <c r="K160" s="2275"/>
      <c r="L160" s="2275"/>
      <c r="M160" s="2275"/>
      <c r="N160" s="2275"/>
      <c r="O160" s="2275"/>
      <c r="P160" s="2275"/>
      <c r="Q160" s="2275"/>
    </row>
    <row r="161" spans="2:17" s="751" customFormat="1">
      <c r="B161" s="2275"/>
      <c r="C161" s="2275"/>
      <c r="D161" s="2275"/>
      <c r="E161" s="2275"/>
      <c r="F161" s="2275"/>
      <c r="G161" s="2275"/>
      <c r="H161" s="2275"/>
      <c r="I161" s="2275"/>
      <c r="J161" s="2275"/>
      <c r="K161" s="2275"/>
      <c r="L161" s="2275"/>
      <c r="M161" s="2275"/>
      <c r="N161" s="2275"/>
      <c r="O161" s="2275"/>
      <c r="P161" s="2275"/>
      <c r="Q161" s="2275"/>
    </row>
    <row r="162" spans="2:17" s="751" customFormat="1">
      <c r="B162" s="2275"/>
      <c r="C162" s="2275"/>
      <c r="D162" s="2275"/>
      <c r="E162" s="2275"/>
      <c r="F162" s="2275"/>
      <c r="G162" s="2275"/>
      <c r="H162" s="2275"/>
      <c r="I162" s="2275"/>
      <c r="J162" s="2275"/>
      <c r="K162" s="2275"/>
      <c r="L162" s="2275"/>
      <c r="M162" s="2275"/>
      <c r="N162" s="2275"/>
      <c r="O162" s="2275"/>
      <c r="P162" s="2275"/>
      <c r="Q162" s="2275"/>
    </row>
    <row r="163" spans="2:17" s="751" customFormat="1">
      <c r="B163" s="2275"/>
      <c r="C163" s="2275"/>
      <c r="D163" s="2275"/>
      <c r="E163" s="2275"/>
      <c r="F163" s="2275"/>
      <c r="G163" s="2275"/>
      <c r="H163" s="2275"/>
      <c r="I163" s="2275"/>
      <c r="J163" s="2275"/>
      <c r="K163" s="2275"/>
      <c r="L163" s="2275"/>
      <c r="M163" s="2275"/>
      <c r="N163" s="2275"/>
      <c r="O163" s="2275"/>
      <c r="P163" s="2275"/>
      <c r="Q163" s="2275"/>
    </row>
    <row r="164" spans="2:17" s="751" customFormat="1">
      <c r="B164" s="2275"/>
      <c r="C164" s="2275"/>
      <c r="D164" s="2275"/>
      <c r="E164" s="2275"/>
      <c r="F164" s="2275"/>
      <c r="G164" s="2275"/>
      <c r="H164" s="2275"/>
      <c r="I164" s="2275"/>
      <c r="J164" s="2275"/>
      <c r="K164" s="2275"/>
      <c r="L164" s="2275"/>
      <c r="M164" s="2275"/>
      <c r="N164" s="2275"/>
      <c r="O164" s="2275"/>
      <c r="P164" s="2275"/>
      <c r="Q164" s="2275"/>
    </row>
    <row r="165" spans="2:17" s="751" customFormat="1">
      <c r="B165" s="2275"/>
      <c r="C165" s="2275"/>
      <c r="D165" s="2275"/>
      <c r="E165" s="2275"/>
      <c r="F165" s="2275"/>
      <c r="G165" s="2275"/>
      <c r="H165" s="2275"/>
      <c r="I165" s="2275"/>
      <c r="J165" s="2275"/>
      <c r="K165" s="2275"/>
      <c r="L165" s="2275"/>
      <c r="M165" s="2275"/>
      <c r="N165" s="2275"/>
      <c r="O165" s="2275"/>
      <c r="P165" s="2275"/>
      <c r="Q165" s="2275"/>
    </row>
    <row r="166" spans="2:17" s="751" customFormat="1">
      <c r="B166" s="2275"/>
      <c r="C166" s="2275"/>
      <c r="D166" s="2275"/>
      <c r="E166" s="2275"/>
      <c r="F166" s="2275"/>
      <c r="G166" s="2275"/>
      <c r="H166" s="2275"/>
      <c r="I166" s="2275"/>
      <c r="J166" s="2275"/>
      <c r="K166" s="2275"/>
      <c r="L166" s="2275"/>
      <c r="M166" s="2275"/>
      <c r="N166" s="2275"/>
      <c r="O166" s="2275"/>
      <c r="P166" s="2275"/>
      <c r="Q166" s="2275"/>
    </row>
    <row r="167" spans="2:17" s="751" customFormat="1">
      <c r="B167" s="2275"/>
      <c r="C167" s="2275"/>
      <c r="D167" s="2275"/>
      <c r="E167" s="2275"/>
      <c r="F167" s="2275"/>
      <c r="G167" s="2275"/>
      <c r="H167" s="2275"/>
      <c r="I167" s="2275"/>
      <c r="J167" s="2275"/>
      <c r="K167" s="2275"/>
      <c r="L167" s="2275"/>
      <c r="M167" s="2275"/>
      <c r="N167" s="2275"/>
      <c r="O167" s="2275"/>
      <c r="P167" s="2275"/>
      <c r="Q167" s="2275"/>
    </row>
    <row r="168" spans="2:17" s="751" customFormat="1">
      <c r="B168" s="2275"/>
      <c r="C168" s="2275"/>
      <c r="D168" s="2275"/>
      <c r="E168" s="2275"/>
      <c r="F168" s="2275"/>
      <c r="G168" s="2275"/>
      <c r="H168" s="2275"/>
      <c r="I168" s="2275"/>
      <c r="J168" s="2275"/>
      <c r="K168" s="2275"/>
      <c r="L168" s="2275"/>
      <c r="M168" s="2275"/>
      <c r="N168" s="2275"/>
      <c r="O168" s="2275"/>
      <c r="P168" s="2275"/>
      <c r="Q168" s="2275"/>
    </row>
    <row r="169" spans="2:17" s="751" customFormat="1">
      <c r="B169" s="2275"/>
      <c r="C169" s="2275"/>
      <c r="D169" s="2275"/>
      <c r="E169" s="2275"/>
      <c r="F169" s="2275"/>
      <c r="G169" s="2275"/>
      <c r="H169" s="2275"/>
      <c r="I169" s="2275"/>
      <c r="J169" s="2275"/>
      <c r="K169" s="2275"/>
      <c r="L169" s="2275"/>
      <c r="M169" s="2275"/>
      <c r="N169" s="2275"/>
      <c r="O169" s="2275"/>
      <c r="P169" s="2275"/>
      <c r="Q169" s="2275"/>
    </row>
    <row r="170" spans="2:17" s="751" customFormat="1">
      <c r="B170" s="2275"/>
      <c r="C170" s="2275"/>
      <c r="D170" s="2275"/>
      <c r="E170" s="2275"/>
      <c r="F170" s="2275"/>
      <c r="G170" s="2275"/>
      <c r="H170" s="2275"/>
      <c r="I170" s="2275"/>
      <c r="J170" s="2275"/>
      <c r="K170" s="2275"/>
      <c r="L170" s="2275"/>
      <c r="M170" s="2275"/>
      <c r="N170" s="2275"/>
      <c r="O170" s="2275"/>
      <c r="P170" s="2275"/>
      <c r="Q170" s="2275"/>
    </row>
    <row r="171" spans="2:17" s="751" customFormat="1">
      <c r="B171" s="2275"/>
      <c r="C171" s="2275"/>
      <c r="D171" s="2275"/>
      <c r="E171" s="2275"/>
      <c r="F171" s="2275"/>
      <c r="G171" s="2275"/>
      <c r="H171" s="2275"/>
      <c r="I171" s="2275"/>
      <c r="J171" s="2275"/>
      <c r="K171" s="2275"/>
      <c r="L171" s="2275"/>
      <c r="M171" s="2275"/>
      <c r="N171" s="2275"/>
      <c r="O171" s="2275"/>
      <c r="P171" s="2275"/>
      <c r="Q171" s="2275"/>
    </row>
    <row r="172" spans="2:17" s="751" customFormat="1">
      <c r="B172" s="2275"/>
      <c r="C172" s="2275"/>
      <c r="D172" s="2275"/>
      <c r="E172" s="2275"/>
      <c r="F172" s="2275"/>
      <c r="G172" s="2275"/>
      <c r="H172" s="2275"/>
      <c r="I172" s="2275"/>
      <c r="J172" s="2275"/>
      <c r="K172" s="2275"/>
      <c r="L172" s="2275"/>
      <c r="M172" s="2275"/>
      <c r="N172" s="2275"/>
      <c r="O172" s="2275"/>
      <c r="P172" s="2275"/>
      <c r="Q172" s="2275"/>
    </row>
    <row r="173" spans="2:17" s="751" customFormat="1">
      <c r="B173" s="2275"/>
      <c r="C173" s="2275"/>
      <c r="D173" s="2275"/>
      <c r="E173" s="2275"/>
      <c r="F173" s="2275"/>
      <c r="G173" s="2275"/>
      <c r="H173" s="2275"/>
      <c r="I173" s="2275"/>
      <c r="J173" s="2275"/>
      <c r="K173" s="2275"/>
      <c r="L173" s="2275"/>
      <c r="M173" s="2275"/>
      <c r="N173" s="2275"/>
      <c r="O173" s="2275"/>
      <c r="P173" s="2275"/>
      <c r="Q173" s="2275"/>
    </row>
    <row r="174" spans="2:17" s="751" customFormat="1">
      <c r="B174" s="2275"/>
      <c r="C174" s="2275"/>
      <c r="D174" s="2275"/>
      <c r="E174" s="2275"/>
      <c r="F174" s="2275"/>
      <c r="G174" s="2275"/>
      <c r="H174" s="2275"/>
      <c r="I174" s="2275"/>
      <c r="J174" s="2275"/>
      <c r="K174" s="2275"/>
      <c r="L174" s="2275"/>
      <c r="M174" s="2275"/>
      <c r="N174" s="2275"/>
      <c r="O174" s="2275"/>
      <c r="P174" s="2275"/>
      <c r="Q174" s="2275"/>
    </row>
    <row r="175" spans="2:17" s="751" customFormat="1">
      <c r="B175" s="2275"/>
      <c r="C175" s="2275"/>
      <c r="D175" s="2275"/>
      <c r="E175" s="2275"/>
      <c r="F175" s="2275"/>
      <c r="G175" s="2275"/>
      <c r="H175" s="2275"/>
      <c r="I175" s="2275"/>
      <c r="J175" s="2275"/>
      <c r="K175" s="2275"/>
      <c r="L175" s="2275"/>
      <c r="M175" s="2275"/>
      <c r="N175" s="2275"/>
      <c r="O175" s="2275"/>
      <c r="P175" s="2275"/>
      <c r="Q175" s="2275"/>
    </row>
    <row r="176" spans="2:17" s="751" customFormat="1">
      <c r="B176" s="2275"/>
      <c r="C176" s="2275"/>
      <c r="D176" s="2275"/>
      <c r="E176" s="2275"/>
      <c r="F176" s="2275"/>
      <c r="G176" s="2275"/>
      <c r="H176" s="2275"/>
      <c r="I176" s="2275"/>
      <c r="J176" s="2275"/>
      <c r="K176" s="2275"/>
      <c r="L176" s="2275"/>
      <c r="M176" s="2275"/>
      <c r="N176" s="2275"/>
      <c r="O176" s="2275"/>
      <c r="P176" s="2275"/>
      <c r="Q176" s="2275"/>
    </row>
    <row r="177" spans="1:17" s="751" customFormat="1">
      <c r="B177" s="2275"/>
      <c r="C177" s="2275"/>
      <c r="D177" s="2275"/>
      <c r="E177" s="2275"/>
      <c r="F177" s="2275"/>
      <c r="G177" s="2275"/>
      <c r="H177" s="2275"/>
      <c r="I177" s="2275"/>
      <c r="J177" s="2275"/>
      <c r="K177" s="2275"/>
      <c r="L177" s="2275"/>
      <c r="M177" s="2275"/>
      <c r="N177" s="2275"/>
      <c r="O177" s="2275"/>
      <c r="P177" s="2275"/>
      <c r="Q177" s="2275"/>
    </row>
    <row r="178" spans="1:17" s="751" customFormat="1">
      <c r="B178" s="2275"/>
      <c r="C178" s="2275"/>
      <c r="D178" s="2275"/>
      <c r="E178" s="2275"/>
      <c r="F178" s="2275"/>
      <c r="G178" s="2275"/>
      <c r="H178" s="2275"/>
      <c r="I178" s="2275"/>
      <c r="J178" s="2275"/>
      <c r="K178" s="2275"/>
      <c r="L178" s="2275"/>
      <c r="M178" s="2275"/>
      <c r="N178" s="2275"/>
      <c r="O178" s="2275"/>
      <c r="P178" s="2275"/>
      <c r="Q178" s="2275"/>
    </row>
    <row r="179" spans="1:17" s="751" customFormat="1">
      <c r="B179" s="2275"/>
      <c r="C179" s="2275"/>
      <c r="D179" s="2275"/>
      <c r="E179" s="2275"/>
      <c r="F179" s="2275"/>
      <c r="G179" s="2275"/>
      <c r="H179" s="2275"/>
      <c r="I179" s="2275"/>
      <c r="J179" s="2275"/>
      <c r="K179" s="2275"/>
      <c r="L179" s="2275"/>
      <c r="M179" s="2275"/>
      <c r="N179" s="2275"/>
      <c r="O179" s="2275"/>
      <c r="P179" s="2275"/>
      <c r="Q179" s="2275"/>
    </row>
    <row r="180" spans="1:17" s="751" customFormat="1">
      <c r="B180" s="2275"/>
      <c r="C180" s="2275"/>
      <c r="D180" s="2275"/>
      <c r="E180" s="2275"/>
      <c r="F180" s="2275"/>
      <c r="G180" s="2275"/>
      <c r="H180" s="2275"/>
      <c r="I180" s="2275"/>
      <c r="J180" s="2275"/>
      <c r="K180" s="2275"/>
      <c r="L180" s="2275"/>
      <c r="M180" s="2275"/>
      <c r="N180" s="2275"/>
      <c r="O180" s="2275"/>
      <c r="P180" s="2275"/>
      <c r="Q180" s="2275"/>
    </row>
    <row r="181" spans="1:17" s="751" customFormat="1">
      <c r="B181" s="2275"/>
      <c r="C181" s="2275"/>
      <c r="D181" s="2275"/>
      <c r="E181" s="2275"/>
      <c r="F181" s="2275"/>
      <c r="G181" s="2275"/>
      <c r="H181" s="2275"/>
      <c r="I181" s="2275"/>
      <c r="J181" s="2275"/>
      <c r="K181" s="2275"/>
      <c r="L181" s="2275"/>
      <c r="M181" s="2275"/>
      <c r="N181" s="2275"/>
      <c r="O181" s="2275"/>
      <c r="P181" s="2275"/>
      <c r="Q181" s="2275"/>
    </row>
    <row r="182" spans="1:17" s="751" customFormat="1">
      <c r="B182" s="2275"/>
      <c r="C182" s="2275"/>
      <c r="D182" s="2275"/>
      <c r="E182" s="2275"/>
      <c r="F182" s="2275"/>
      <c r="G182" s="2275"/>
      <c r="H182" s="2275"/>
      <c r="I182" s="2275"/>
      <c r="J182" s="2275"/>
      <c r="K182" s="2275"/>
      <c r="L182" s="2275"/>
      <c r="M182" s="2275"/>
      <c r="N182" s="2275"/>
      <c r="O182" s="2275"/>
      <c r="P182" s="2275"/>
      <c r="Q182" s="2275"/>
    </row>
    <row r="183" spans="1:17" s="751" customFormat="1">
      <c r="B183" s="2275"/>
      <c r="C183" s="2275"/>
      <c r="D183" s="2275"/>
      <c r="E183" s="2275"/>
      <c r="F183" s="2275"/>
      <c r="G183" s="2275"/>
      <c r="H183" s="2275"/>
      <c r="I183" s="2275"/>
      <c r="J183" s="2275"/>
      <c r="K183" s="2275"/>
      <c r="L183" s="2275"/>
      <c r="M183" s="2275"/>
      <c r="N183" s="2275"/>
      <c r="O183" s="2275"/>
      <c r="P183" s="2275"/>
      <c r="Q183" s="2275"/>
    </row>
    <row r="184" spans="1:17" s="751" customFormat="1">
      <c r="B184" s="2275"/>
      <c r="C184" s="2275"/>
      <c r="D184" s="2275"/>
      <c r="E184" s="2275"/>
      <c r="F184" s="2275"/>
      <c r="G184" s="2275"/>
      <c r="H184" s="2275"/>
      <c r="I184" s="2275"/>
      <c r="J184" s="2275"/>
      <c r="K184" s="2275"/>
      <c r="L184" s="2275"/>
      <c r="M184" s="2275"/>
      <c r="N184" s="2275"/>
      <c r="O184" s="2275"/>
      <c r="P184" s="2275"/>
      <c r="Q184" s="2275"/>
    </row>
    <row r="185" spans="1:17" s="751" customFormat="1">
      <c r="B185" s="2275"/>
      <c r="C185" s="2275"/>
      <c r="D185" s="2275"/>
      <c r="E185" s="2275"/>
      <c r="F185" s="2275"/>
      <c r="G185" s="2275"/>
      <c r="H185" s="2275"/>
      <c r="I185" s="2275"/>
      <c r="J185" s="2275"/>
      <c r="K185" s="2275"/>
      <c r="L185" s="2275"/>
      <c r="M185" s="2275"/>
      <c r="N185" s="2275"/>
      <c r="O185" s="2275"/>
      <c r="P185" s="2275"/>
      <c r="Q185" s="2275"/>
    </row>
    <row r="186" spans="1:17">
      <c r="A186" s="751"/>
      <c r="B186" s="2275"/>
      <c r="C186" s="2275"/>
      <c r="E186" s="2275"/>
      <c r="F186" s="2275"/>
      <c r="G186" s="2275"/>
    </row>
    <row r="187" spans="1:17">
      <c r="A187" s="751"/>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44.28</v>
      </c>
      <c r="C1" s="2460"/>
      <c r="D1" s="2460"/>
      <c r="E1" s="2460"/>
      <c r="F1" s="2460"/>
      <c r="G1" s="2461"/>
      <c r="H1" s="2461"/>
      <c r="I1" s="2461"/>
      <c r="J1" s="2461"/>
      <c r="K1" s="2461"/>
    </row>
    <row r="2" spans="1:11" ht="16.5">
      <c r="A2" s="2298" t="s">
        <v>653</v>
      </c>
      <c r="B2" s="2298">
        <f>SUM(C14:C23)</f>
        <v>0</v>
      </c>
      <c r="C2" s="2460"/>
      <c r="D2" s="2460"/>
      <c r="E2" s="2460"/>
      <c r="F2" s="2460"/>
      <c r="G2" s="2461"/>
      <c r="H2" s="2461"/>
      <c r="I2" s="2461"/>
      <c r="J2" s="2461"/>
      <c r="K2" s="2461"/>
    </row>
    <row r="3" spans="1:11" ht="16.5">
      <c r="A3" s="2298" t="s">
        <v>662</v>
      </c>
      <c r="B3" s="2300">
        <f>项目基本情况!D3</f>
        <v>45301</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 ca="1">SUM(D14:D23)</f>
        <v>430.12259999999998</v>
      </c>
      <c r="C5" s="2298" t="e">
        <f ca="1">IF(B5=D14,结果表!H102,ROUND(B5*10000/$B$1,0))</f>
        <v>#DIV/0!</v>
      </c>
      <c r="D5" s="2298" t="e">
        <f ca="1">ROUND(B5*10000/$B$2,0)</f>
        <v>#DIV/0!</v>
      </c>
      <c r="E5" s="2460"/>
      <c r="F5" s="2461"/>
      <c r="G5" s="2461"/>
      <c r="H5" s="2461"/>
      <c r="I5" s="2461"/>
      <c r="J5" s="2461"/>
      <c r="K5" s="2461"/>
    </row>
    <row r="6" spans="1:11" ht="16.5">
      <c r="A6" s="2298" t="s">
        <v>656</v>
      </c>
      <c r="B6" s="2298">
        <f>SUM(G14:G23)</f>
        <v>0</v>
      </c>
      <c r="C6" s="2298">
        <f ca="1">IF(B6=G14,结果表!H108,ROUND(B6*10000/$B$1,0))</f>
        <v>0</v>
      </c>
      <c r="D6" s="2298" t="e">
        <f>ROUND(B6*10000/$B$2,0)</f>
        <v>#DIV/0!</v>
      </c>
      <c r="E6" s="2460"/>
      <c r="F6" s="2461"/>
      <c r="G6" s="2461"/>
      <c r="H6" s="2461"/>
      <c r="I6" s="2461"/>
      <c r="J6" s="2461"/>
      <c r="K6" s="2461"/>
    </row>
    <row r="7" spans="1:11" ht="16.5">
      <c r="A7" s="2298" t="s">
        <v>664</v>
      </c>
      <c r="B7" s="2298">
        <f>SUM(H14:H23)</f>
        <v>0</v>
      </c>
      <c r="C7" s="2298" t="str">
        <f>IF(B7=H14,结果表!H110,ROUND(B7*10000/$B$1,0))</f>
        <v>——</v>
      </c>
      <c r="D7" s="2298" t="e">
        <f>ROUND(B7*10000/$B$2,0)</f>
        <v>#DIV/0!</v>
      </c>
      <c r="E7" s="2460"/>
      <c r="F7" s="2461"/>
      <c r="G7" s="2461"/>
      <c r="H7" s="2461"/>
      <c r="I7" s="2461"/>
      <c r="J7" s="2461"/>
      <c r="K7" s="2461"/>
    </row>
    <row r="8" spans="1:11" ht="16.5">
      <c r="A8" s="2298" t="s">
        <v>587</v>
      </c>
      <c r="B8" s="2298">
        <f>SUM(I14:I23)</f>
        <v>0</v>
      </c>
      <c r="C8" s="2298" t="str">
        <f>IF(B8=I14,结果表!H112,ROUND(B8*10000/$B$1,0))</f>
        <v>——</v>
      </c>
      <c r="D8" s="2298" t="e">
        <f>ROUND(B8*10000/$B$2,0)</f>
        <v>#DIV/0!</v>
      </c>
      <c r="E8" s="2460"/>
      <c r="F8" s="2461"/>
      <c r="G8" s="2461"/>
      <c r="H8" s="2461"/>
      <c r="I8" s="2461"/>
      <c r="J8" s="2461"/>
      <c r="K8" s="2461"/>
    </row>
    <row r="9" spans="1:11" ht="16.5">
      <c r="A9" s="2298" t="s">
        <v>655</v>
      </c>
      <c r="B9" s="1243"/>
      <c r="C9" s="2460"/>
      <c r="D9" s="2460"/>
      <c r="E9" s="2460"/>
      <c r="F9" s="2461"/>
      <c r="G9" s="2461"/>
      <c r="H9" s="2461"/>
      <c r="I9" s="2461"/>
      <c r="J9" s="2461"/>
      <c r="K9" s="2461"/>
    </row>
    <row r="10" spans="1:11" ht="16.5">
      <c r="A10" s="2298" t="s">
        <v>654</v>
      </c>
      <c r="B10" s="2298">
        <f>IF(E10="",0,ROUND(B1*(E10*365/G10)/10000,0))</f>
        <v>0</v>
      </c>
      <c r="C10" s="2298" t="s">
        <v>3359</v>
      </c>
      <c r="D10" s="2298" t="s">
        <v>3360</v>
      </c>
      <c r="E10" s="3135"/>
      <c r="F10" s="3139" t="s">
        <v>3361</v>
      </c>
      <c r="G10" s="3136"/>
      <c r="H10" s="2461"/>
      <c r="I10" s="2461"/>
      <c r="J10" s="2461"/>
      <c r="K10" s="2461"/>
    </row>
    <row r="11" spans="1:11" ht="16.5">
      <c r="A11" s="2298" t="s">
        <v>670</v>
      </c>
      <c r="B11" s="1243"/>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f>'数据-汇总表'!F19</f>
        <v>44.28</v>
      </c>
      <c r="C14" s="2304"/>
      <c r="D14" s="2304">
        <f ca="1">ROUND(B14*E14/10000,4)</f>
        <v>430.12259999999998</v>
      </c>
      <c r="E14" s="2304">
        <f ca="1">结果表!G20</f>
        <v>97137</v>
      </c>
      <c r="F14" s="2304" t="e">
        <f ca="1">ROUND(D14*10000/C14,0)</f>
        <v>#DIV/0!</v>
      </c>
      <c r="G14" s="2304"/>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3"/>
      <c r="H15" s="1243"/>
      <c r="I15" s="2305"/>
      <c r="J15" s="2461"/>
      <c r="K15" s="2461"/>
    </row>
    <row r="16" spans="1:11" ht="16.5">
      <c r="A16" s="2303" t="s">
        <v>648</v>
      </c>
      <c r="B16" s="2305"/>
      <c r="C16" s="2305"/>
      <c r="D16" s="2305"/>
      <c r="E16" s="2304" t="e">
        <f t="shared" si="0"/>
        <v>#DIV/0!</v>
      </c>
      <c r="F16" s="2304" t="e">
        <f t="shared" si="1"/>
        <v>#DIV/0!</v>
      </c>
      <c r="G16" s="1243"/>
      <c r="H16" s="1243"/>
      <c r="I16" s="2305"/>
      <c r="J16" s="2461"/>
      <c r="K16" s="2461"/>
    </row>
    <row r="17" spans="1:11" ht="16.5">
      <c r="A17" s="2303" t="s">
        <v>647</v>
      </c>
      <c r="B17" s="2305"/>
      <c r="C17" s="2305"/>
      <c r="D17" s="2305"/>
      <c r="E17" s="2304" t="e">
        <f t="shared" si="0"/>
        <v>#DIV/0!</v>
      </c>
      <c r="F17" s="2304" t="e">
        <f t="shared" si="1"/>
        <v>#DIV/0!</v>
      </c>
      <c r="G17" s="1243"/>
      <c r="H17" s="1243"/>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3" t="e">
        <f t="shared" si="0"/>
        <v>#DIV/0!</v>
      </c>
      <c r="F23" s="1243"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A7" zoomScale="90" zoomScaleNormal="100" zoomScaleSheetLayoutView="90" zoomScalePageLayoutView="80" workbookViewId="0">
      <selection activeCell="G28" sqref="G28"/>
    </sheetView>
  </sheetViews>
  <sheetFormatPr defaultColWidth="12.625" defaultRowHeight="21.75" customHeight="1"/>
  <cols>
    <col min="1" max="2" width="12.625" style="1560"/>
    <col min="3" max="4" width="12.625" style="1560" customWidth="1"/>
    <col min="5" max="9" width="12.625" style="1560"/>
    <col min="10" max="11" width="12.625" style="684" customWidth="1"/>
    <col min="12" max="12" width="12.625" style="684"/>
    <col min="13" max="13" width="14.125" style="684" bestFit="1" customWidth="1"/>
    <col min="14" max="26" width="12.625" style="684"/>
    <col min="27" max="35" width="12.625" style="1622"/>
    <col min="36" max="16384" width="12.625" style="1560"/>
  </cols>
  <sheetData>
    <row r="1" spans="1:12" ht="21.75" customHeight="1" thickBot="1">
      <c r="A1" s="1520" t="s">
        <v>1262</v>
      </c>
      <c r="B1" s="646"/>
      <c r="C1" s="1619"/>
      <c r="D1" s="646"/>
      <c r="E1" s="646"/>
      <c r="F1" s="1620" t="s">
        <v>1263</v>
      </c>
      <c r="G1" s="1452"/>
      <c r="H1" s="1620" t="str">
        <f>IF(G1="现房","——","估价对象范围")</f>
        <v>估价对象范围</v>
      </c>
      <c r="I1" s="1621"/>
    </row>
    <row r="2" spans="1:12" ht="21.75" customHeight="1" thickBot="1">
      <c r="A2" s="3289" t="str">
        <f>项目基本情况!S2</f>
        <v>北京市房地产</v>
      </c>
      <c r="B2" s="3290"/>
      <c r="C2" s="3290"/>
      <c r="D2" s="3290"/>
      <c r="E2" s="3290"/>
      <c r="F2" s="3290"/>
      <c r="G2" s="3290"/>
      <c r="H2" s="3290"/>
      <c r="I2" s="3291"/>
    </row>
    <row r="3" spans="1:12" ht="12.75">
      <c r="A3" s="3293" t="s">
        <v>1264</v>
      </c>
      <c r="B3" s="3294"/>
      <c r="C3" s="3294"/>
      <c r="D3" s="3294"/>
      <c r="E3" s="3294"/>
      <c r="F3" s="3294"/>
      <c r="G3" s="3294"/>
      <c r="H3" s="3294"/>
      <c r="I3" s="3294"/>
    </row>
    <row r="4" spans="1:12" ht="14.25">
      <c r="A4" s="1623" t="s">
        <v>1265</v>
      </c>
      <c r="B4" s="1624" t="s">
        <v>1266</v>
      </c>
      <c r="C4" s="1625" t="s">
        <v>3434</v>
      </c>
      <c r="D4" s="1625" t="s">
        <v>3445</v>
      </c>
      <c r="E4" s="3295" t="s">
        <v>1267</v>
      </c>
      <c r="F4" s="3296"/>
      <c r="G4" s="3296"/>
      <c r="H4" s="3296"/>
      <c r="I4" s="3297"/>
      <c r="K4" s="138" t="str">
        <f>IF(ISNUMBER(FIND("比较法",结果表!C4)),"比较法",IF(ISNUMBER(FIND("成本法",结果表!C4)),"成本法",IF(ISNUMBER(FIND("假设开发法",结果表!C4)),"假设开发法",IF(ISNUMBER(FIND("收益法",结果表!C4)),"收益法","基准地价系数修正法"))))</f>
        <v>收益法</v>
      </c>
      <c r="L4" s="138" t="str">
        <f>IF(ISNUMBER(FIND("比较法",结果表!D4)),"比较法",IF(ISNUMBER(FIND("成本法",结果表!D4)),"成本法",IF(ISNUMBER(FIND("假设开发法",结果表!D4)),"假设开发法",IF(ISNUMBER(FIND("收益法",结果表!D4)),"收益法","基准地价系数修正法"))))</f>
        <v>比较法</v>
      </c>
    </row>
    <row r="5" spans="1:12" ht="12.75">
      <c r="A5" s="3269" t="s">
        <v>1268</v>
      </c>
      <c r="B5" s="3256">
        <v>25</v>
      </c>
      <c r="C5" s="3272"/>
      <c r="D5" s="3292"/>
      <c r="E5" s="123" t="s">
        <v>1269</v>
      </c>
      <c r="F5" s="1626"/>
      <c r="G5" s="1626"/>
      <c r="H5" s="1626"/>
      <c r="I5" s="1280"/>
    </row>
    <row r="6" spans="1:12" ht="12.75">
      <c r="A6" s="3269"/>
      <c r="B6" s="3256"/>
      <c r="C6" s="3273"/>
      <c r="D6" s="3292"/>
      <c r="E6" s="123" t="s">
        <v>1270</v>
      </c>
      <c r="F6" s="1626"/>
      <c r="G6" s="1626"/>
      <c r="H6" s="1626"/>
      <c r="I6" s="1280"/>
    </row>
    <row r="7" spans="1:12" ht="12.75">
      <c r="A7" s="3269"/>
      <c r="B7" s="3256"/>
      <c r="C7" s="3274"/>
      <c r="D7" s="3292"/>
      <c r="E7" s="123" t="s">
        <v>1271</v>
      </c>
      <c r="F7" s="1626"/>
      <c r="G7" s="1626"/>
      <c r="H7" s="1626"/>
      <c r="I7" s="1280"/>
    </row>
    <row r="8" spans="1:12" ht="12.75">
      <c r="A8" s="3269" t="s">
        <v>1272</v>
      </c>
      <c r="B8" s="3256">
        <v>15</v>
      </c>
      <c r="C8" s="3272"/>
      <c r="D8" s="3292"/>
      <c r="E8" s="123" t="s">
        <v>1273</v>
      </c>
      <c r="F8" s="1626"/>
      <c r="G8" s="1626"/>
      <c r="H8" s="1626"/>
      <c r="I8" s="1280"/>
    </row>
    <row r="9" spans="1:12" ht="12.75">
      <c r="A9" s="3269"/>
      <c r="B9" s="3256"/>
      <c r="C9" s="3274"/>
      <c r="D9" s="3292"/>
      <c r="E9" s="123" t="s">
        <v>1274</v>
      </c>
      <c r="F9" s="1626"/>
      <c r="G9" s="1626"/>
      <c r="H9" s="1626"/>
      <c r="I9" s="1280"/>
    </row>
    <row r="10" spans="1:12" ht="12.75">
      <c r="A10" s="3269" t="s">
        <v>1275</v>
      </c>
      <c r="B10" s="3256">
        <v>15</v>
      </c>
      <c r="C10" s="3272"/>
      <c r="D10" s="3292"/>
      <c r="E10" s="123" t="s">
        <v>1276</v>
      </c>
      <c r="F10" s="1626"/>
      <c r="G10" s="1626"/>
      <c r="H10" s="1626"/>
      <c r="I10" s="1280"/>
    </row>
    <row r="11" spans="1:12" ht="12.75">
      <c r="A11" s="3269"/>
      <c r="B11" s="3256"/>
      <c r="C11" s="3274"/>
      <c r="D11" s="3292"/>
      <c r="E11" s="123" t="s">
        <v>1277</v>
      </c>
      <c r="F11" s="1626"/>
      <c r="G11" s="1626"/>
      <c r="H11" s="1626"/>
      <c r="I11" s="1280"/>
    </row>
    <row r="12" spans="1:12" ht="12.75">
      <c r="A12" s="3269" t="s">
        <v>1278</v>
      </c>
      <c r="B12" s="3256">
        <v>15</v>
      </c>
      <c r="C12" s="3272"/>
      <c r="D12" s="3292"/>
      <c r="E12" s="123" t="s">
        <v>1279</v>
      </c>
      <c r="F12" s="1626"/>
      <c r="G12" s="1626"/>
      <c r="H12" s="1626"/>
      <c r="I12" s="1280"/>
    </row>
    <row r="13" spans="1:12" ht="12.75">
      <c r="A13" s="3269"/>
      <c r="B13" s="3256"/>
      <c r="C13" s="3274"/>
      <c r="D13" s="3292"/>
      <c r="E13" s="123" t="s">
        <v>1280</v>
      </c>
      <c r="F13" s="1626"/>
      <c r="G13" s="1626"/>
      <c r="H13" s="1626"/>
      <c r="I13" s="1280"/>
    </row>
    <row r="14" spans="1:12" ht="12.75">
      <c r="A14" s="3269" t="s">
        <v>1281</v>
      </c>
      <c r="B14" s="3256">
        <v>30</v>
      </c>
      <c r="C14" s="3272">
        <v>2</v>
      </c>
      <c r="D14" s="3292">
        <f>10-C14</f>
        <v>8</v>
      </c>
      <c r="E14" s="123" t="s">
        <v>1282</v>
      </c>
      <c r="F14" s="1626"/>
      <c r="G14" s="1626"/>
      <c r="H14" s="1626"/>
      <c r="I14" s="1280"/>
    </row>
    <row r="15" spans="1:12" ht="12.75">
      <c r="A15" s="3269"/>
      <c r="B15" s="3256"/>
      <c r="C15" s="3273"/>
      <c r="D15" s="3292"/>
      <c r="E15" s="123" t="s">
        <v>1283</v>
      </c>
      <c r="F15" s="1626"/>
      <c r="G15" s="1626"/>
      <c r="H15" s="1626"/>
      <c r="I15" s="1280"/>
    </row>
    <row r="16" spans="1:12" ht="12.75">
      <c r="A16" s="3269"/>
      <c r="B16" s="3256"/>
      <c r="C16" s="3274"/>
      <c r="D16" s="3292"/>
      <c r="E16" s="123" t="s">
        <v>1284</v>
      </c>
      <c r="F16" s="1626"/>
      <c r="G16" s="1626"/>
      <c r="H16" s="1626"/>
      <c r="I16" s="1280"/>
    </row>
    <row r="17" spans="1:36" ht="15">
      <c r="A17" s="1627" t="s">
        <v>1285</v>
      </c>
      <c r="B17" s="54"/>
      <c r="C17" s="124">
        <f>SUM(C5:C16)</f>
        <v>2</v>
      </c>
      <c r="D17" s="124">
        <f>SUM(D5:D16)</f>
        <v>8</v>
      </c>
      <c r="E17" s="121"/>
      <c r="F17" s="121"/>
      <c r="G17" s="121"/>
      <c r="H17" s="121"/>
      <c r="I17" s="121"/>
      <c r="K17" s="294"/>
      <c r="L17" s="294" t="s">
        <v>1286</v>
      </c>
      <c r="M17" s="294" t="s">
        <v>1287</v>
      </c>
    </row>
    <row r="18" spans="1:36" ht="31.9" customHeight="1" thickBot="1">
      <c r="A18" s="1628" t="s">
        <v>1288</v>
      </c>
      <c r="B18" s="1541"/>
      <c r="C18" s="125">
        <f>ROUND(C17/SUM(C17:D17),2)</f>
        <v>0.2</v>
      </c>
      <c r="D18" s="125">
        <f>1-C18</f>
        <v>0.8</v>
      </c>
      <c r="E18" s="3279" t="s">
        <v>2131</v>
      </c>
      <c r="F18" s="3280"/>
      <c r="G18" s="3280"/>
      <c r="H18" s="3280"/>
      <c r="I18" s="3280"/>
      <c r="K18" s="294" t="s">
        <v>1289</v>
      </c>
      <c r="L18" s="294">
        <f>IF(C1="",'数据-汇总表'!E3,SUMIF(项目类型,C1,'数据-汇总表'!E17:E26)+SUMIF(项目类型,C1,'数据-汇总表'!I17:I26))</f>
        <v>44.28</v>
      </c>
      <c r="M18" s="294">
        <f>IF(C1="",'数据-汇总表'!E3,SUMIF(项目类型,C1,'数据-汇总表'!E17:E26))</f>
        <v>44.28</v>
      </c>
    </row>
    <row r="19" spans="1:36" ht="15">
      <c r="A19" s="1629" t="s">
        <v>1290</v>
      </c>
      <c r="B19" s="1630" t="s">
        <v>1291</v>
      </c>
      <c r="C19" s="126">
        <f ca="1">SUMIF(INDIRECT("'"&amp;C4&amp;"'"&amp;"!A:A"),结果表!B19,INDIRECT("'"&amp;C4&amp;"'"&amp;"!B:B"))</f>
        <v>224.42509999999999</v>
      </c>
      <c r="D19" s="127">
        <f ca="1">SUMIF(INDIRECT("'"&amp;D4&amp;"'"&amp;"!A:A"),结果表!B19,INDIRECT("'"&amp;D4&amp;"'"&amp;"!B:B"))</f>
        <v>481.54939999999999</v>
      </c>
      <c r="E19" s="1629" t="s">
        <v>1292</v>
      </c>
      <c r="F19" s="1630" t="s">
        <v>1291</v>
      </c>
      <c r="G19" s="128">
        <f ca="1">ROUND(C19*$C$18+D19*$D$18,0)</f>
        <v>430</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2"/>
      <c r="B20" s="43" t="s">
        <v>1295</v>
      </c>
      <c r="C20" s="129">
        <f ca="1">SUMIF(INDIRECT("'"&amp;C4&amp;"'"&amp;"!A:A"),结果表!B20,INDIRECT("'"&amp;C4&amp;"'"&amp;"!B:B"))</f>
        <v>50683</v>
      </c>
      <c r="D20" s="130">
        <f ca="1">SUMIF(INDIRECT("'"&amp;D4&amp;"'"&amp;"!A:A"),结果表!B20,INDIRECT("'"&amp;D4&amp;"'"&amp;"!B:B"))</f>
        <v>108751</v>
      </c>
      <c r="E20" s="1632"/>
      <c r="F20" s="43" t="s">
        <v>1295</v>
      </c>
      <c r="G20" s="131">
        <f ca="1">ROUND(C20*$C$18+D20*$D$18,0)</f>
        <v>97137</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3" t="s">
        <v>1296</v>
      </c>
      <c r="I21" s="121"/>
    </row>
    <row r="22" spans="1:36" ht="15" thickBot="1">
      <c r="A22" s="1563" t="s">
        <v>1298</v>
      </c>
      <c r="B22" s="1634"/>
      <c r="C22" s="1635"/>
      <c r="D22" s="680">
        <f ca="1">IF(C19&lt;D19,D19/C19-1,C19/D19-1)</f>
        <v>1.1457020627371897</v>
      </c>
      <c r="E22" s="121"/>
      <c r="F22" s="121"/>
      <c r="G22" s="121"/>
      <c r="H22" s="121"/>
      <c r="I22" s="121"/>
    </row>
    <row r="23" spans="1:36" ht="13.5" thickBot="1">
      <c r="A23" s="646"/>
      <c r="B23" s="646"/>
      <c r="C23" s="646"/>
      <c r="D23" s="646"/>
      <c r="E23" s="121"/>
      <c r="F23" s="121"/>
      <c r="G23" s="121"/>
      <c r="H23" s="121"/>
      <c r="I23" s="121"/>
    </row>
    <row r="24" spans="1:36" ht="14.25">
      <c r="A24" s="3263" t="s">
        <v>1299</v>
      </c>
      <c r="B24" s="1630" t="s">
        <v>1291</v>
      </c>
      <c r="C24" s="128">
        <f>IF(B30=0,0,D30)</f>
        <v>0</v>
      </c>
      <c r="D24" s="1636"/>
      <c r="E24" s="121"/>
      <c r="F24" s="121"/>
      <c r="G24" s="121"/>
      <c r="H24" s="121"/>
      <c r="I24" s="121"/>
    </row>
    <row r="25" spans="1:36" ht="14.25">
      <c r="A25" s="3264"/>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5" t="s">
        <v>2132</v>
      </c>
      <c r="F30" s="121"/>
      <c r="G30" s="121"/>
      <c r="H30" s="121"/>
      <c r="I30" s="121"/>
    </row>
    <row r="31" spans="1:36" s="2131" customFormat="1" ht="26.45" customHeight="1" thickTop="1" thickBot="1">
      <c r="A31" s="2126"/>
      <c r="B31" s="2127"/>
      <c r="C31" s="2127"/>
      <c r="D31" s="2127"/>
      <c r="E31" s="2127"/>
      <c r="F31" s="2127"/>
      <c r="G31" s="2127"/>
      <c r="H31" s="2127"/>
      <c r="I31" s="2128" t="s">
        <v>2133</v>
      </c>
      <c r="J31" s="2462"/>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9" t="s">
        <v>1305</v>
      </c>
      <c r="B32" s="1534"/>
      <c r="C32" s="136">
        <f ca="1">IF(D32="总价",G19-C24,G20-C25)</f>
        <v>97137</v>
      </c>
      <c r="D32" s="1640"/>
      <c r="E32" s="121"/>
      <c r="F32" s="121"/>
      <c r="G32" s="121"/>
      <c r="H32" s="121"/>
      <c r="I32" s="121"/>
    </row>
    <row r="33" spans="1:15" ht="15">
      <c r="A33" s="740" t="s">
        <v>1306</v>
      </c>
      <c r="B33" s="123"/>
      <c r="C33" s="1641"/>
      <c r="D33" s="1642"/>
      <c r="E33" s="1643" t="s">
        <v>1307</v>
      </c>
      <c r="F33" s="1644" t="str">
        <f>IF(D32="楼面单价","取值（单价）","取值（总价）")</f>
        <v>取值（总价）</v>
      </c>
      <c r="G33" s="121"/>
      <c r="H33" s="121"/>
      <c r="I33" s="121"/>
    </row>
    <row r="34" spans="1:15" ht="15">
      <c r="A34" s="1645"/>
      <c r="B34" s="1646"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7" t="s">
        <v>1309</v>
      </c>
      <c r="F34" s="1242"/>
      <c r="G34" s="121"/>
      <c r="H34" s="121"/>
      <c r="I34" s="121"/>
    </row>
    <row r="35" spans="1:15" ht="15.75" thickBot="1">
      <c r="A35" s="1648"/>
      <c r="B35" s="1649"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0" t="s">
        <v>1311</v>
      </c>
      <c r="F35" s="146"/>
      <c r="G35" s="121"/>
      <c r="H35" s="121"/>
      <c r="I35" s="121"/>
    </row>
    <row r="36" spans="1:15" ht="15.75" thickBot="1">
      <c r="A36" s="3283" t="s">
        <v>1312</v>
      </c>
      <c r="B36" s="1651" t="s">
        <v>1313</v>
      </c>
      <c r="C36" s="137"/>
      <c r="D36" s="1652"/>
      <c r="E36" s="1566"/>
      <c r="F36" s="1653"/>
      <c r="G36" s="121"/>
      <c r="H36" s="121"/>
      <c r="I36" s="121"/>
    </row>
    <row r="37" spans="1:15" ht="15.75" thickBot="1">
      <c r="A37" s="3284"/>
      <c r="B37" s="1554" t="s">
        <v>1314</v>
      </c>
      <c r="C37" s="139"/>
      <c r="D37" s="1071"/>
      <c r="E37" s="1071"/>
      <c r="F37" s="1653"/>
      <c r="G37" s="121"/>
      <c r="H37" s="121"/>
      <c r="I37" s="121"/>
    </row>
    <row r="38" spans="1:15" ht="15.75" thickBot="1">
      <c r="A38" s="3285"/>
      <c r="B38" s="1654" t="s">
        <v>1315</v>
      </c>
      <c r="C38" s="641"/>
      <c r="D38" s="1655" t="s">
        <v>1316</v>
      </c>
      <c r="E38" s="1071"/>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260" t="s">
        <v>1326</v>
      </c>
      <c r="B45" s="3261"/>
      <c r="C45" s="3262"/>
      <c r="D45" s="147" t="e">
        <f ca="1">ROUND(H101*F45,0)</f>
        <v>#REF!</v>
      </c>
      <c r="E45" s="148" t="s">
        <v>1327</v>
      </c>
      <c r="F45" s="149">
        <v>1</v>
      </c>
      <c r="G45" s="150" t="s">
        <v>1328</v>
      </c>
      <c r="H45" s="121"/>
      <c r="I45" s="121"/>
      <c r="J45" s="3338" t="s">
        <v>1329</v>
      </c>
      <c r="K45" s="3338"/>
      <c r="L45" s="3338"/>
      <c r="M45" s="3338"/>
      <c r="N45" s="3338"/>
      <c r="O45" s="3338"/>
    </row>
    <row r="46" spans="1:15" ht="14.25" customHeight="1">
      <c r="A46" s="3257" t="s">
        <v>1330</v>
      </c>
      <c r="B46" s="3258"/>
      <c r="C46" s="3258"/>
      <c r="D46" s="3258"/>
      <c r="E46" s="3258"/>
      <c r="F46" s="3258"/>
      <c r="G46" s="3259"/>
      <c r="H46" s="1667"/>
      <c r="I46" s="151"/>
      <c r="J46" s="2308">
        <v>1</v>
      </c>
      <c r="K46" s="3319" t="s">
        <v>1331</v>
      </c>
      <c r="L46" s="3319"/>
      <c r="M46" s="3339"/>
      <c r="N46" s="3339"/>
      <c r="O46" s="3339"/>
    </row>
    <row r="47" spans="1:15" ht="12" customHeight="1">
      <c r="A47" s="152" t="s">
        <v>1332</v>
      </c>
      <c r="B47" s="153"/>
      <c r="C47" s="154"/>
      <c r="D47" s="1024" t="s">
        <v>1333</v>
      </c>
      <c r="E47" s="294" t="s">
        <v>1334</v>
      </c>
      <c r="F47" s="155" t="s">
        <v>1335</v>
      </c>
      <c r="G47" s="2331" t="s">
        <v>1336</v>
      </c>
      <c r="H47" s="2332"/>
      <c r="I47" s="151"/>
      <c r="J47" s="2308">
        <v>2</v>
      </c>
      <c r="K47" s="3319" t="s">
        <v>1337</v>
      </c>
      <c r="L47" s="3319"/>
      <c r="M47" s="3340">
        <f>'数据-取费表'!B2</f>
        <v>45301</v>
      </c>
      <c r="N47" s="3340"/>
      <c r="O47" s="3340"/>
    </row>
    <row r="48" spans="1:15" ht="25.5">
      <c r="A48" s="3288" t="s">
        <v>1338</v>
      </c>
      <c r="B48" s="3271"/>
      <c r="C48" s="3271"/>
      <c r="D48" s="12" t="b">
        <f>IF(H48="情况1",0,IF(H48="情况2",D52,IF(H48="情况3",D53,IF(H48="情况4",D54))))</f>
        <v>0</v>
      </c>
      <c r="E48" s="1255" t="str">
        <f>IF(H48="情况4","(销售额-原购置价)×税（费）率","销售额×税（费）率")</f>
        <v>销售额×税（费）率</v>
      </c>
      <c r="F48" s="2333">
        <f>IF(H48="情况1","免征",'数据-取费表'!B41)</f>
        <v>5.6000000000000001E-2</v>
      </c>
      <c r="G48" s="2334" t="s">
        <v>1339</v>
      </c>
      <c r="H48" s="2335"/>
      <c r="I48" s="1667"/>
      <c r="J48" s="2308">
        <v>3</v>
      </c>
      <c r="K48" s="3319" t="s">
        <v>1340</v>
      </c>
      <c r="L48" s="3319"/>
      <c r="M48" s="3341" t="e">
        <f ca="1">H101</f>
        <v>#REF!</v>
      </c>
      <c r="N48" s="3341"/>
      <c r="O48" s="3341"/>
    </row>
    <row r="49" spans="1:35" ht="25.5" customHeight="1">
      <c r="A49" s="2150" t="s">
        <v>1341</v>
      </c>
      <c r="B49" s="3255" t="s">
        <v>1342</v>
      </c>
      <c r="C49" s="3255"/>
      <c r="D49" s="1477">
        <v>0</v>
      </c>
      <c r="E49" s="316" t="s">
        <v>1343</v>
      </c>
      <c r="F49" s="2231" t="s">
        <v>28</v>
      </c>
      <c r="G49" s="3325"/>
      <c r="H49" s="2132" t="s">
        <v>2134</v>
      </c>
      <c r="I49" s="2133"/>
      <c r="J49" s="2308">
        <v>4</v>
      </c>
      <c r="K49" s="3319" t="str">
        <f>IF(项目基本情况!E8="房地产抵押价值","房地产抵押价值","抵押担保权已注销时的房地产抵押价值")</f>
        <v>抵押担保权已注销时的房地产抵押价值</v>
      </c>
      <c r="L49" s="3319"/>
      <c r="M49" s="3341" t="str">
        <f>IF(项目基本情况!E8="房地产抵押价值",H107,H109)</f>
        <v>——</v>
      </c>
      <c r="N49" s="3341"/>
      <c r="O49" s="3341"/>
    </row>
    <row r="50" spans="1:35" ht="25.5" customHeight="1">
      <c r="A50" s="2336"/>
      <c r="B50" s="3255" t="s">
        <v>1344</v>
      </c>
      <c r="C50" s="3255"/>
      <c r="D50" s="2187"/>
      <c r="E50" s="323"/>
      <c r="F50" s="2231"/>
      <c r="G50" s="3326"/>
      <c r="H50" s="2134" t="s">
        <v>2135</v>
      </c>
      <c r="I50" s="2133"/>
      <c r="J50" s="3338" t="s">
        <v>1345</v>
      </c>
      <c r="K50" s="3338"/>
      <c r="L50" s="3338"/>
      <c r="M50" s="3338"/>
      <c r="N50" s="3338"/>
      <c r="O50" s="3338"/>
    </row>
    <row r="51" spans="1:35" ht="20.45" customHeight="1">
      <c r="A51" s="2337"/>
      <c r="B51" s="3255" t="s">
        <v>1346</v>
      </c>
      <c r="C51" s="3255"/>
      <c r="D51" s="1024"/>
      <c r="E51" s="319"/>
      <c r="F51" s="2231"/>
      <c r="G51" s="3327"/>
      <c r="H51" s="2134" t="s">
        <v>2136</v>
      </c>
      <c r="I51" s="2133"/>
      <c r="J51" s="2309" t="s">
        <v>1347</v>
      </c>
      <c r="K51" s="3319" t="s">
        <v>1348</v>
      </c>
      <c r="L51" s="3319"/>
      <c r="M51" s="2309" t="s">
        <v>1349</v>
      </c>
      <c r="N51" s="2309" t="s">
        <v>1350</v>
      </c>
      <c r="O51" s="2309" t="s">
        <v>1351</v>
      </c>
    </row>
    <row r="52" spans="1:35" ht="24" customHeight="1">
      <c r="A52" s="2151" t="s">
        <v>1352</v>
      </c>
      <c r="B52" s="3255" t="s">
        <v>1353</v>
      </c>
      <c r="C52" s="3255"/>
      <c r="D52" s="1024" t="e">
        <f ca="1">ROUND(D45*'数据-取费表'!B41/(1+'数据-取费表'!C42),0)</f>
        <v>#REF!</v>
      </c>
      <c r="E52" s="1255" t="s">
        <v>1354</v>
      </c>
      <c r="F52" s="2338">
        <f>'数据-取费表'!B41</f>
        <v>5.6000000000000001E-2</v>
      </c>
      <c r="G52" s="2339"/>
      <c r="H52" s="2329"/>
      <c r="I52" s="1668"/>
      <c r="J52" s="2308">
        <v>1</v>
      </c>
      <c r="K52" s="3320" t="s">
        <v>1355</v>
      </c>
      <c r="L52" s="3320"/>
      <c r="M52" s="2310" t="b">
        <f>D48</f>
        <v>0</v>
      </c>
      <c r="N52" s="2308" t="str">
        <f>E48</f>
        <v>销售额×税（费）率</v>
      </c>
      <c r="O52" s="2311">
        <f>F48</f>
        <v>5.6000000000000001E-2</v>
      </c>
    </row>
    <row r="53" spans="1:35" ht="12" customHeight="1">
      <c r="A53" s="2151" t="s">
        <v>1356</v>
      </c>
      <c r="B53" s="3281" t="s">
        <v>2291</v>
      </c>
      <c r="C53" s="3282"/>
      <c r="D53" s="1024" t="e">
        <f ca="1">ROUND(D45*'数据-取费表'!B41/(1+'数据-取费表'!C42),0)</f>
        <v>#REF!</v>
      </c>
      <c r="E53" s="1255" t="s">
        <v>1354</v>
      </c>
      <c r="F53" s="2338">
        <f>'数据-取费表'!B41</f>
        <v>5.6000000000000001E-2</v>
      </c>
      <c r="G53" s="2339"/>
      <c r="H53" s="2329"/>
      <c r="I53" s="1668"/>
      <c r="J53" s="2308">
        <v>2</v>
      </c>
      <c r="K53" s="3320" t="s">
        <v>1357</v>
      </c>
      <c r="L53" s="3320"/>
      <c r="M53" s="2310" t="e">
        <f t="shared" ref="M53:O54" ca="1" si="0">D55</f>
        <v>#REF!</v>
      </c>
      <c r="N53" s="2308" t="str">
        <f t="shared" si="0"/>
        <v>销售额×税（费）率</v>
      </c>
      <c r="O53" s="2311" t="str">
        <f t="shared" si="0"/>
        <v>免征</v>
      </c>
    </row>
    <row r="54" spans="1:35" ht="12" customHeight="1">
      <c r="A54" s="2151" t="s">
        <v>1358</v>
      </c>
      <c r="B54" s="3281" t="s">
        <v>2292</v>
      </c>
      <c r="C54" s="3282"/>
      <c r="D54" s="1024" t="e">
        <f ca="1">C68</f>
        <v>#REF!</v>
      </c>
      <c r="E54" s="319" t="s">
        <v>1359</v>
      </c>
      <c r="F54" s="2338">
        <f>'数据-取费表'!B41</f>
        <v>5.6000000000000001E-2</v>
      </c>
      <c r="G54" s="2339"/>
      <c r="H54" s="2340"/>
      <c r="I54" s="1668"/>
      <c r="J54" s="2308">
        <v>3</v>
      </c>
      <c r="K54" s="3320" t="s">
        <v>1360</v>
      </c>
      <c r="L54" s="3320"/>
      <c r="M54" s="2310" t="e">
        <f t="shared" ca="1" si="0"/>
        <v>#REF!</v>
      </c>
      <c r="N54" s="2308" t="str">
        <f t="shared" si="0"/>
        <v>增值额×税（费）率</v>
      </c>
      <c r="O54" s="2312" t="str">
        <f t="shared" si="0"/>
        <v>免征</v>
      </c>
    </row>
    <row r="55" spans="1:35" ht="24" customHeight="1">
      <c r="A55" s="3270" t="s">
        <v>1361</v>
      </c>
      <c r="B55" s="3271"/>
      <c r="C55" s="3271"/>
      <c r="D55" s="12" t="e">
        <f ca="1">IF(H55="个人住宅",0,ROUND(D45*I55,0))</f>
        <v>#REF!</v>
      </c>
      <c r="E55" s="1255" t="s">
        <v>1362</v>
      </c>
      <c r="F55" s="2338" t="str">
        <f>IF(H55="正常",I55,"免征")</f>
        <v>免征</v>
      </c>
      <c r="G55" s="2339"/>
      <c r="H55" s="2335"/>
      <c r="I55" s="157">
        <f>'数据-取费表'!B49</f>
        <v>5.0000000000000001E-4</v>
      </c>
      <c r="J55" s="2308">
        <f>IF(H59="非个人房产","",4)</f>
        <v>4</v>
      </c>
      <c r="K55" s="3320" t="str">
        <f>IF(H59="非个人房产","——","个人所得税")</f>
        <v>个人所得税</v>
      </c>
      <c r="L55" s="3320"/>
      <c r="M55" s="2313" t="e">
        <f ca="1">D59</f>
        <v>#REF!</v>
      </c>
      <c r="N55" s="1881" t="str">
        <f>E59</f>
        <v>差额计税</v>
      </c>
      <c r="O55" s="2314">
        <f>F59</f>
        <v>0.01</v>
      </c>
    </row>
    <row r="56" spans="1:35" ht="24.75">
      <c r="A56" s="3270" t="s">
        <v>1363</v>
      </c>
      <c r="B56" s="3271"/>
      <c r="C56" s="3271"/>
      <c r="D56" s="12" t="e">
        <f ca="1">IF(H56="个人住宅",D57,D58)</f>
        <v>#REF!</v>
      </c>
      <c r="E56" s="1255" t="s">
        <v>1364</v>
      </c>
      <c r="F56" s="2338" t="str">
        <f>IF(H56="正常",F58,"免征")</f>
        <v>免征</v>
      </c>
      <c r="G56" s="2341" t="s">
        <v>1365</v>
      </c>
      <c r="H56" s="2342"/>
      <c r="I56" s="1669"/>
      <c r="J56" s="2308" t="str">
        <f>IF(项目基本情况!K6="上海银行",IF(J55="",4,J55+1),"")</f>
        <v/>
      </c>
      <c r="K56" s="3343" t="str">
        <f>IF(项目基本情况!K6="上海银行","其他处置费用","")</f>
        <v/>
      </c>
      <c r="L56" s="3344"/>
      <c r="M56" s="2310" t="str">
        <f>IF(项目基本情况!K6="上海银行",M69,"")</f>
        <v/>
      </c>
      <c r="N56" s="3343" t="str">
        <f>IF(项目基本情况!K6="上海银行","包含处置中涉及的律师、诉讼、拍卖、评估等费用","")</f>
        <v/>
      </c>
      <c r="O56" s="3346"/>
    </row>
    <row r="57" spans="1:35" ht="12.75">
      <c r="A57" s="2151" t="s">
        <v>1341</v>
      </c>
      <c r="B57" s="3281" t="s">
        <v>1366</v>
      </c>
      <c r="C57" s="3282"/>
      <c r="D57" s="1477">
        <v>0</v>
      </c>
      <c r="E57" s="316" t="s">
        <v>1343</v>
      </c>
      <c r="F57" s="294"/>
      <c r="G57" s="2339"/>
      <c r="H57" s="2343"/>
      <c r="I57" s="1669"/>
      <c r="J57" s="3320">
        <f>IF(AND(J55="",J56=""),4,IF(项目基本情况!K6="上海银行",结果表!J56+1,结果表!J55+1))</f>
        <v>5</v>
      </c>
      <c r="K57" s="3320" t="s">
        <v>1367</v>
      </c>
      <c r="L57" s="2315" t="s">
        <v>1368</v>
      </c>
      <c r="M57" s="2316"/>
      <c r="N57" s="2317">
        <f ca="1">SUMIF(M52:M56,"&lt;9e307")</f>
        <v>0</v>
      </c>
      <c r="O57" s="2318"/>
      <c r="P57" s="2463" t="e">
        <f ca="1">N57/M49</f>
        <v>#VALUE!</v>
      </c>
    </row>
    <row r="58" spans="1:35" ht="24.75">
      <c r="A58" s="2151" t="s">
        <v>1352</v>
      </c>
      <c r="B58" s="3281" t="s">
        <v>1369</v>
      </c>
      <c r="C58" s="3255"/>
      <c r="D58" s="12" t="e">
        <f ca="1">IF(H58="转让取得",C81,C97)</f>
        <v>#REF!</v>
      </c>
      <c r="E58" s="1255" t="s">
        <v>1364</v>
      </c>
      <c r="F58" s="294" t="s">
        <v>28</v>
      </c>
      <c r="G58" s="2339"/>
      <c r="H58" s="2342"/>
      <c r="I58" s="1669"/>
      <c r="J58" s="3320"/>
      <c r="K58" s="3320"/>
      <c r="L58" s="2315" t="s">
        <v>1370</v>
      </c>
      <c r="M58" s="2319"/>
      <c r="N58" s="2320" t="str">
        <f ca="1">NUMBERSTRING(INT(N57*10000),2)&amp;"元整"</f>
        <v>零元整</v>
      </c>
      <c r="O58" s="2321"/>
    </row>
    <row r="59" spans="1:35" ht="24.75" thickBot="1">
      <c r="A59" s="3323" t="s">
        <v>1371</v>
      </c>
      <c r="B59" s="3324"/>
      <c r="C59" s="3324"/>
      <c r="D59" s="2344" t="e">
        <f ca="1">IF(H59="非个人房产","——",IF(H59="个人住宅（满五唯一有凭证）",0,IF(H59="个人其他（无凭证）",ROUND(D45*F59,0),ROUND(C67*F59,0))))</f>
        <v>#REF!</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6"/>
      <c r="I59" s="2135" t="s">
        <v>2137</v>
      </c>
      <c r="J59" s="3321">
        <f>J57+1</f>
        <v>6</v>
      </c>
      <c r="K59" s="3320" t="s">
        <v>1372</v>
      </c>
      <c r="L59" s="2308" t="s">
        <v>1368</v>
      </c>
      <c r="M59" s="2322"/>
      <c r="N59" s="2323" t="e">
        <f ca="1">M49-N57</f>
        <v>#VALUE!</v>
      </c>
      <c r="O59" s="2324"/>
    </row>
    <row r="60" spans="1:35" ht="12" customHeight="1">
      <c r="A60" s="1670"/>
      <c r="B60" s="646"/>
      <c r="C60" s="646"/>
      <c r="D60" s="646"/>
      <c r="E60" s="1465"/>
      <c r="F60" s="1669"/>
      <c r="G60" s="1669"/>
      <c r="H60" s="151"/>
      <c r="I60" s="121"/>
      <c r="J60" s="3322"/>
      <c r="K60" s="3320"/>
      <c r="L60" s="2315" t="s">
        <v>1370</v>
      </c>
      <c r="M60" s="2319"/>
      <c r="N60" s="2320" t="e">
        <f ca="1">NUMBERSTRING(INT(N59*10000),2)&amp;"元整"</f>
        <v>#VALUE!</v>
      </c>
      <c r="O60" s="2321"/>
    </row>
    <row r="61" spans="1:35" ht="13.5" thickBot="1">
      <c r="A61" s="3268" t="s">
        <v>1373</v>
      </c>
      <c r="B61" s="3268"/>
      <c r="C61" s="3268"/>
      <c r="D61" s="3268"/>
      <c r="E61" s="3268"/>
      <c r="F61" s="1669"/>
      <c r="G61" s="1669"/>
      <c r="H61" s="151"/>
      <c r="I61" s="121"/>
      <c r="J61" s="2308">
        <f>J59+1</f>
        <v>7</v>
      </c>
      <c r="K61" s="3320" t="s">
        <v>1374</v>
      </c>
      <c r="L61" s="3320"/>
      <c r="M61" s="2325"/>
      <c r="N61" s="2326" t="e">
        <f ca="1">ROUND(N59*10000/'数据-汇总表'!E3,0)</f>
        <v>#VALUE!</v>
      </c>
      <c r="O61" s="2327"/>
    </row>
    <row r="62" spans="1:35" ht="12.75">
      <c r="A62" s="3286" t="s">
        <v>1375</v>
      </c>
      <c r="B62" s="3287"/>
      <c r="C62" s="1863"/>
      <c r="D62" s="1863" t="s">
        <v>1376</v>
      </c>
      <c r="E62" s="158" t="s">
        <v>1377</v>
      </c>
      <c r="F62" s="1669"/>
      <c r="G62" s="1669"/>
      <c r="H62" s="151"/>
      <c r="I62" s="121"/>
    </row>
    <row r="63" spans="1:35" ht="12.75">
      <c r="A63" s="165" t="s">
        <v>330</v>
      </c>
      <c r="B63" s="159" t="s">
        <v>1378</v>
      </c>
      <c r="C63" s="2348" t="e">
        <f ca="1">ROUND((C64+C65)/(1+'数据-取费表'!C42),0)</f>
        <v>#REF!</v>
      </c>
      <c r="D63" s="159"/>
      <c r="E63" s="160"/>
      <c r="F63" s="1669"/>
      <c r="G63" s="1669"/>
      <c r="H63" s="151"/>
      <c r="I63" s="121"/>
      <c r="J63" s="3345" t="s">
        <v>1379</v>
      </c>
      <c r="K63" s="1244" t="s">
        <v>1380</v>
      </c>
      <c r="L63" s="1244" t="e">
        <f>IF(M49&gt;10000,M49*0.5%,IF(AND(M49&gt;1000,M49&lt;=10000),M49*1%,IF(AND(M49&gt;100,M49&lt;=1000),M49*3%,IF(AND(M49&gt;10,M49&lt;=100),M49*5%,M49*8%))))</f>
        <v>#VALUE!</v>
      </c>
      <c r="M63" s="294" t="e">
        <f>ROUND(L63,1)</f>
        <v>#VALUE!</v>
      </c>
      <c r="N63" s="2328"/>
      <c r="Z63" s="1622"/>
      <c r="AI63" s="1560"/>
    </row>
    <row r="64" spans="1:35" ht="14.25" customHeight="1">
      <c r="A64" s="161" t="s">
        <v>325</v>
      </c>
      <c r="B64" s="162" t="s">
        <v>1381</v>
      </c>
      <c r="C64" s="2349" t="e">
        <f ca="1">D45</f>
        <v>#REF!</v>
      </c>
      <c r="D64" s="162" t="s">
        <v>26</v>
      </c>
      <c r="E64" s="164"/>
      <c r="F64" s="1669"/>
      <c r="G64" s="1669"/>
      <c r="H64" s="151"/>
      <c r="I64" s="121"/>
      <c r="J64" s="3345"/>
      <c r="K64" s="1244" t="s">
        <v>1382</v>
      </c>
      <c r="L64" s="1244"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2"/>
      <c r="AI64" s="1560"/>
    </row>
    <row r="65" spans="1:35" ht="14.25" customHeight="1">
      <c r="A65" s="161" t="s">
        <v>326</v>
      </c>
      <c r="B65" s="162" t="s">
        <v>1384</v>
      </c>
      <c r="C65" s="2350"/>
      <c r="D65" s="162"/>
      <c r="E65" s="164"/>
      <c r="F65" s="1669"/>
      <c r="G65" s="1669"/>
      <c r="H65" s="151"/>
      <c r="I65" s="121"/>
      <c r="J65" s="3345"/>
      <c r="K65" s="1244" t="s">
        <v>1385</v>
      </c>
      <c r="L65" s="1244" t="e">
        <f>IF(M49&gt;1000,M49*0.1%,IF(AND(M49&gt;500,M49&lt;=1000),M49*0.5%,IF(AND(M49&gt;50,M49&lt;=500),M49*1%,IF(AND(M49&gt;1,M49&lt;=50),M49*1.5%))))</f>
        <v>#VALUE!</v>
      </c>
      <c r="M65" s="294" t="e">
        <f t="shared" si="1"/>
        <v>#VALUE!</v>
      </c>
      <c r="N65" s="2329" t="s">
        <v>1383</v>
      </c>
      <c r="Z65" s="1622"/>
      <c r="AI65" s="1560"/>
    </row>
    <row r="66" spans="1:35" ht="14.25" customHeight="1">
      <c r="A66" s="165" t="s">
        <v>327</v>
      </c>
      <c r="B66" s="166" t="s">
        <v>1386</v>
      </c>
      <c r="C66" s="2351"/>
      <c r="D66" s="166" t="s">
        <v>26</v>
      </c>
      <c r="E66" s="1250" t="s">
        <v>671</v>
      </c>
      <c r="F66" s="1669"/>
      <c r="G66" s="1669"/>
      <c r="H66" s="151"/>
      <c r="I66" s="121"/>
      <c r="J66" s="3345"/>
      <c r="K66" s="1244" t="s">
        <v>1387</v>
      </c>
      <c r="L66" s="1244" t="e">
        <f>M49*0.5%</f>
        <v>#VALUE!</v>
      </c>
      <c r="M66" s="294" t="e">
        <f>IF(L66&gt;0.5,0.5,ROUND(L66,0))</f>
        <v>#VALUE!</v>
      </c>
      <c r="N66" s="2329" t="s">
        <v>1388</v>
      </c>
      <c r="Z66" s="1622"/>
      <c r="AI66" s="1560"/>
    </row>
    <row r="67" spans="1:35" ht="14.25" customHeight="1">
      <c r="A67" s="165" t="s">
        <v>328</v>
      </c>
      <c r="B67" s="166" t="s">
        <v>1389</v>
      </c>
      <c r="C67" s="2352" t="e">
        <f ca="1">C63-C66</f>
        <v>#REF!</v>
      </c>
      <c r="D67" s="162" t="s">
        <v>26</v>
      </c>
      <c r="E67" s="164"/>
      <c r="F67" s="1669"/>
      <c r="G67" s="1669"/>
      <c r="H67" s="151"/>
      <c r="I67" s="121"/>
      <c r="J67" s="3345"/>
      <c r="K67" s="1244" t="s">
        <v>1390</v>
      </c>
      <c r="L67" s="1244"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2"/>
      <c r="AI67" s="1560"/>
    </row>
    <row r="68" spans="1:35" ht="14.25" customHeight="1" thickBot="1">
      <c r="A68" s="168" t="s">
        <v>329</v>
      </c>
      <c r="B68" s="169" t="s">
        <v>1391</v>
      </c>
      <c r="C68" s="2353" t="e">
        <f ca="1">IF(C67&lt;=0,0,ROUND(C67*D68,0))</f>
        <v>#REF!</v>
      </c>
      <c r="D68" s="2354">
        <f>'数据-取费表'!B41</f>
        <v>5.6000000000000001E-2</v>
      </c>
      <c r="E68" s="170"/>
      <c r="F68" s="1669"/>
      <c r="G68" s="1669"/>
      <c r="H68" s="151"/>
      <c r="I68" s="121"/>
      <c r="J68" s="3345"/>
      <c r="K68" s="1244" t="s">
        <v>1392</v>
      </c>
      <c r="L68" s="1244" t="e">
        <f>IF(M49&gt;10000,M49*0.5%,IF(AND(M49&gt;5000,M49&lt;=10000),M49*1%,IF(AND(M49&gt;1000,M49&lt;=5000),M49*2%,IF(AND(M49&gt;200,M49&lt;=1000),M49*3%,M49*5%))))</f>
        <v>#VALUE!</v>
      </c>
      <c r="M68" s="294" t="e">
        <f>ROUND(L68,1)</f>
        <v>#VALUE!</v>
      </c>
      <c r="N68" s="2328"/>
      <c r="Z68" s="1622"/>
      <c r="AI68" s="1560"/>
    </row>
    <row r="69" spans="1:35" ht="16.5" customHeight="1">
      <c r="A69" s="1671"/>
      <c r="B69" s="1672"/>
      <c r="C69" s="1673"/>
      <c r="D69" s="1674"/>
      <c r="E69" s="1675"/>
      <c r="F69" s="1465"/>
      <c r="G69" s="1465"/>
      <c r="H69" s="1466"/>
      <c r="I69" s="646"/>
      <c r="J69" s="3345"/>
      <c r="K69" s="1244" t="s">
        <v>1393</v>
      </c>
      <c r="L69" s="1244"/>
      <c r="M69" s="294" t="e">
        <f>ROUND(SUM(M63:M68),0)</f>
        <v>#VALUE!</v>
      </c>
      <c r="N69" s="2330" t="e">
        <f>M69/M49</f>
        <v>#VALUE!</v>
      </c>
      <c r="Z69" s="1622"/>
      <c r="AI69" s="1560"/>
    </row>
    <row r="70" spans="1:35" s="642" customFormat="1" ht="15" thickBot="1">
      <c r="A70" s="3307" t="s">
        <v>1394</v>
      </c>
      <c r="B70" s="3308"/>
      <c r="C70" s="3308"/>
      <c r="D70" s="3308"/>
      <c r="E70" s="3308"/>
      <c r="F70" s="3308"/>
      <c r="G70" s="3308"/>
      <c r="H70" s="3308"/>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286" t="s">
        <v>1375</v>
      </c>
      <c r="B71" s="3287"/>
      <c r="C71" s="1863"/>
      <c r="D71" s="1863"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2" t="e">
        <f ca="1">ROUND(D45/(1+'数据-取费表'!C42),0)</f>
        <v>#REF!</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2" t="e">
        <f ca="1">C74+C78</f>
        <v>#REF!</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5"/>
      <c r="D75" s="162" t="s">
        <v>26</v>
      </c>
      <c r="E75" s="176" t="s">
        <v>1399</v>
      </c>
      <c r="F75" s="2356"/>
      <c r="G75" s="176" t="s">
        <v>1400</v>
      </c>
      <c r="H75" s="2357"/>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8">
        <v>0.05</v>
      </c>
      <c r="E76" s="3281" t="s">
        <v>1402</v>
      </c>
      <c r="F76" s="3255"/>
      <c r="G76" s="3255"/>
      <c r="H76" s="3306"/>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1"/>
      <c r="H77" s="2149"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0" t="e">
        <f ca="1">ROUND(D45*D78/(1+'数据-取费表'!C42),0)</f>
        <v>#REF!</v>
      </c>
      <c r="D78" s="2361">
        <f>'数据-取费表'!B43</f>
        <v>6.000000000000001E-3</v>
      </c>
      <c r="E78" s="3265" t="s">
        <v>1406</v>
      </c>
      <c r="F78" s="3266"/>
      <c r="G78" s="3266"/>
      <c r="H78" s="3275"/>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2" t="e">
        <f ca="1">C72-C73</f>
        <v>#REF!</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2"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3" t="e">
        <f ca="1">ROUND(IF(C79&lt;=0,0,IF(C80&gt;=200%,C79*60%-C73*35%,IF(C80&gt;=100%,C79*50%-C73*15%,IF(C80&gt;=50%,C79*40%-C73*5%,IF(C80&lt;50%,C79*30%,0))))),0)</f>
        <v>#REF!</v>
      </c>
      <c r="D81" s="2364"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307" t="s">
        <v>1410</v>
      </c>
      <c r="B83" s="3308"/>
      <c r="C83" s="3308"/>
      <c r="D83" s="3308"/>
      <c r="E83" s="3308"/>
      <c r="F83" s="3308"/>
      <c r="G83" s="3308"/>
      <c r="H83" s="3308"/>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286" t="s">
        <v>1375</v>
      </c>
      <c r="B84" s="3287"/>
      <c r="C84" s="1863"/>
      <c r="D84" s="1863"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2" t="e">
        <f ca="1">ROUND(D45/(1+'数据-取费表'!C42),0)</f>
        <v>#REF!</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2" t="e">
        <f ca="1">IF(H88="仅含出让金",C87+C90+C91+C92+C93+C94,C87+C91+C92+C93+C94)</f>
        <v>#REF!</v>
      </c>
      <c r="D86" s="2365"/>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0">
        <f>C88+C89</f>
        <v>0</v>
      </c>
      <c r="D87" s="2361"/>
      <c r="E87" s="2145"/>
      <c r="F87" s="2146"/>
      <c r="G87" s="2146"/>
      <c r="H87" s="2147"/>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6"/>
      <c r="D88" s="2361"/>
      <c r="E88" s="185" t="s">
        <v>1413</v>
      </c>
      <c r="F88" s="2146"/>
      <c r="G88" s="186" t="s">
        <v>1414</v>
      </c>
      <c r="H88" s="1683"/>
      <c r="I88" s="1680"/>
      <c r="J88" s="2306"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0">
        <f>ROUND(C88*D89,0)</f>
        <v>0</v>
      </c>
      <c r="D89" s="2361">
        <f>'数据-取费表'!B48+'数据-取费表'!B49</f>
        <v>3.0499999999999999E-2</v>
      </c>
      <c r="E89" s="185" t="s">
        <v>1415</v>
      </c>
      <c r="F89" s="2146"/>
      <c r="G89" s="2146"/>
      <c r="H89" s="2147"/>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6"/>
      <c r="D90" s="2361"/>
      <c r="E90" s="185" t="str">
        <f>IF(H88="-","土地取得成本中已包含该笔费用"," ")</f>
        <v xml:space="preserve"> </v>
      </c>
      <c r="F90" s="2146"/>
      <c r="G90" s="3347" t="s">
        <v>2129</v>
      </c>
      <c r="H90" s="3348"/>
      <c r="I90" s="1680"/>
      <c r="J90" s="2306"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0">
        <f>IF(H91="——",成本法!C33,I91)</f>
        <v>0</v>
      </c>
      <c r="D91" s="2361"/>
      <c r="E91" s="3265" t="s">
        <v>1419</v>
      </c>
      <c r="F91" s="3266"/>
      <c r="G91" s="3266"/>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0">
        <f>ROUND((C87+C90+C91)*D92,0)</f>
        <v>0</v>
      </c>
      <c r="D92" s="2367"/>
      <c r="E92" s="3265" t="s">
        <v>1422</v>
      </c>
      <c r="F92" s="3266"/>
      <c r="G92" s="3266"/>
      <c r="H92" s="3275"/>
      <c r="I92" s="1680"/>
      <c r="J92" s="2307"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0" t="e">
        <f ca="1">ROUND(D45*D93/(1+'数据-取费表'!C42),0)</f>
        <v>#REF!</v>
      </c>
      <c r="D93" s="2361">
        <f>'数据-取费表'!B43</f>
        <v>6.000000000000001E-3</v>
      </c>
      <c r="E93" s="3265" t="s">
        <v>1406</v>
      </c>
      <c r="F93" s="3266"/>
      <c r="G93" s="3266"/>
      <c r="H93" s="3275"/>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6">
        <f>ROUND((C87+C90+C91)*D94,0)</f>
        <v>0</v>
      </c>
      <c r="D94" s="2361">
        <v>0.2</v>
      </c>
      <c r="E94" s="3276" t="s">
        <v>1426</v>
      </c>
      <c r="F94" s="3277"/>
      <c r="G94" s="3277"/>
      <c r="H94" s="3278"/>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2" t="e">
        <f ca="1">ROUND(C85-C86,0)</f>
        <v>#REF!</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2"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3" t="e">
        <f ca="1">ROUND(IF(C95&lt;=0,0,IF(C96&gt;=200%,C95*60%-C86*35%,IF(C96&gt;=100%,C95*50%-C86*15%,IF(C96&gt;=50%,C95*40%-C86*5%,IF(C96&lt;50%,C95*30%,0))))),0)</f>
        <v>#REF!</v>
      </c>
      <c r="D97" s="2364"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249" t="s">
        <v>1428</v>
      </c>
      <c r="B100" s="3250"/>
      <c r="C100" s="3250"/>
      <c r="D100" s="3267"/>
      <c r="E100" s="3250" t="s">
        <v>1429</v>
      </c>
      <c r="F100" s="3250"/>
      <c r="G100" s="3250"/>
      <c r="H100" s="3267"/>
      <c r="I100" s="121"/>
    </row>
    <row r="101" spans="1:35" ht="18.75" customHeight="1">
      <c r="A101" s="3328" t="s">
        <v>1430</v>
      </c>
      <c r="B101" s="3329"/>
      <c r="C101" s="2369" t="str">
        <f>C4</f>
        <v>收益法 (元)</v>
      </c>
      <c r="D101" s="2370" t="str">
        <f>D4</f>
        <v>比较法-住宅</v>
      </c>
      <c r="E101" s="3342" t="s">
        <v>1431</v>
      </c>
      <c r="F101" s="3299"/>
      <c r="G101" s="1686" t="s">
        <v>1432</v>
      </c>
      <c r="H101" s="2379" t="e">
        <f ca="1">H118</f>
        <v>#REF!</v>
      </c>
      <c r="I101" s="121"/>
    </row>
    <row r="102" spans="1:35" ht="18.75" customHeight="1">
      <c r="A102" s="3301" t="s">
        <v>1433</v>
      </c>
      <c r="B102" s="2368" t="s">
        <v>1432</v>
      </c>
      <c r="C102" s="2369">
        <f ca="1">IF(D32="楼面单价",ROUND(C19,0),C19)</f>
        <v>224.42509999999999</v>
      </c>
      <c r="D102" s="2370">
        <f ca="1">IF(D32="楼面单价",ROUND(D19,0),D19)</f>
        <v>481.54939999999999</v>
      </c>
      <c r="E102" s="3342"/>
      <c r="F102" s="3299"/>
      <c r="G102" s="1686" t="s">
        <v>1434</v>
      </c>
      <c r="H102" s="2339" t="e">
        <f ca="1">I118</f>
        <v>#REF!</v>
      </c>
      <c r="I102" s="121"/>
    </row>
    <row r="103" spans="1:35" ht="42.75" customHeight="1">
      <c r="A103" s="3301"/>
      <c r="B103" s="2368" t="s">
        <v>1434</v>
      </c>
      <c r="C103" s="2371">
        <f ca="1">C20</f>
        <v>50683</v>
      </c>
      <c r="D103" s="2372">
        <f ca="1">D20</f>
        <v>108751</v>
      </c>
      <c r="E103" s="3336" t="s">
        <v>1435</v>
      </c>
      <c r="F103" s="3337"/>
      <c r="G103" s="1687" t="s">
        <v>1436</v>
      </c>
      <c r="H103" s="2379">
        <f>IF(D36="正常操作",H104+H105+H106,H105+H106)</f>
        <v>0</v>
      </c>
      <c r="I103" s="121"/>
    </row>
    <row r="104" spans="1:35" ht="18.75" customHeight="1">
      <c r="A104" s="3301" t="s">
        <v>1437</v>
      </c>
      <c r="B104" s="2373" t="s">
        <v>1432</v>
      </c>
      <c r="C104" s="2374" t="e">
        <f ca="1">H118</f>
        <v>#REF!</v>
      </c>
      <c r="D104" s="2375"/>
      <c r="E104" s="1554" t="s">
        <v>1438</v>
      </c>
      <c r="F104" s="1547"/>
      <c r="G104" s="1687" t="s">
        <v>1436</v>
      </c>
      <c r="H104" s="2380">
        <f>IF(D36="同一抵押权人同一抵押物续贷",C36&amp;"（续贷，未扣减，详见特别提示）",C36)</f>
        <v>0</v>
      </c>
      <c r="I104" s="121"/>
    </row>
    <row r="105" spans="1:35" ht="18.75" customHeight="1" thickBot="1">
      <c r="A105" s="3302"/>
      <c r="B105" s="2376" t="s">
        <v>1434</v>
      </c>
      <c r="C105" s="2377" t="e">
        <f ca="1">I118</f>
        <v>#REF!</v>
      </c>
      <c r="D105" s="2378"/>
      <c r="E105" s="1554" t="s">
        <v>1439</v>
      </c>
      <c r="F105" s="1547"/>
      <c r="G105" s="1687" t="s">
        <v>1436</v>
      </c>
      <c r="H105" s="2381">
        <f>C37</f>
        <v>0</v>
      </c>
      <c r="I105" s="121"/>
    </row>
    <row r="106" spans="1:35" ht="18.75" customHeight="1">
      <c r="A106" s="646" t="s">
        <v>1440</v>
      </c>
      <c r="B106" s="646"/>
      <c r="C106" s="646"/>
      <c r="D106" s="646"/>
      <c r="E106" s="1688" t="s">
        <v>1441</v>
      </c>
      <c r="F106" s="1547"/>
      <c r="G106" s="1687" t="s">
        <v>1436</v>
      </c>
      <c r="H106" s="2381">
        <f>C38</f>
        <v>0</v>
      </c>
      <c r="I106" s="121"/>
    </row>
    <row r="107" spans="1:35" ht="18.75" customHeight="1">
      <c r="A107" s="121"/>
      <c r="B107" s="121"/>
      <c r="C107" s="121"/>
      <c r="D107" s="121"/>
      <c r="E107" s="3298" t="str">
        <f>IF(项目基本情况!E8="已注销","——","3.房地产抵押价值")</f>
        <v>3.房地产抵押价值</v>
      </c>
      <c r="F107" s="3299"/>
      <c r="G107" s="1686" t="s">
        <v>1432</v>
      </c>
      <c r="H107" s="2379" t="e">
        <f ca="1">IF(E107="——","——",H101-H103)</f>
        <v>#REF!</v>
      </c>
      <c r="I107" s="121"/>
    </row>
    <row r="108" spans="1:35" ht="18.75" customHeight="1">
      <c r="A108" s="121"/>
      <c r="B108" s="121"/>
      <c r="C108" s="121"/>
      <c r="D108" s="121"/>
      <c r="E108" s="3298"/>
      <c r="F108" s="3299"/>
      <c r="G108" s="1686" t="s">
        <v>1434</v>
      </c>
      <c r="H108" s="2339">
        <f ca="1">IF(H107=H101,H102,ROUND(H107*10000/'数据-汇总表'!E3,0))</f>
        <v>0</v>
      </c>
      <c r="I108" s="121"/>
    </row>
    <row r="109" spans="1:35" ht="18.75" customHeight="1">
      <c r="A109" s="121"/>
      <c r="B109" s="121"/>
      <c r="C109" s="121"/>
      <c r="D109" s="121"/>
      <c r="E109" s="3298" t="str">
        <f>IF(项目基本情况!E8="已注销及未注销","4.抵押担保权已注销时的房地产抵押价值",IF(项目基本情况!E8="已注销","3.抵押担保权已注销时的房地产抵押价值","——"))</f>
        <v>——</v>
      </c>
      <c r="F109" s="3299"/>
      <c r="G109" s="1686" t="s">
        <v>1432</v>
      </c>
      <c r="H109" s="2382" t="str">
        <f>IF(E109="——","——",H101-H105-H106)</f>
        <v>——</v>
      </c>
      <c r="I109" s="121"/>
    </row>
    <row r="110" spans="1:35" ht="18.75" customHeight="1">
      <c r="A110" s="121"/>
      <c r="B110" s="121"/>
      <c r="C110" s="121"/>
      <c r="D110" s="121"/>
      <c r="E110" s="3298"/>
      <c r="F110" s="3299"/>
      <c r="G110" s="1686" t="s">
        <v>1434</v>
      </c>
      <c r="H110" s="2339" t="str">
        <f>IF(H109="——","——",ROUND(H109*10000/'数据-汇总表'!E3,0))</f>
        <v>——</v>
      </c>
      <c r="I110" s="121"/>
    </row>
    <row r="111" spans="1:35" ht="18.75" customHeight="1">
      <c r="A111" s="121"/>
      <c r="B111" s="121"/>
      <c r="C111" s="121"/>
      <c r="D111" s="121"/>
      <c r="E111" s="3330" t="str">
        <f>IF(项目基本情况!E9="抵押净值",IF(OR(项目基本情况!E8="已注销",项目基本情况!E8="房地产抵押价值"),"4.抵押净值","5.抵押净值"),"——")</f>
        <v>——</v>
      </c>
      <c r="F111" s="3300"/>
      <c r="G111" s="1686" t="s">
        <v>1432</v>
      </c>
      <c r="H111" s="2379" t="str">
        <f>IF(E111="——","——",N59)</f>
        <v>——</v>
      </c>
      <c r="I111" s="121"/>
    </row>
    <row r="112" spans="1:35" ht="18.75" customHeight="1" thickBot="1">
      <c r="A112" s="121"/>
      <c r="B112" s="121"/>
      <c r="C112" s="121"/>
      <c r="D112" s="121"/>
      <c r="E112" s="3331"/>
      <c r="F112" s="3332"/>
      <c r="G112" s="1689" t="s">
        <v>1434</v>
      </c>
      <c r="H112" s="2383" t="str">
        <f>IF(E111="——","——",N61)</f>
        <v>——</v>
      </c>
      <c r="I112" s="121"/>
    </row>
    <row r="113" spans="1:27" ht="18.75" customHeight="1">
      <c r="A113" s="121"/>
      <c r="B113" s="121"/>
      <c r="C113" s="121"/>
      <c r="D113" s="121"/>
      <c r="E113" s="3303" t="s">
        <v>1440</v>
      </c>
      <c r="F113" s="3303"/>
      <c r="G113" s="3303"/>
      <c r="H113" s="3303"/>
      <c r="I113" s="121"/>
    </row>
    <row r="114" spans="1:27" ht="3.75" customHeight="1">
      <c r="A114" s="646"/>
      <c r="B114" s="646"/>
      <c r="C114" s="646"/>
      <c r="D114" s="646"/>
      <c r="E114" s="1670"/>
      <c r="F114" s="1670"/>
      <c r="G114" s="1670"/>
      <c r="H114" s="1670"/>
      <c r="I114" s="646"/>
    </row>
    <row r="115" spans="1:27" ht="18.75" customHeight="1">
      <c r="A115" s="3313" t="s">
        <v>1442</v>
      </c>
      <c r="B115" s="3314"/>
      <c r="C115" s="3314"/>
      <c r="D115" s="3314"/>
      <c r="E115" s="3314"/>
      <c r="F115" s="3314"/>
      <c r="G115" s="3314"/>
      <c r="H115" s="3314"/>
      <c r="I115" s="3315"/>
    </row>
    <row r="116" spans="1:27" ht="27" customHeight="1">
      <c r="A116" s="3269" t="s">
        <v>1443</v>
      </c>
      <c r="B116" s="3304" t="s">
        <v>1444</v>
      </c>
      <c r="C116" s="3304" t="s">
        <v>1445</v>
      </c>
      <c r="D116" s="3317" t="s">
        <v>1446</v>
      </c>
      <c r="E116" s="3318"/>
      <c r="F116" s="3312" t="s">
        <v>1447</v>
      </c>
      <c r="G116" s="3312"/>
      <c r="H116" s="3269" t="s">
        <v>1448</v>
      </c>
      <c r="I116" s="3269"/>
    </row>
    <row r="117" spans="1:27" ht="18.75" customHeight="1">
      <c r="A117" s="3269"/>
      <c r="B117" s="3305"/>
      <c r="C117" s="3305"/>
      <c r="D117" s="2148" t="s">
        <v>1449</v>
      </c>
      <c r="E117" s="2148" t="s">
        <v>1450</v>
      </c>
      <c r="F117" s="2148" t="s">
        <v>1449</v>
      </c>
      <c r="G117" s="2148" t="s">
        <v>1451</v>
      </c>
      <c r="H117" s="2148" t="s">
        <v>1449</v>
      </c>
      <c r="I117" s="2148" t="s">
        <v>1451</v>
      </c>
    </row>
    <row r="118" spans="1:27" ht="24.75" customHeight="1">
      <c r="A118" s="2384" t="str">
        <f>项目基本情况!S2</f>
        <v>北京市房地产</v>
      </c>
      <c r="B118" s="2148">
        <f>M18</f>
        <v>44.28</v>
      </c>
      <c r="C118" s="2148">
        <f>M19</f>
        <v>0</v>
      </c>
      <c r="D118" s="2148" t="e">
        <f ca="1">ROUND(IF(D32="总价",C34,E118*B118/10000),0)</f>
        <v>#REF!</v>
      </c>
      <c r="E118" s="2148" t="e">
        <f ca="1">ROUND(IF(C33="自定义",IF(D32="楼面单价",C34,D118*10000/B118),I118-G118),0)</f>
        <v>#REF!</v>
      </c>
      <c r="F118" s="2148" t="e">
        <f ca="1">ROUND(IF(D32="总价",C35,G118*B118/10000),0)</f>
        <v>#REF!</v>
      </c>
      <c r="G118" s="2148" t="e">
        <f ca="1">ROUND(IF(D32="楼面单价",C35,F118*10000/B118),0)</f>
        <v>#REF!</v>
      </c>
      <c r="H118" s="2148" t="e">
        <f ca="1">ROUND(IF(D32="总价",C32,I118*B118/10000),0)</f>
        <v>#REF!</v>
      </c>
      <c r="I118" s="2148" t="e">
        <f ca="1">ROUND(IF(D32="楼面单价",C32,H118*10000/B118),0)</f>
        <v>#REF!</v>
      </c>
    </row>
    <row r="119" spans="1:27" ht="18.75" customHeight="1">
      <c r="A119" s="3269" t="s">
        <v>1452</v>
      </c>
      <c r="B119" s="3269"/>
      <c r="C119" s="3269"/>
      <c r="D119" s="3309" t="e">
        <f ca="1">NUMBERSTRING(INT(D118*10000),2)&amp;"元整"</f>
        <v>#REF!</v>
      </c>
      <c r="E119" s="3311"/>
      <c r="F119" s="3309" t="e">
        <f ca="1">NUMBERSTRING(INT(F118*10000),2)&amp;"元整"</f>
        <v>#REF!</v>
      </c>
      <c r="G119" s="3311"/>
      <c r="H119" s="3309" t="e">
        <f ca="1">NUMBERSTRING(INT(H118*10000),2)&amp;"元整"</f>
        <v>#REF!</v>
      </c>
      <c r="I119" s="3311"/>
    </row>
    <row r="120" spans="1:27" ht="18.75" customHeight="1">
      <c r="A120" s="3333" t="str">
        <f>IF(项目基本情况!B9="房地产市场价值","",MID(E103,3,LEN(E103)-2))</f>
        <v/>
      </c>
      <c r="B120" s="3334"/>
      <c r="C120" s="3335"/>
      <c r="D120" s="3333">
        <f>H103</f>
        <v>0</v>
      </c>
      <c r="E120" s="3334"/>
      <c r="F120" s="3334"/>
      <c r="G120" s="3334"/>
      <c r="H120" s="3334"/>
      <c r="I120" s="3335"/>
      <c r="J120" s="1622"/>
      <c r="K120" s="1622" t="str">
        <f>IF(D120=0,"故，本次评估不存在"&amp;A120,"故，本次评估"&amp;A120&amp;"为人民币"&amp;D120&amp;"万元整。")</f>
        <v>故，本次评估不存在</v>
      </c>
      <c r="L120" s="1622"/>
      <c r="M120" s="1622"/>
      <c r="N120" s="1622"/>
      <c r="O120" s="1622"/>
      <c r="P120" s="1622"/>
      <c r="Q120" s="1622"/>
      <c r="R120" s="1622"/>
      <c r="S120" s="1622"/>
    </row>
    <row r="121" spans="1:27" ht="18.75" customHeight="1">
      <c r="A121" s="3309" t="s">
        <v>1452</v>
      </c>
      <c r="B121" s="3310"/>
      <c r="C121" s="3311"/>
      <c r="D121" s="3309" t="str">
        <f>IF(D120=0,"零元整",NUMBERSTRING(INT(D120*10000),2)&amp;"元整")</f>
        <v>零元整</v>
      </c>
      <c r="E121" s="3310"/>
      <c r="F121" s="3310"/>
      <c r="G121" s="3310"/>
      <c r="H121" s="3310"/>
      <c r="I121" s="3311"/>
      <c r="AA121" s="684"/>
    </row>
    <row r="122" spans="1:27" ht="18.75" customHeight="1">
      <c r="A122" s="3300" t="str">
        <f>IF(项目基本情况!B9="房地产市场价值","",MID(E107,3,LEN(E107)-2))</f>
        <v/>
      </c>
      <c r="B122" s="3300"/>
      <c r="C122" s="3300"/>
      <c r="D122" s="3333" t="e">
        <f ca="1">H107</f>
        <v>#REF!</v>
      </c>
      <c r="E122" s="3334"/>
      <c r="F122" s="3334"/>
      <c r="G122" s="3334"/>
      <c r="H122" s="3334"/>
      <c r="I122" s="3335"/>
      <c r="AA122" s="684"/>
    </row>
    <row r="123" spans="1:27" ht="18.75" customHeight="1">
      <c r="A123" s="3269" t="s">
        <v>1452</v>
      </c>
      <c r="B123" s="3269"/>
      <c r="C123" s="3269"/>
      <c r="D123" s="3309" t="e">
        <f ca="1">NUMBERSTRING(INT(D122*10000),2)&amp;"元整"</f>
        <v>#REF!</v>
      </c>
      <c r="E123" s="3310"/>
      <c r="F123" s="3310"/>
      <c r="G123" s="3310"/>
      <c r="H123" s="3310"/>
      <c r="I123" s="3311"/>
      <c r="AA123" s="684"/>
    </row>
    <row r="124" spans="1:27" ht="18.75" customHeight="1">
      <c r="A124" s="3300" t="str">
        <f>IF(项目基本情况!B9="房地产市场价值","",MID(E109,3,LEN(E109)-2))</f>
        <v/>
      </c>
      <c r="B124" s="3300"/>
      <c r="C124" s="3300"/>
      <c r="D124" s="3333" t="str">
        <f>H109</f>
        <v>——</v>
      </c>
      <c r="E124" s="3334"/>
      <c r="F124" s="3334"/>
      <c r="G124" s="3334"/>
      <c r="H124" s="3334"/>
      <c r="I124" s="3335"/>
      <c r="AA124" s="684"/>
    </row>
    <row r="125" spans="1:27" ht="18.75" customHeight="1">
      <c r="A125" s="3269" t="s">
        <v>1452</v>
      </c>
      <c r="B125" s="3269"/>
      <c r="C125" s="3269"/>
      <c r="D125" s="3309" t="e">
        <f>NUMBERSTRING(INT(D124*10000),2)&amp;"元整"</f>
        <v>#VALUE!</v>
      </c>
      <c r="E125" s="3310"/>
      <c r="F125" s="3310"/>
      <c r="G125" s="3310"/>
      <c r="H125" s="3310"/>
      <c r="I125" s="3311"/>
      <c r="AA125" s="684"/>
    </row>
    <row r="126" spans="1:27" ht="18.75" customHeight="1">
      <c r="A126" s="3300" t="str">
        <f>IF(项目基本情况!B9="房地产市场价值","",MID(E111,3,LEN(E111)-2))</f>
        <v/>
      </c>
      <c r="B126" s="3300"/>
      <c r="C126" s="3300"/>
      <c r="D126" s="3333" t="str">
        <f>H111</f>
        <v>——</v>
      </c>
      <c r="E126" s="3334"/>
      <c r="F126" s="3334"/>
      <c r="G126" s="3334"/>
      <c r="H126" s="3334"/>
      <c r="I126" s="3335"/>
      <c r="AA126" s="684"/>
    </row>
    <row r="127" spans="1:27" ht="18.75" customHeight="1">
      <c r="A127" s="3269" t="s">
        <v>1452</v>
      </c>
      <c r="B127" s="3269"/>
      <c r="C127" s="3269"/>
      <c r="D127" s="3309" t="e">
        <f>NUMBERSTRING(INT(D126*10000),2)&amp;"元整"</f>
        <v>#VALUE!</v>
      </c>
      <c r="E127" s="3310"/>
      <c r="F127" s="3310"/>
      <c r="G127" s="3310"/>
      <c r="H127" s="3310"/>
      <c r="I127" s="3311"/>
      <c r="AA127" s="684"/>
    </row>
    <row r="128" spans="1:27" ht="21.75" customHeight="1">
      <c r="A128" s="3316" t="s">
        <v>1453</v>
      </c>
      <c r="B128" s="3316"/>
      <c r="C128" s="3316"/>
      <c r="D128" s="3316"/>
      <c r="E128" s="3316"/>
      <c r="F128" s="3316"/>
      <c r="G128" s="3316"/>
      <c r="H128" s="3316"/>
      <c r="I128" s="3316"/>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M9" sqref="M9"/>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3"/>
      <c r="C1" s="190"/>
      <c r="D1" s="190"/>
      <c r="E1" s="190"/>
      <c r="F1" s="190"/>
      <c r="G1" s="1062">
        <f>MATCH(B1,'数据-取费表'!A6:A16,0)+5</f>
        <v>7</v>
      </c>
    </row>
    <row r="2" spans="1:9" s="192" customFormat="1" ht="18" customHeight="1">
      <c r="A2" s="193" t="s">
        <v>1462</v>
      </c>
      <c r="B2" s="194">
        <f ca="1">IF(D2="——",C52,C52-E2)</f>
        <v>19</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4291</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3"/>
    </row>
    <row r="9" spans="1:9" s="206" customFormat="1" ht="13.5" customHeight="1">
      <c r="A9" s="733" t="s">
        <v>355</v>
      </c>
      <c r="B9" s="216" t="s">
        <v>1478</v>
      </c>
      <c r="C9" s="217">
        <f ca="1">ROUND(D9*E9/10000,0)</f>
        <v>1</v>
      </c>
      <c r="D9" s="795">
        <f ca="1">IF(B1="",'数据-汇总表'!E5,IF(INDIRECT("'数据-取费表'!c"&amp;$G$1)="住宅",INDIRECT("'数据-取费表'!k"&amp;$G$1),0))</f>
        <v>44.28</v>
      </c>
      <c r="E9" s="217">
        <f>'数据-取费表'!B27</f>
        <v>160</v>
      </c>
      <c r="F9" s="213"/>
      <c r="G9" s="1714"/>
      <c r="H9" s="1070"/>
      <c r="I9" s="1715"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v>
      </c>
      <c r="D19" s="204">
        <f ca="1">D9+D10</f>
        <v>44.28</v>
      </c>
      <c r="E19" s="203">
        <f>'数据-取费表'!B31</f>
        <v>200</v>
      </c>
      <c r="F19" s="223"/>
      <c r="G19" s="1713"/>
    </row>
    <row r="20" spans="1:7" s="206" customFormat="1" ht="13.5" customHeight="1">
      <c r="A20" s="247" t="s">
        <v>1493</v>
      </c>
      <c r="B20" s="202" t="s">
        <v>1494</v>
      </c>
      <c r="C20" s="224">
        <f ca="1">ROUND((C5+C19)*F20,0)</f>
        <v>0</v>
      </c>
      <c r="D20" s="224"/>
      <c r="E20" s="224"/>
      <c r="F20" s="225">
        <f>'数据-取费表'!B37</f>
        <v>0.03</v>
      </c>
      <c r="G20" s="226" t="s">
        <v>1495</v>
      </c>
    </row>
    <row r="21" spans="1:7" s="206" customFormat="1" ht="13.5" customHeight="1">
      <c r="A21" s="247" t="s">
        <v>1496</v>
      </c>
      <c r="B21" s="202" t="s">
        <v>1497</v>
      </c>
      <c r="C21" s="227">
        <f>F21</f>
        <v>0.03</v>
      </c>
      <c r="D21" s="228" t="s">
        <v>1498</v>
      </c>
      <c r="E21" s="224"/>
      <c r="F21" s="225">
        <f>'数据-取费表'!B38</f>
        <v>0.03</v>
      </c>
      <c r="G21" s="226" t="s">
        <v>1499</v>
      </c>
    </row>
    <row r="22" spans="1:7" s="206" customFormat="1" ht="13.5" customHeight="1">
      <c r="A22" s="247" t="s">
        <v>1500</v>
      </c>
      <c r="B22" s="202" t="s">
        <v>1501</v>
      </c>
      <c r="C22" s="1041">
        <f ca="1">ROUND(SUM(C23:C25),0)</f>
        <v>0</v>
      </c>
      <c r="D22" s="227">
        <f ca="1">C26</f>
        <v>6.9999999999999999E-4</v>
      </c>
      <c r="E22" s="228" t="s">
        <v>1498</v>
      </c>
      <c r="F22" s="229">
        <f ca="1">'数据-取费表'!B40</f>
        <v>4.7500000000000001E-2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6.9999999999999999E-4</v>
      </c>
      <c r="D26" s="230"/>
      <c r="E26" s="233"/>
      <c r="F26" s="231"/>
      <c r="G26" s="235"/>
    </row>
    <row r="27" spans="1:7" s="206" customFormat="1" ht="24.75">
      <c r="A27" s="247" t="s">
        <v>1512</v>
      </c>
      <c r="B27" s="236" t="s">
        <v>1513</v>
      </c>
      <c r="C27" s="237">
        <f ca="1">C28</f>
        <v>0</v>
      </c>
      <c r="D27" s="227">
        <f ca="1">C29</f>
        <v>8.9999999999999993E-3</v>
      </c>
      <c r="E27" s="228" t="s">
        <v>1514</v>
      </c>
      <c r="F27" s="238">
        <f ca="1">IF(B1="",'数据-取费表'!Q16,INDIRECT("'数据-取费表'!q"&amp;$G$1))</f>
        <v>0.3</v>
      </c>
      <c r="G27" s="239" t="s">
        <v>1515</v>
      </c>
    </row>
    <row r="28" spans="1:7" s="206" customFormat="1" ht="13.5" customHeight="1">
      <c r="A28" s="734" t="s">
        <v>346</v>
      </c>
      <c r="B28" s="240" t="s">
        <v>1516</v>
      </c>
      <c r="C28" s="241">
        <f ca="1">ROUND((C5+C19+C20)*F27*'数据-取费表'!B21/'数据-取费表'!B20,0)</f>
        <v>0</v>
      </c>
      <c r="D28" s="227"/>
      <c r="E28" s="228"/>
      <c r="F28" s="238"/>
      <c r="G28" s="239"/>
    </row>
    <row r="29" spans="1:7" s="206" customFormat="1" ht="13.5" customHeight="1">
      <c r="A29" s="734" t="s">
        <v>347</v>
      </c>
      <c r="B29" s="240" t="s">
        <v>1517</v>
      </c>
      <c r="C29" s="230">
        <f ca="1">ROUND(C21*F27*'数据-取费表'!B21/'数据-取费表'!B20,4)</f>
        <v>8.9999999999999993E-3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15</v>
      </c>
      <c r="D34" s="209"/>
      <c r="E34" s="212"/>
      <c r="F34" s="249">
        <f ca="1">IF('数据-取费表'!B24=0,1,IF(B1="",'数据-取费表'!N16,INDIRECT("'数据-取费表'!n"&amp;$G$1)))</f>
        <v>1</v>
      </c>
      <c r="G34" s="211" t="s">
        <v>1526</v>
      </c>
    </row>
    <row r="35" spans="1:7" ht="13.5" customHeight="1">
      <c r="A35" s="734" t="s">
        <v>351</v>
      </c>
      <c r="B35" s="207" t="s">
        <v>1527</v>
      </c>
      <c r="C35" s="212">
        <f ca="1">ROUND(C34*F35,0)</f>
        <v>1</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1</v>
      </c>
      <c r="D36" s="212"/>
      <c r="E36" s="212"/>
      <c r="F36" s="251">
        <f>'数据-取费表'!B34</f>
        <v>0.05</v>
      </c>
      <c r="G36" s="252" t="s">
        <v>1530</v>
      </c>
    </row>
    <row r="37" spans="1:7" s="250" customFormat="1" ht="13.5" customHeight="1">
      <c r="A37" s="734" t="s">
        <v>353</v>
      </c>
      <c r="B37" s="207" t="s">
        <v>1531</v>
      </c>
      <c r="C37" s="241">
        <f ca="1">ROUND(E37*D37*F34/10000,0)</f>
        <v>1</v>
      </c>
      <c r="D37" s="209">
        <f ca="1">D19</f>
        <v>44.28</v>
      </c>
      <c r="E37" s="241">
        <f>'数据-取费表'!B35</f>
        <v>200</v>
      </c>
      <c r="F37" s="251"/>
      <c r="G37" s="253" t="s">
        <v>1532</v>
      </c>
    </row>
    <row r="38" spans="1:7" ht="13.5" customHeight="1">
      <c r="A38" s="734" t="s">
        <v>354</v>
      </c>
      <c r="B38" s="207" t="s">
        <v>1533</v>
      </c>
      <c r="C38" s="212">
        <f ca="1">ROUND(C34*F38,0)</f>
        <v>0</v>
      </c>
      <c r="D38" s="212"/>
      <c r="E38" s="212"/>
      <c r="F38" s="251">
        <f>'数据-取费表'!B36</f>
        <v>1.4999999999999999E-2</v>
      </c>
      <c r="G38" s="211" t="s">
        <v>1528</v>
      </c>
    </row>
    <row r="39" spans="1:7" s="206" customFormat="1" ht="13.5" customHeight="1">
      <c r="A39" s="247" t="s">
        <v>1534</v>
      </c>
      <c r="B39" s="202" t="s">
        <v>1535</v>
      </c>
      <c r="C39" s="224">
        <f ca="1">ROUND(C33*F20,0)</f>
        <v>1</v>
      </c>
      <c r="D39" s="224"/>
      <c r="E39" s="224"/>
      <c r="F39" s="225">
        <f>F20</f>
        <v>0.03</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0</v>
      </c>
      <c r="D41" s="227">
        <f ca="1">C44</f>
        <v>6.9999999999999999E-4</v>
      </c>
      <c r="E41" s="228" t="s">
        <v>1539</v>
      </c>
      <c r="F41" s="229">
        <f ca="1">F22</f>
        <v>4.7500000000000001E-2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0</v>
      </c>
      <c r="D42" s="230"/>
      <c r="E42" s="230"/>
      <c r="F42" s="231"/>
      <c r="G42" s="3349" t="s">
        <v>1544</v>
      </c>
    </row>
    <row r="43" spans="1:7" ht="13.5" customHeight="1">
      <c r="A43" s="734" t="s">
        <v>347</v>
      </c>
      <c r="B43" s="207" t="s">
        <v>1545</v>
      </c>
      <c r="C43" s="230">
        <f ca="1">ROUND(IF('数据-取费表'!B22&lt;=1,C39*F22*'数据-取费表'!B21/2,C39*(POWER((1+F22),'数据-取费表'!B21/2)-1)),0)</f>
        <v>0</v>
      </c>
      <c r="D43" s="230"/>
      <c r="E43" s="230"/>
      <c r="F43" s="231"/>
      <c r="G43" s="3350"/>
    </row>
    <row r="44" spans="1:7" ht="13.5" customHeight="1">
      <c r="A44" s="734" t="s">
        <v>348</v>
      </c>
      <c r="B44" s="207" t="s">
        <v>1546</v>
      </c>
      <c r="C44" s="230">
        <f ca="1">ROUND(IF('数据-取费表'!B22&lt;=1,C40*F22*'数据-取费表'!B21/2,C40*(POWER((1+F22),'数据-取费表'!B21/2)-1)),4)</f>
        <v>6.9999999999999999E-4</v>
      </c>
      <c r="D44" s="230"/>
      <c r="E44" s="230"/>
      <c r="F44" s="231"/>
      <c r="G44" s="3351"/>
    </row>
    <row r="45" spans="1:7" s="206" customFormat="1" ht="13.5" customHeight="1">
      <c r="A45" s="247" t="s">
        <v>1547</v>
      </c>
      <c r="B45" s="236" t="s">
        <v>1513</v>
      </c>
      <c r="C45" s="237">
        <f ca="1">C46</f>
        <v>6</v>
      </c>
      <c r="D45" s="227">
        <f ca="1">C47</f>
        <v>8.9999999999999993E-3</v>
      </c>
      <c r="E45" s="228" t="s">
        <v>1539</v>
      </c>
      <c r="F45" s="238">
        <f ca="1">F27</f>
        <v>0.3</v>
      </c>
      <c r="G45" s="239" t="s">
        <v>1548</v>
      </c>
    </row>
    <row r="46" spans="1:7" s="206" customFormat="1" ht="13.5" customHeight="1">
      <c r="A46" s="734" t="s">
        <v>346</v>
      </c>
      <c r="B46" s="240" t="s">
        <v>1549</v>
      </c>
      <c r="C46" s="241">
        <f ca="1">ROUND((C33+C39)*F27,0)</f>
        <v>6</v>
      </c>
      <c r="D46" s="255"/>
      <c r="E46" s="228"/>
      <c r="F46" s="238"/>
      <c r="G46" s="239"/>
    </row>
    <row r="47" spans="1:7" s="206" customFormat="1" ht="13.5" customHeight="1">
      <c r="A47" s="734" t="s">
        <v>347</v>
      </c>
      <c r="B47" s="240" t="s">
        <v>1550</v>
      </c>
      <c r="C47" s="230">
        <f ca="1">ROUND(C40*F27,4)</f>
        <v>8.9999999999999993E-3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28</v>
      </c>
      <c r="D49" s="224"/>
      <c r="E49" s="224"/>
      <c r="F49" s="256"/>
      <c r="G49" s="226" t="s">
        <v>1554</v>
      </c>
    </row>
    <row r="50" spans="1:7" s="250" customFormat="1" ht="24">
      <c r="A50" s="247" t="s">
        <v>1555</v>
      </c>
      <c r="B50" s="202" t="s">
        <v>1556</v>
      </c>
      <c r="C50" s="224"/>
      <c r="D50" s="224"/>
      <c r="E50" s="224"/>
      <c r="F50" s="256">
        <f>IF('数据-取费表'!B24=0,'数据-取费表'!N16,1)</f>
        <v>0.65</v>
      </c>
      <c r="G50" s="239" t="s">
        <v>1557</v>
      </c>
    </row>
    <row r="51" spans="1:7" ht="16.5" customHeight="1">
      <c r="A51" s="247" t="s">
        <v>1558</v>
      </c>
      <c r="B51" s="202" t="s">
        <v>1559</v>
      </c>
      <c r="C51" s="224">
        <f ca="1">ROUND(C49*F50,0)</f>
        <v>18</v>
      </c>
      <c r="D51" s="224"/>
      <c r="E51" s="224"/>
      <c r="F51" s="256"/>
      <c r="G51" s="226" t="s">
        <v>1560</v>
      </c>
    </row>
    <row r="52" spans="1:7" s="200" customFormat="1" ht="16.5" thickBot="1">
      <c r="A52" s="257" t="s">
        <v>1561</v>
      </c>
      <c r="B52" s="258"/>
      <c r="C52" s="259">
        <f ca="1">C31+C51</f>
        <v>19</v>
      </c>
      <c r="D52" s="258"/>
      <c r="E52" s="258"/>
      <c r="F52" s="258"/>
      <c r="G52" s="260"/>
    </row>
    <row r="55" spans="1:7" ht="15">
      <c r="B55" s="262" t="s">
        <v>1562</v>
      </c>
      <c r="C55" s="263"/>
    </row>
    <row r="56" spans="1:7">
      <c r="B56" s="265" t="s">
        <v>802</v>
      </c>
      <c r="C56" s="267">
        <f ca="1">1-C57</f>
        <v>5.3000000000000047E-2</v>
      </c>
    </row>
    <row r="57" spans="1:7">
      <c r="B57" s="265" t="s">
        <v>803</v>
      </c>
      <c r="C57" s="266">
        <f ca="1">ROUND(C51/C52,3)</f>
        <v>0.94699999999999995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M9" sqref="M9"/>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09"/>
      <c r="D1" s="1108"/>
      <c r="E1" s="2566"/>
      <c r="F1" s="2566"/>
      <c r="G1" s="2447"/>
      <c r="H1" s="2566"/>
      <c r="I1" s="2566"/>
      <c r="J1" s="2566"/>
      <c r="K1" s="2567">
        <f>MATCH(C1,'数据-取费表'!A6:A16,0)+5</f>
        <v>7</v>
      </c>
    </row>
    <row r="2" spans="1:33" ht="18" customHeight="1">
      <c r="A2" s="193" t="s">
        <v>1462</v>
      </c>
      <c r="B2" s="196">
        <f ca="1">C32</f>
        <v>-1</v>
      </c>
      <c r="C2" s="268" t="s">
        <v>1595</v>
      </c>
      <c r="D2" s="268"/>
      <c r="E2" s="2566"/>
      <c r="F2" s="2566"/>
      <c r="G2" s="2566"/>
      <c r="H2" s="2566"/>
      <c r="I2" s="2566"/>
      <c r="J2" s="2566"/>
      <c r="K2" s="2566"/>
    </row>
    <row r="3" spans="1:33" ht="18" customHeight="1" thickBot="1">
      <c r="A3" s="195" t="s">
        <v>1464</v>
      </c>
      <c r="B3" s="196">
        <f ca="1">ROUND(B2*10000/IF(C1="",'数据-汇总表'!E3,INDIRECT("'数据-取费表'!K"&amp;$K$1)),0)</f>
        <v>-226</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44.28</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6"/>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44.28</v>
      </c>
      <c r="E17" s="21">
        <f>'数据-取费表'!B32</f>
        <v>0</v>
      </c>
      <c r="F17" s="758"/>
      <c r="G17" s="123" t="s">
        <v>1623</v>
      </c>
      <c r="H17" s="1106"/>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1</v>
      </c>
      <c r="D18" s="796"/>
      <c r="E18" s="21"/>
      <c r="F18" s="756"/>
      <c r="G18" s="1719"/>
      <c r="H18" s="1105"/>
      <c r="I18" s="1720" t="s">
        <v>1625</v>
      </c>
      <c r="J18" s="759"/>
      <c r="K18" s="760"/>
    </row>
    <row r="19" spans="1:33" s="755" customFormat="1" ht="13.5" customHeight="1">
      <c r="A19" s="752" t="s">
        <v>360</v>
      </c>
      <c r="B19" s="753" t="s">
        <v>1626</v>
      </c>
      <c r="C19" s="21">
        <f ca="1">ROUND(D19*E19/10000,0)</f>
        <v>1</v>
      </c>
      <c r="D19" s="796">
        <f ca="1">IF(C1="",'数据-汇总表'!E5,IF(INDIRECT("'数据-取费表'!c"&amp;$K$1)="住宅",INDIRECT("'数据-取费表'!k"&amp;$K$1),0))</f>
        <v>44.28</v>
      </c>
      <c r="E19" s="21">
        <f>'数据-取费表'!B27</f>
        <v>160</v>
      </c>
      <c r="F19" s="756"/>
      <c r="G19" s="12"/>
      <c r="H19" s="1107"/>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200</v>
      </c>
      <c r="F20" s="756"/>
      <c r="G20" s="12"/>
      <c r="H20" s="761"/>
      <c r="I20" s="761"/>
      <c r="J20" s="761"/>
      <c r="K20" s="762"/>
    </row>
    <row r="21" spans="1:33" s="755" customFormat="1" ht="13.5" customHeight="1">
      <c r="A21" s="744" t="s">
        <v>357</v>
      </c>
      <c r="B21" s="765" t="s">
        <v>1628</v>
      </c>
      <c r="C21" s="766">
        <f ca="1">C16+C17+C18</f>
        <v>1</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0.03</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0.03</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4.7500000000000001E-2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（1）-（3）项×年利率×建设期÷2</v>
      </c>
      <c r="H27" s="759"/>
      <c r="I27" s="759"/>
      <c r="J27" s="759"/>
      <c r="K27" s="760"/>
    </row>
    <row r="28" spans="1:33" s="281" customFormat="1" ht="13.5" customHeight="1">
      <c r="A28" s="744" t="s">
        <v>1641</v>
      </c>
      <c r="B28" s="1722" t="s">
        <v>1642</v>
      </c>
      <c r="C28" s="279">
        <f ca="1">C30</f>
        <v>0</v>
      </c>
      <c r="D28" s="272">
        <f ca="1">C29</f>
        <v>0</v>
      </c>
      <c r="E28" s="274" t="s">
        <v>12</v>
      </c>
      <c r="F28" s="280">
        <f ca="1">IF(C1="",'数据-取费表'!Q16,INDIRECT("'数据-取费表'!q"&amp;$K$1))</f>
        <v>0.3</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M9" sqref="M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c r="D1" s="1270" t="s">
        <v>43</v>
      </c>
      <c r="E1" s="1271" t="s">
        <v>678</v>
      </c>
      <c r="F1" s="999">
        <f ca="1">J53</f>
        <v>0</v>
      </c>
      <c r="G1" s="1285">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t="e">
        <f ca="1">C40+J29+L46</f>
        <v>#DIV/0!</v>
      </c>
      <c r="C2" s="1288" t="s">
        <v>805</v>
      </c>
      <c r="D2" s="1288"/>
      <c r="E2" s="1294"/>
      <c r="F2" s="1295"/>
      <c r="G2" s="2477"/>
      <c r="H2" s="2467"/>
      <c r="I2" s="2467"/>
      <c r="J2" s="2467"/>
      <c r="K2" s="2468"/>
      <c r="L2" s="2467"/>
      <c r="M2" s="2467"/>
    </row>
    <row r="3" spans="1:37" ht="18" customHeight="1" thickBot="1">
      <c r="A3" s="1296" t="s">
        <v>806</v>
      </c>
      <c r="B3" s="1297">
        <f ca="1">IF(ISERROR(B2*10000/F43),0,ROUND(B2*10000/F43,0))</f>
        <v>0</v>
      </c>
      <c r="C3" s="1288" t="s">
        <v>807</v>
      </c>
      <c r="D3" s="1288"/>
      <c r="E3" s="1294"/>
      <c r="F3" s="1295"/>
      <c r="G3" s="2477"/>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7">
        <f ca="1">C6+C10+C12</f>
        <v>0</v>
      </c>
      <c r="D5" s="1272" t="s">
        <v>693</v>
      </c>
      <c r="E5" s="1008"/>
      <c r="F5" s="1009"/>
      <c r="G5" s="1291"/>
      <c r="H5" s="291">
        <v>1</v>
      </c>
      <c r="I5" s="292" t="s">
        <v>692</v>
      </c>
      <c r="J5" s="1007">
        <f ca="1">J6+J10+J12</f>
        <v>0</v>
      </c>
      <c r="K5" s="1272" t="s">
        <v>693</v>
      </c>
      <c r="L5" s="1008"/>
      <c r="M5" s="1009"/>
    </row>
    <row r="6" spans="1:37" ht="18" customHeight="1">
      <c r="A6" s="1006" t="s">
        <v>398</v>
      </c>
      <c r="B6" s="3354" t="s">
        <v>694</v>
      </c>
      <c r="C6" s="1011">
        <f ca="1">ROUND(F6*F8*F7*(1-F9)/10000,0)</f>
        <v>0</v>
      </c>
      <c r="D6" s="147" t="s">
        <v>2109</v>
      </c>
      <c r="E6" s="294" t="s">
        <v>696</v>
      </c>
      <c r="F6" s="295">
        <f ca="1">INDIRECT("'数据-取费表'!u"&amp;$G$1)</f>
        <v>0</v>
      </c>
      <c r="G6" s="1291"/>
      <c r="H6" s="1006" t="s">
        <v>398</v>
      </c>
      <c r="I6" s="3354" t="s">
        <v>694</v>
      </c>
      <c r="J6" s="293">
        <f ca="1">ROUND(M6*M8*M7*(1-M9)/10000,0)</f>
        <v>0</v>
      </c>
      <c r="K6" s="147" t="s">
        <v>2108</v>
      </c>
      <c r="L6" s="294" t="s">
        <v>696</v>
      </c>
      <c r="M6" s="295">
        <f ca="1">INDIRECT("'数据-取费表'!z"&amp;$G$1)</f>
        <v>0</v>
      </c>
    </row>
    <row r="7" spans="1:37" ht="18" customHeight="1">
      <c r="A7" s="1010"/>
      <c r="B7" s="3355"/>
      <c r="C7" s="1012"/>
      <c r="D7" s="299"/>
      <c r="E7" s="1013" t="s">
        <v>697</v>
      </c>
      <c r="F7" s="295">
        <f ca="1">IF(INDIRECT("'数据-取费表'!ah"&amp;$G$1)="",INDIRECT("'数据-取费表'!k"&amp;$G$1),INDIRECT("'数据-取费表'!ah"&amp;$G$1))</f>
        <v>0</v>
      </c>
      <c r="G7" s="1291"/>
      <c r="H7" s="296"/>
      <c r="I7" s="3355"/>
      <c r="J7" s="298"/>
      <c r="K7" s="299"/>
      <c r="L7" s="294" t="s">
        <v>697</v>
      </c>
      <c r="M7" s="295">
        <f ca="1">F7</f>
        <v>0</v>
      </c>
    </row>
    <row r="8" spans="1:37" ht="18" customHeight="1">
      <c r="A8" s="296"/>
      <c r="B8" s="3355"/>
      <c r="C8" s="298"/>
      <c r="D8" s="299"/>
      <c r="E8" s="294" t="s">
        <v>698</v>
      </c>
      <c r="F8" s="295">
        <f ca="1">INDIRECT("'数据-取费表'!ai"&amp;$G$1)</f>
        <v>0</v>
      </c>
      <c r="G8" s="1291"/>
      <c r="H8" s="296"/>
      <c r="I8" s="3355"/>
      <c r="J8" s="298"/>
      <c r="K8" s="299"/>
      <c r="L8" s="294" t="s">
        <v>698</v>
      </c>
      <c r="M8" s="295">
        <f ca="1">INDIRECT("'数据-取费表'!ai"&amp;$G$1)</f>
        <v>0</v>
      </c>
    </row>
    <row r="9" spans="1:37" ht="18" customHeight="1">
      <c r="A9" s="296"/>
      <c r="B9" s="3356"/>
      <c r="C9" s="298"/>
      <c r="D9" s="299"/>
      <c r="E9" s="294" t="s">
        <v>699</v>
      </c>
      <c r="F9" s="304">
        <f ca="1">INDIRECT("'数据-取费表'!w"&amp;$G$1)</f>
        <v>0</v>
      </c>
      <c r="G9" s="1291"/>
      <c r="H9" s="296"/>
      <c r="I9" s="3356"/>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2117</v>
      </c>
      <c r="E10" s="305" t="s">
        <v>701</v>
      </c>
      <c r="F10" s="1053"/>
      <c r="G10" s="1291"/>
      <c r="H10" s="1006" t="s">
        <v>402</v>
      </c>
      <c r="I10" s="1273" t="s">
        <v>700</v>
      </c>
      <c r="J10" s="293">
        <f ca="1">ROUND(IF(M10="押一",J6/12*M11,IF(M10="押二",J6/12*2*M11,IF(M10="押三",J6/12*3*M11,J11*M11))),0)</f>
        <v>0</v>
      </c>
      <c r="K10" s="150" t="s">
        <v>2116</v>
      </c>
      <c r="L10" s="305" t="s">
        <v>701</v>
      </c>
      <c r="M10" s="1053"/>
    </row>
    <row r="11" spans="1:37" ht="18" customHeight="1">
      <c r="A11" s="300"/>
      <c r="B11" s="1274" t="s">
        <v>679</v>
      </c>
      <c r="C11" s="905"/>
      <c r="D11" s="1275"/>
      <c r="E11" s="305" t="s">
        <v>702</v>
      </c>
      <c r="F11" s="306">
        <f ca="1">'数据-取费表'!B39</f>
        <v>1.4999999999999999E-2</v>
      </c>
      <c r="G11" s="1291"/>
      <c r="H11" s="1014"/>
      <c r="I11" s="1274" t="s">
        <v>679</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1"/>
      <c r="H13" s="1016">
        <v>2</v>
      </c>
      <c r="I13" s="1017" t="s">
        <v>704</v>
      </c>
      <c r="J13" s="1005">
        <f ca="1">ROUND(J14*J15,0)</f>
        <v>0</v>
      </c>
      <c r="K13" s="1024" t="s">
        <v>705</v>
      </c>
      <c r="L13" s="1298"/>
      <c r="M13" s="1299"/>
    </row>
    <row r="14" spans="1:37" ht="18" customHeight="1">
      <c r="A14" s="928" t="s">
        <v>397</v>
      </c>
      <c r="B14" s="294" t="s">
        <v>707</v>
      </c>
      <c r="C14" s="310">
        <f ca="1">INDIRECT("'数据-取费表'!m"&amp;$G$1)+INDIRECT("'数据-取费表'!t"&amp;$G$1)</f>
        <v>0</v>
      </c>
      <c r="D14" s="1256" t="s">
        <v>708</v>
      </c>
      <c r="E14" s="1254"/>
      <c r="F14" s="311"/>
      <c r="G14" s="1291"/>
      <c r="H14" s="928" t="s">
        <v>398</v>
      </c>
      <c r="I14" s="294" t="s">
        <v>709</v>
      </c>
      <c r="J14" s="21">
        <f ca="1">C29</f>
        <v>0</v>
      </c>
      <c r="K14" s="12"/>
      <c r="L14" s="759"/>
      <c r="M14" s="760"/>
    </row>
    <row r="15" spans="1:37" s="1303" customFormat="1" ht="18" customHeight="1" thickBot="1">
      <c r="A15" s="928" t="s">
        <v>399</v>
      </c>
      <c r="B15" s="294" t="s">
        <v>710</v>
      </c>
      <c r="C15" s="21">
        <f ca="1">ROUND(C14*F15,0)</f>
        <v>0</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1"/>
      <c r="H16" s="1016" t="s">
        <v>393</v>
      </c>
      <c r="I16" s="1017" t="s">
        <v>714</v>
      </c>
      <c r="J16" s="302">
        <f ca="1">ROUND(J17+J22+J23+J24,0)</f>
        <v>0</v>
      </c>
      <c r="K16" s="1024" t="s">
        <v>715</v>
      </c>
      <c r="L16" s="1025"/>
      <c r="M16" s="1009"/>
    </row>
    <row r="17" spans="1:37" s="1303" customFormat="1" ht="18" customHeight="1">
      <c r="A17" s="928" t="s">
        <v>681</v>
      </c>
      <c r="B17" s="294" t="s">
        <v>716</v>
      </c>
      <c r="C17" s="21">
        <f ca="1">ROUND(F17*(F43+INDIRECT("'数据-取费表'!S"&amp;$G$1))/10000,0)</f>
        <v>0</v>
      </c>
      <c r="D17" s="294" t="s">
        <v>717</v>
      </c>
      <c r="E17" s="294" t="s">
        <v>718</v>
      </c>
      <c r="F17" s="23">
        <f>'数据-取费表'!B35</f>
        <v>200</v>
      </c>
      <c r="G17" s="1302"/>
      <c r="H17" s="928" t="s">
        <v>398</v>
      </c>
      <c r="I17" s="294" t="s">
        <v>719</v>
      </c>
      <c r="J17" s="2138">
        <f ca="1">ROUND(IF(AND(项目基本情况!B11="自然人",项目基本情况!B10="北京市"),J6*M17/(1+'数据-取费表'!C42),J18+J19+J20),2)</f>
        <v>0</v>
      </c>
      <c r="K17" s="1256" t="s">
        <v>720</v>
      </c>
      <c r="L17" s="1255" t="s">
        <v>721</v>
      </c>
      <c r="M17" s="2137">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0</v>
      </c>
      <c r="D18" s="294" t="s">
        <v>711</v>
      </c>
      <c r="E18" s="294" t="s">
        <v>712</v>
      </c>
      <c r="F18" s="314">
        <f>'数据-取费表'!B36</f>
        <v>1.4999999999999999E-2</v>
      </c>
      <c r="G18" s="1302"/>
      <c r="H18" s="928"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0</v>
      </c>
      <c r="D19" s="123" t="s">
        <v>726</v>
      </c>
      <c r="E19" s="1268"/>
      <c r="F19" s="23"/>
      <c r="G19" s="1291"/>
      <c r="H19" s="928" t="s">
        <v>399</v>
      </c>
      <c r="I19" s="294" t="s">
        <v>727</v>
      </c>
      <c r="J19" s="21">
        <f ca="1">IF(K19="按租金收入计税",ROUND(J6*M19/(1+'数据-取费表'!C42),2),ROUND(C29*M19*0.7,2))</f>
        <v>0</v>
      </c>
      <c r="K19" s="1277" t="s">
        <v>3339</v>
      </c>
      <c r="L19" s="294" t="s">
        <v>712</v>
      </c>
      <c r="M19" s="314">
        <f>IF(K19="按租金收入计税",'数据-取费表'!B51,'数据-取费表'!B50)</f>
        <v>0.12</v>
      </c>
    </row>
    <row r="20" spans="1:37" s="1303" customFormat="1" ht="18" customHeight="1">
      <c r="A20" s="928" t="s">
        <v>402</v>
      </c>
      <c r="B20" s="294" t="s">
        <v>728</v>
      </c>
      <c r="C20" s="21">
        <f ca="1">ROUND(C19*F20,0)</f>
        <v>0</v>
      </c>
      <c r="D20" s="315" t="s">
        <v>729</v>
      </c>
      <c r="E20" s="294" t="s">
        <v>712</v>
      </c>
      <c r="F20" s="314">
        <f>'数据-取费表'!B37</f>
        <v>0.03</v>
      </c>
      <c r="G20" s="1302"/>
      <c r="H20" s="928" t="s">
        <v>680</v>
      </c>
      <c r="I20" s="147" t="s">
        <v>730</v>
      </c>
      <c r="J20" s="22">
        <f ca="1">ROUND(M20*M21/10000,2)</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15</v>
      </c>
      <c r="D21" s="315" t="s">
        <v>734</v>
      </c>
      <c r="E21" s="294" t="s">
        <v>735</v>
      </c>
      <c r="F21" s="314">
        <f>'数据-取费表'!B38</f>
        <v>0.03</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ROUND(J14*M22,2)</f>
        <v>0</v>
      </c>
      <c r="K22" s="1255" t="s">
        <v>739</v>
      </c>
      <c r="L22" s="294" t="s">
        <v>712</v>
      </c>
      <c r="M22" s="320">
        <f ca="1">INDIRECT("'数据-取费表'!Ak"&amp;$G$1)</f>
        <v>0</v>
      </c>
    </row>
    <row r="23" spans="1:37" s="1303"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ROUND(J13*M23,2)</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销售费用×利率×(建设周期÷2)</v>
      </c>
      <c r="E24" s="294" t="s">
        <v>747</v>
      </c>
      <c r="F24" s="322">
        <f ca="1">'数据-取费表'!B40</f>
        <v>4.7500000000000001E-2</v>
      </c>
      <c r="G24" s="1302"/>
      <c r="H24" s="1026" t="s">
        <v>684</v>
      </c>
      <c r="I24" s="1027" t="s">
        <v>728</v>
      </c>
      <c r="J24" s="1028">
        <f ca="1">ROUND(J5*M24,2)</f>
        <v>0</v>
      </c>
      <c r="K24" s="1029" t="s">
        <v>748</v>
      </c>
      <c r="L24" s="1027" t="s">
        <v>744</v>
      </c>
      <c r="M24" s="1023">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8" t="s">
        <v>749</v>
      </c>
      <c r="B25" s="294" t="s">
        <v>750</v>
      </c>
      <c r="C25" s="21"/>
      <c r="D25" s="123" t="s">
        <v>751</v>
      </c>
      <c r="E25" s="1268"/>
      <c r="F25" s="23"/>
      <c r="G25" s="1291"/>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0</v>
      </c>
      <c r="D29" s="1029"/>
      <c r="E29" s="1027"/>
      <c r="F29" s="1030"/>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0</v>
      </c>
      <c r="D30" s="1024" t="s">
        <v>715</v>
      </c>
      <c r="E30" s="1025"/>
      <c r="F30" s="1009"/>
      <c r="G30" s="1291"/>
      <c r="H30" s="2469"/>
      <c r="I30" s="1304"/>
      <c r="J30" s="1305"/>
      <c r="K30" s="121"/>
      <c r="L30" s="2470"/>
      <c r="M30" s="2471"/>
    </row>
    <row r="31" spans="1:37" ht="18" customHeight="1">
      <c r="A31" s="928" t="s">
        <v>398</v>
      </c>
      <c r="B31" s="294" t="s">
        <v>719</v>
      </c>
      <c r="C31" s="2138">
        <f ca="1">ROUND(IF(AND(项目基本情况!B11="自然人",项目基本情况!B10="北京市"),C6*F31/(1+'数据-取费表'!C42),C32+C33+C34),2)</f>
        <v>0</v>
      </c>
      <c r="D31" s="1256" t="s">
        <v>720</v>
      </c>
      <c r="E31" s="1255" t="s">
        <v>770</v>
      </c>
      <c r="F31" s="2137">
        <f ca="1">IF(项目基本情况!B11="企业","——",IF(M47="住宅",IF(F6*F7*F8/12/(1+'数据-取费表'!F30)&gt;100000,4%,2.5%),IF(F6*F7*F8/12/(1+'数据-取费表'!F30)&gt;100000,12%,7%)))</f>
        <v>7.0000000000000007E-2</v>
      </c>
      <c r="G31" s="1291"/>
      <c r="H31" s="2568" t="s">
        <v>2310</v>
      </c>
      <c r="I31" s="1304"/>
      <c r="J31" s="1305"/>
      <c r="K31" s="121"/>
      <c r="L31" s="2470"/>
      <c r="M31" s="2471"/>
    </row>
    <row r="32" spans="1:37" ht="18" customHeight="1">
      <c r="A32" s="928" t="s">
        <v>397</v>
      </c>
      <c r="B32" s="294" t="s">
        <v>723</v>
      </c>
      <c r="C32" s="21" t="str">
        <f>IF(项目基本情况!B11="自然人","——",ROUND(C6*F32/(1+'数据-取费表'!C42),2))</f>
        <v>——</v>
      </c>
      <c r="D32" s="1255" t="s">
        <v>724</v>
      </c>
      <c r="E32" s="294" t="s">
        <v>712</v>
      </c>
      <c r="F32" s="322">
        <f>'数据-取费表'!B41</f>
        <v>5.6000000000000001E-2</v>
      </c>
      <c r="G32" s="1291"/>
      <c r="H32" s="2469"/>
      <c r="I32" s="1304"/>
      <c r="J32" s="1305"/>
      <c r="K32" s="121"/>
      <c r="L32" s="2470"/>
      <c r="M32" s="2471"/>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7" t="s">
        <v>3339</v>
      </c>
      <c r="E33" s="294" t="s">
        <v>712</v>
      </c>
      <c r="F33" s="314">
        <f>IF(D33="按票据","——",IF(D33="按租金收入计税",'数据-取费表'!B51,'数据-取费表'!B50))</f>
        <v>0.12</v>
      </c>
      <c r="G33" s="1291"/>
      <c r="H33" s="2472"/>
      <c r="I33" s="1304"/>
      <c r="J33" s="1305"/>
      <c r="K33" s="2473"/>
      <c r="L33" s="2472"/>
      <c r="M33" s="2472"/>
    </row>
    <row r="34" spans="1:18" ht="18" customHeight="1">
      <c r="A34" s="1006" t="s">
        <v>680</v>
      </c>
      <c r="B34" s="147" t="s">
        <v>730</v>
      </c>
      <c r="C34" s="22" t="str">
        <f>IF(项目基本情况!B11="自然人","——",ROUND(F34*F35/10000,2))</f>
        <v>——</v>
      </c>
      <c r="D34" s="316" t="s">
        <v>731</v>
      </c>
      <c r="E34" s="294" t="s">
        <v>732</v>
      </c>
      <c r="F34" s="317">
        <f>'数据-取费表'!B52</f>
        <v>0</v>
      </c>
      <c r="G34" s="1291"/>
      <c r="H34" s="2469"/>
      <c r="I34" s="1304"/>
      <c r="J34" s="1305"/>
      <c r="K34" s="2474"/>
      <c r="L34" s="2475"/>
      <c r="M34" s="2475"/>
    </row>
    <row r="35" spans="1:18" ht="18" customHeight="1">
      <c r="A35" s="1040"/>
      <c r="B35" s="1038"/>
      <c r="C35" s="26"/>
      <c r="D35" s="319"/>
      <c r="E35" s="294" t="s">
        <v>736</v>
      </c>
      <c r="F35" s="295">
        <f ca="1">INDIRECT("'数据-取费表'!r"&amp;$G$1)</f>
        <v>0</v>
      </c>
      <c r="G35" s="1291"/>
      <c r="H35" s="2469"/>
      <c r="I35" s="1304"/>
      <c r="J35" s="1305"/>
      <c r="K35" s="2473"/>
      <c r="L35" s="2472"/>
      <c r="M35" s="2472"/>
    </row>
    <row r="36" spans="1:18" ht="18" customHeight="1">
      <c r="A36" s="1039" t="s">
        <v>402</v>
      </c>
      <c r="B36" s="294" t="s">
        <v>738</v>
      </c>
      <c r="C36" s="21">
        <f ca="1">ROUND(C29*F36,2)</f>
        <v>0</v>
      </c>
      <c r="D36" s="1255" t="s">
        <v>771</v>
      </c>
      <c r="E36" s="294" t="s">
        <v>712</v>
      </c>
      <c r="F36" s="320">
        <f ca="1">INDIRECT("'数据-取费表'!Ak"&amp;$G$1)</f>
        <v>0</v>
      </c>
      <c r="G36" s="1291"/>
      <c r="H36" s="2472"/>
      <c r="I36" s="1304"/>
      <c r="J36" s="1305"/>
      <c r="K36" s="2329"/>
      <c r="L36" s="2472"/>
      <c r="M36" s="2472"/>
    </row>
    <row r="37" spans="1:18" ht="18" customHeight="1">
      <c r="A37" s="928" t="s">
        <v>437</v>
      </c>
      <c r="B37" s="294" t="s">
        <v>742</v>
      </c>
      <c r="C37" s="21">
        <f ca="1">ROUND(C13*F37,2)</f>
        <v>0</v>
      </c>
      <c r="D37" s="1255" t="s">
        <v>743</v>
      </c>
      <c r="E37" s="294" t="s">
        <v>744</v>
      </c>
      <c r="F37" s="321">
        <f ca="1">INDIRECT("'数据-取费表'!Al"&amp;$G$1)</f>
        <v>0</v>
      </c>
      <c r="G37" s="1291"/>
      <c r="H37" s="2472"/>
      <c r="I37" s="1304"/>
      <c r="J37" s="1305"/>
      <c r="K37" s="2329"/>
      <c r="L37" s="2472"/>
      <c r="M37" s="2472"/>
    </row>
    <row r="38" spans="1:18" ht="18" customHeight="1" thickBot="1">
      <c r="A38" s="1026" t="s">
        <v>684</v>
      </c>
      <c r="B38" s="1027" t="s">
        <v>728</v>
      </c>
      <c r="C38" s="1028">
        <f ca="1">ROUND(C5*F38,2)</f>
        <v>0</v>
      </c>
      <c r="D38" s="1029" t="s">
        <v>748</v>
      </c>
      <c r="E38" s="1027" t="s">
        <v>744</v>
      </c>
      <c r="F38" s="1023">
        <f ca="1">INDIRECT("'数据-取费表'!Am"&amp;$G$1)</f>
        <v>0</v>
      </c>
      <c r="G38" s="1291"/>
      <c r="H38" s="2472"/>
      <c r="I38" s="1304"/>
      <c r="J38" s="1305"/>
      <c r="K38" s="2470"/>
      <c r="L38" s="2472"/>
      <c r="M38" s="2472"/>
    </row>
    <row r="39" spans="1:18" ht="24.6" customHeight="1" thickTop="1">
      <c r="A39" s="1016" t="s">
        <v>394</v>
      </c>
      <c r="B39" s="1031" t="s">
        <v>772</v>
      </c>
      <c r="C39" s="302">
        <f ca="1">C5-C30</f>
        <v>0</v>
      </c>
      <c r="D39" s="1032" t="s">
        <v>773</v>
      </c>
      <c r="E39" s="1033"/>
      <c r="F39" s="1034"/>
      <c r="G39" s="1291"/>
      <c r="H39" s="2472"/>
      <c r="I39" s="1304"/>
      <c r="J39" s="1305"/>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70"/>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29"/>
      <c r="L41" s="121"/>
      <c r="M41" s="121"/>
    </row>
    <row r="42" spans="1:18" ht="18" customHeight="1">
      <c r="A42" s="300"/>
      <c r="B42" s="301"/>
      <c r="C42" s="302"/>
      <c r="D42" s="319"/>
      <c r="E42" s="294" t="s">
        <v>766</v>
      </c>
      <c r="F42" s="304">
        <f ca="1">INDIRECT("'数据-取费表'!v"&amp;$G$1)</f>
        <v>0</v>
      </c>
      <c r="G42" s="1291"/>
      <c r="H42" s="121"/>
      <c r="I42" s="1304"/>
      <c r="J42" s="1305"/>
      <c r="K42" s="2329"/>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6" t="s">
        <v>808</v>
      </c>
      <c r="P45" s="1365"/>
      <c r="Q45" s="1365"/>
      <c r="R45" s="1365"/>
    </row>
    <row r="46" spans="1:18" s="1291" customFormat="1" ht="13.5" thickBot="1">
      <c r="A46" s="1310" t="s">
        <v>809</v>
      </c>
      <c r="C46" s="1311" t="e">
        <f ca="1">C68-C40</f>
        <v>#DIV/0!</v>
      </c>
      <c r="D46" s="1312" t="str">
        <f>C2</f>
        <v>万元</v>
      </c>
      <c r="E46" s="1306"/>
      <c r="F46" s="1306"/>
      <c r="I46" s="1313" t="s">
        <v>810</v>
      </c>
      <c r="J46" s="1314"/>
      <c r="K46" s="1315"/>
      <c r="L46" s="1316" t="e">
        <f ca="1">IF(M47="住宅",0,IF(L48&gt;J51,L60,J60))</f>
        <v>#DIV/0!</v>
      </c>
      <c r="O46" s="1317" t="s">
        <v>811</v>
      </c>
      <c r="P46" s="1318" t="s">
        <v>812</v>
      </c>
      <c r="Q46" s="1319" t="s">
        <v>813</v>
      </c>
      <c r="R46" s="1319" t="s">
        <v>814</v>
      </c>
    </row>
    <row r="47" spans="1:18" s="1291" customFormat="1" ht="13.5" thickBot="1">
      <c r="A47" s="892" t="s">
        <v>687</v>
      </c>
      <c r="B47" s="924" t="s">
        <v>688</v>
      </c>
      <c r="C47" s="1054" t="s">
        <v>689</v>
      </c>
      <c r="D47" s="924" t="s">
        <v>690</v>
      </c>
      <c r="E47" s="995" t="s">
        <v>691</v>
      </c>
      <c r="F47" s="996"/>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7" t="s">
        <v>438</v>
      </c>
      <c r="B48" s="292" t="s">
        <v>692</v>
      </c>
      <c r="C48" s="1267">
        <f ca="1">C49+C53+C55</f>
        <v>0</v>
      </c>
      <c r="D48" s="1049"/>
      <c r="E48" s="1050"/>
      <c r="F48" s="908"/>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1" t="s">
        <v>439</v>
      </c>
      <c r="B49" s="1278" t="s">
        <v>779</v>
      </c>
      <c r="C49" s="1051">
        <f ca="1">ROUND(F49*F51*F50*(1-F52)/10000,0)</f>
        <v>0</v>
      </c>
      <c r="D49" s="992" t="s">
        <v>2110</v>
      </c>
      <c r="E49" s="1279" t="s">
        <v>780</v>
      </c>
      <c r="F49" s="997"/>
      <c r="H49" s="682"/>
      <c r="I49" s="1327" t="s">
        <v>823</v>
      </c>
      <c r="J49" s="1331"/>
      <c r="K49" s="1329" t="s">
        <v>824</v>
      </c>
      <c r="L49" s="1332"/>
      <c r="O49" s="1333" t="s">
        <v>405</v>
      </c>
      <c r="P49" s="1325" t="s">
        <v>825</v>
      </c>
      <c r="Q49" s="1326">
        <f ca="1">C29</f>
        <v>0</v>
      </c>
      <c r="R49" s="1326" t="s">
        <v>818</v>
      </c>
    </row>
    <row r="50" spans="1:18" s="1291" customFormat="1" ht="13.5" thickBot="1">
      <c r="A50" s="922"/>
      <c r="B50" s="925"/>
      <c r="C50" s="1055"/>
      <c r="D50" s="899"/>
      <c r="E50" s="993" t="s">
        <v>697</v>
      </c>
      <c r="F50" s="994">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3"/>
      <c r="B51" s="925"/>
      <c r="C51" s="926"/>
      <c r="D51" s="899"/>
      <c r="E51" s="927"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3"/>
      <c r="B52" s="925"/>
      <c r="C52" s="926"/>
      <c r="D52" s="899"/>
      <c r="E52" s="927" t="s">
        <v>699</v>
      </c>
      <c r="F52" s="991"/>
      <c r="I52" s="1341" t="s">
        <v>832</v>
      </c>
      <c r="J52" s="1342"/>
      <c r="K52" s="1341" t="s">
        <v>833</v>
      </c>
      <c r="L52" s="1342"/>
      <c r="O52" s="1333" t="s">
        <v>408</v>
      </c>
      <c r="P52" s="1325" t="s">
        <v>834</v>
      </c>
      <c r="Q52" s="1326">
        <f ca="1">J53</f>
        <v>0</v>
      </c>
      <c r="R52" s="1326" t="s">
        <v>835</v>
      </c>
    </row>
    <row r="53" spans="1:18" s="1291" customFormat="1" ht="24.75" thickBot="1">
      <c r="A53" s="1079" t="s">
        <v>440</v>
      </c>
      <c r="B53" s="1280" t="s">
        <v>700</v>
      </c>
      <c r="C53" s="308">
        <f ca="1">ROUND(IF(F53="押一",C49/12*F11,IF(F53="押二",C49/12*2*F11,IF(F53="押三",C49/12*3*F11,C54*F11))),0)</f>
        <v>0</v>
      </c>
      <c r="D53" s="150" t="s">
        <v>2116</v>
      </c>
      <c r="E53" s="305" t="s">
        <v>701</v>
      </c>
      <c r="F53" s="1053"/>
      <c r="I53" s="1343" t="s">
        <v>836</v>
      </c>
      <c r="J53" s="2004">
        <f ca="1">IF(M47="住宅",IF(D1="——",MAX(J51,L48),MAX(J51,L48-'数据-取费表'!B24)),IF(D1="——",MIN(J51,L48),MIN(J51,L48-'数据-取费表'!B24)))</f>
        <v>0</v>
      </c>
      <c r="K53" s="3352" t="s">
        <v>837</v>
      </c>
      <c r="L53" s="3353"/>
      <c r="O53" s="1324" t="s">
        <v>409</v>
      </c>
      <c r="P53" s="1325" t="s">
        <v>838</v>
      </c>
      <c r="Q53" s="1326" t="e">
        <f ca="1">Q47+Q48</f>
        <v>#DIV/0!</v>
      </c>
      <c r="R53" s="1326" t="s">
        <v>410</v>
      </c>
    </row>
    <row r="54" spans="1:18" s="1291" customFormat="1" ht="13.5" thickBot="1">
      <c r="A54" s="1080"/>
      <c r="B54" s="1274" t="s">
        <v>679</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25.5" thickTop="1" thickBot="1">
      <c r="A56" s="903">
        <v>2</v>
      </c>
      <c r="B56" s="904" t="s">
        <v>704</v>
      </c>
      <c r="C56" s="224">
        <f ca="1">C13</f>
        <v>0</v>
      </c>
      <c r="D56" s="1351"/>
      <c r="E56" s="1352"/>
      <c r="F56" s="1344"/>
      <c r="I56" s="1353" t="s">
        <v>842</v>
      </c>
      <c r="J56" s="1354"/>
      <c r="K56" s="1327" t="s">
        <v>843</v>
      </c>
      <c r="L56" s="1330">
        <f ca="1">IF(L48&lt;J51,"——",L48-J53)</f>
        <v>0</v>
      </c>
      <c r="O56" s="1324" t="s">
        <v>403</v>
      </c>
      <c r="P56" s="1325" t="s">
        <v>817</v>
      </c>
      <c r="Q56" s="1326" t="e">
        <f ca="1">C40+J29</f>
        <v>#DIV/0!</v>
      </c>
      <c r="R56" s="1326" t="s">
        <v>818</v>
      </c>
    </row>
    <row r="57" spans="1:18" s="1291" customFormat="1" ht="24.75" thickBot="1">
      <c r="A57" s="1355"/>
      <c r="B57" s="896" t="s">
        <v>767</v>
      </c>
      <c r="C57" s="230">
        <f ca="1">C29</f>
        <v>0</v>
      </c>
      <c r="D57" s="1356"/>
      <c r="E57" s="1357"/>
      <c r="F57" s="1358"/>
      <c r="I57" s="1359" t="s">
        <v>844</v>
      </c>
      <c r="J57" s="1360">
        <f ca="1">IF(OR(M47="住宅",J51&lt;L48,J56="是"),"——",J51-L48)</f>
        <v>0</v>
      </c>
      <c r="K57" s="1327" t="s">
        <v>845</v>
      </c>
      <c r="L57" s="1330">
        <f ca="1">IF(L48&lt;J51,"——",IF(L55="比较法",L49,IF(L55="基准地价",L50,L51)))</f>
        <v>0</v>
      </c>
      <c r="O57" s="1324" t="s">
        <v>404</v>
      </c>
      <c r="P57" s="1325" t="s">
        <v>846</v>
      </c>
      <c r="Q57" s="1326" t="e">
        <f ca="1">L60</f>
        <v>#DIV/0!</v>
      </c>
      <c r="R57" s="1326" t="s">
        <v>847</v>
      </c>
    </row>
    <row r="58" spans="1:18" s="1291" customFormat="1" ht="24.75" thickBot="1">
      <c r="A58" s="307" t="s">
        <v>393</v>
      </c>
      <c r="B58" s="904" t="s">
        <v>714</v>
      </c>
      <c r="C58" s="308">
        <f ca="1">ROUND(C59+C64+C65+C66,0)</f>
        <v>0</v>
      </c>
      <c r="D58" s="906" t="s">
        <v>715</v>
      </c>
      <c r="E58" s="907"/>
      <c r="F58" s="908"/>
      <c r="I58" s="1359" t="s">
        <v>848</v>
      </c>
      <c r="J58" s="1361" t="e">
        <f ca="1">IF(J55&lt;0.4,0.4,J55)</f>
        <v>#DIV/0!</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8">
        <f ca="1">ROUND(IF(AND(项目基本情况!B11="自然人",项目基本情况!B10="北京市"),C49*F59/(1+'数据-取费表'!C42),C60+C61+C62),0)</f>
        <v>0</v>
      </c>
      <c r="D59" s="909" t="s">
        <v>720</v>
      </c>
      <c r="E59" s="910" t="s">
        <v>721</v>
      </c>
      <c r="F59" s="2137">
        <f ca="1">IF(项目基本情况!B11="企业","——",IF('数据-取费表'!B10="住宅",IF(F49*F50*F51/12/(1+'数据-取费表'!F30)&gt;100000,4%,2.5%),IF(F49*F50*F51/12/(1+'数据-取费表'!F30)&gt;100000,12%,7%)))</f>
        <v>7.0000000000000007E-2</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IF(项目基本情况!B11="自然人","——",ROUND(C48*F60/(1+'数据-取费表'!C42),2))</f>
        <v>——</v>
      </c>
      <c r="D60" s="910" t="s">
        <v>724</v>
      </c>
      <c r="E60" s="896" t="s">
        <v>712</v>
      </c>
      <c r="F60" s="322">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IF(项目基本情况!B11="自然人","——",IF(D61="按租金收入计税",ROUND(C49*F61/(1+'数据-取费表'!C42),2),IF(D61="按房产原值计税",ROUND(C57*F61*0.7,2),INDIRECT("'数据-取费表'!Aj"&amp;$G$1))))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IF(项目基本情况!B11="自然人","——",ROUND(F62*F63/10000,2))</f>
        <v>——</v>
      </c>
      <c r="D62" s="911" t="s">
        <v>786</v>
      </c>
      <c r="E62" s="896" t="s">
        <v>787</v>
      </c>
      <c r="F62" s="317">
        <f t="shared" si="0"/>
        <v>0</v>
      </c>
      <c r="I62" s="1366" t="s">
        <v>858</v>
      </c>
      <c r="J62" s="610" t="s">
        <v>859</v>
      </c>
      <c r="K62" s="610" t="s">
        <v>860</v>
      </c>
      <c r="L62" s="610" t="s">
        <v>861</v>
      </c>
      <c r="M62" s="1367" t="s">
        <v>862</v>
      </c>
      <c r="O62" s="1324" t="s">
        <v>409</v>
      </c>
      <c r="P62" s="1325" t="s">
        <v>863</v>
      </c>
      <c r="Q62" s="1326" t="e">
        <f ca="1">Q56+Q57</f>
        <v>#DIV/0!</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ROUND(C57*F64,2)</f>
        <v>0</v>
      </c>
      <c r="D64" s="910" t="s">
        <v>791</v>
      </c>
      <c r="E64" s="896"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ROUND(C56*F65,2)</f>
        <v>0</v>
      </c>
      <c r="D65" s="910" t="s">
        <v>743</v>
      </c>
      <c r="E65" s="896"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5" thickBot="1">
      <c r="A66" s="928" t="s">
        <v>793</v>
      </c>
      <c r="B66" s="896" t="s">
        <v>728</v>
      </c>
      <c r="C66" s="21">
        <f ca="1">ROUND(C48*F66,2)</f>
        <v>0</v>
      </c>
      <c r="D66" s="910" t="s">
        <v>794</v>
      </c>
      <c r="E66" s="896" t="s">
        <v>712</v>
      </c>
      <c r="F66" s="304">
        <f t="shared" ca="1" si="0"/>
        <v>0</v>
      </c>
      <c r="O66" s="1324" t="s">
        <v>404</v>
      </c>
      <c r="P66" s="1325" t="s">
        <v>846</v>
      </c>
      <c r="Q66" s="1326" t="e">
        <f ca="1">L60</f>
        <v>#DIV/0!</v>
      </c>
      <c r="R66" s="1326" t="s">
        <v>869</v>
      </c>
    </row>
    <row r="67" spans="1:18" s="1291" customFormat="1" ht="16.5" thickBot="1">
      <c r="A67" s="903" t="s">
        <v>394</v>
      </c>
      <c r="B67" s="913" t="s">
        <v>752</v>
      </c>
      <c r="C67" s="308">
        <f ca="1">C48-C58</f>
        <v>0</v>
      </c>
      <c r="D67" s="909" t="s">
        <v>753</v>
      </c>
      <c r="E67" s="914"/>
      <c r="F67" s="915"/>
      <c r="O67" s="1333" t="s">
        <v>405</v>
      </c>
      <c r="P67" s="1325" t="s">
        <v>850</v>
      </c>
      <c r="Q67" s="1369">
        <f ca="1">L51</f>
        <v>0</v>
      </c>
      <c r="R67" s="1326" t="s">
        <v>870</v>
      </c>
    </row>
    <row r="68" spans="1:18" s="1291" customFormat="1" ht="16.5" thickBot="1">
      <c r="A68" s="893" t="s">
        <v>395</v>
      </c>
      <c r="B68" s="894" t="s">
        <v>774</v>
      </c>
      <c r="C68" s="293" t="e">
        <f ca="1">ROUND(C67*(1-((1+F70)/(1+F68))^F69)/(F68-F70),0)</f>
        <v>#DIV/0!</v>
      </c>
      <c r="D68" s="911" t="s">
        <v>758</v>
      </c>
      <c r="E68" s="896" t="s">
        <v>759</v>
      </c>
      <c r="F68" s="304">
        <f ca="1">F40</f>
        <v>0</v>
      </c>
      <c r="O68" s="1333" t="s">
        <v>406</v>
      </c>
      <c r="P68" s="1370" t="s">
        <v>871</v>
      </c>
      <c r="Q68" s="1326">
        <f ca="1">ROUND(Q69-Q70*Q71,0)</f>
        <v>0</v>
      </c>
      <c r="R68" s="1326" t="s">
        <v>414</v>
      </c>
    </row>
    <row r="69" spans="1:18" s="1291" customFormat="1" ht="13.5" thickBot="1">
      <c r="A69" s="897"/>
      <c r="B69" s="898"/>
      <c r="C69" s="298"/>
      <c r="D69" s="916" t="s">
        <v>762</v>
      </c>
      <c r="E69" s="896" t="s">
        <v>763</v>
      </c>
      <c r="F69" s="324">
        <f ca="1">F41</f>
        <v>0</v>
      </c>
      <c r="O69" s="1333" t="s">
        <v>411</v>
      </c>
      <c r="P69" s="1370" t="s">
        <v>872</v>
      </c>
      <c r="Q69" s="1326">
        <f ca="1">C39</f>
        <v>0</v>
      </c>
      <c r="R69" s="1326" t="s">
        <v>818</v>
      </c>
    </row>
    <row r="70" spans="1:18" s="1291" customFormat="1" ht="13.5" thickBot="1">
      <c r="A70" s="900"/>
      <c r="B70" s="901"/>
      <c r="C70" s="302"/>
      <c r="D70" s="912"/>
      <c r="E70" s="896" t="s">
        <v>766</v>
      </c>
      <c r="F70" s="991"/>
      <c r="O70" s="1333" t="s">
        <v>412</v>
      </c>
      <c r="P70" s="1370" t="s">
        <v>873</v>
      </c>
      <c r="Q70" s="1326">
        <f ca="1">C13</f>
        <v>0</v>
      </c>
      <c r="R70" s="1326" t="s">
        <v>818</v>
      </c>
    </row>
    <row r="71" spans="1:18" s="1291" customFormat="1" ht="13.5" thickBot="1">
      <c r="A71" s="917" t="s">
        <v>396</v>
      </c>
      <c r="B71" s="918" t="s">
        <v>776</v>
      </c>
      <c r="C71" s="327" t="e">
        <f ca="1">ROUND(C68*10000/F71,0)</f>
        <v>#DIV/0!</v>
      </c>
      <c r="D71" s="919" t="s">
        <v>777</v>
      </c>
      <c r="E71" s="920" t="s">
        <v>778</v>
      </c>
      <c r="F71" s="330">
        <f ca="1">F43</f>
        <v>0</v>
      </c>
      <c r="O71" s="1333" t="s">
        <v>413</v>
      </c>
      <c r="P71" s="1370" t="s">
        <v>874</v>
      </c>
      <c r="Q71" s="1336">
        <f ca="1">C76</f>
        <v>0</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28" zoomScale="90" zoomScaleNormal="70" zoomScaleSheetLayoutView="90" workbookViewId="0">
      <selection activeCell="F41" sqref="F4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t="s">
        <v>3388</v>
      </c>
      <c r="D1" s="1270" t="s">
        <v>43</v>
      </c>
      <c r="E1" s="1271" t="s">
        <v>678</v>
      </c>
      <c r="F1" s="999">
        <f ca="1">J53</f>
        <v>57.13</v>
      </c>
      <c r="G1" s="1285">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2">
        <f ca="1">ROUND(D2/10000,4)</f>
        <v>224.42509999999999</v>
      </c>
      <c r="C2" s="1288" t="s">
        <v>879</v>
      </c>
      <c r="D2" s="1374">
        <f ca="1">C40+J29+L46</f>
        <v>2244251</v>
      </c>
      <c r="E2" s="1294" t="s">
        <v>880</v>
      </c>
      <c r="F2" s="1295"/>
      <c r="G2" s="2477"/>
      <c r="H2" s="2467"/>
      <c r="I2" s="2467"/>
      <c r="J2" s="2467"/>
      <c r="K2" s="2468"/>
      <c r="L2" s="2467"/>
      <c r="M2" s="2467"/>
    </row>
    <row r="3" spans="1:37" ht="18" customHeight="1" thickBot="1">
      <c r="A3" s="1296" t="s">
        <v>881</v>
      </c>
      <c r="B3" s="1297">
        <f ca="1">IF(ISERROR(D2/F43),0,ROUND(D2/F43,0))</f>
        <v>50683</v>
      </c>
      <c r="C3" s="1288" t="s">
        <v>882</v>
      </c>
      <c r="D3" s="1288"/>
      <c r="E3" s="1294"/>
      <c r="F3" s="1295"/>
      <c r="G3" s="2477"/>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7">
        <f ca="1">C6+C10+C12</f>
        <v>74193</v>
      </c>
      <c r="D5" s="1272" t="s">
        <v>889</v>
      </c>
      <c r="E5" s="1008"/>
      <c r="F5" s="1009"/>
      <c r="G5" s="1291"/>
      <c r="H5" s="291">
        <v>1</v>
      </c>
      <c r="I5" s="292" t="s">
        <v>888</v>
      </c>
      <c r="J5" s="1007">
        <f ca="1">J6+J10+J12</f>
        <v>0</v>
      </c>
      <c r="K5" s="1272" t="s">
        <v>889</v>
      </c>
      <c r="L5" s="1008"/>
      <c r="M5" s="1009"/>
    </row>
    <row r="6" spans="1:37" ht="18" customHeight="1">
      <c r="A6" s="1006" t="s">
        <v>398</v>
      </c>
      <c r="B6" s="3354" t="s">
        <v>694</v>
      </c>
      <c r="C6" s="1011">
        <f ca="1">ROUND(F6*F8*F7*(1-F9),0)</f>
        <v>74100</v>
      </c>
      <c r="D6" s="147" t="s">
        <v>2106</v>
      </c>
      <c r="E6" s="294" t="s">
        <v>696</v>
      </c>
      <c r="F6" s="295">
        <f ca="1">INDIRECT("'数据-取费表'!u"&amp;$G$1)</f>
        <v>6500</v>
      </c>
      <c r="G6" s="1291"/>
      <c r="H6" s="1006" t="s">
        <v>398</v>
      </c>
      <c r="I6" s="3354" t="s">
        <v>694</v>
      </c>
      <c r="J6" s="293">
        <f ca="1">ROUND(M6*M8*M7*(1-M9),0)</f>
        <v>0</v>
      </c>
      <c r="K6" s="1283" t="s">
        <v>2107</v>
      </c>
      <c r="L6" s="294" t="s">
        <v>696</v>
      </c>
      <c r="M6" s="295">
        <f ca="1">INDIRECT("'数据-取费表'!z"&amp;$G$1)</f>
        <v>0</v>
      </c>
    </row>
    <row r="7" spans="1:37" ht="18" customHeight="1">
      <c r="A7" s="1010"/>
      <c r="B7" s="3355"/>
      <c r="C7" s="1012"/>
      <c r="D7" s="299"/>
      <c r="E7" s="1013" t="s">
        <v>697</v>
      </c>
      <c r="F7" s="295">
        <f ca="1">IF(INDIRECT("'数据-取费表'!ah"&amp;$G$1)="",INDIRECT("'数据-取费表'!k"&amp;$G$1),INDIRECT("'数据-取费表'!ah"&amp;$G$1))</f>
        <v>1</v>
      </c>
      <c r="G7" s="1291"/>
      <c r="H7" s="296"/>
      <c r="I7" s="3355"/>
      <c r="J7" s="298"/>
      <c r="K7" s="299"/>
      <c r="L7" s="294" t="s">
        <v>697</v>
      </c>
      <c r="M7" s="295">
        <f ca="1">F7</f>
        <v>1</v>
      </c>
    </row>
    <row r="8" spans="1:37" ht="18" customHeight="1">
      <c r="A8" s="296"/>
      <c r="B8" s="3355"/>
      <c r="C8" s="298"/>
      <c r="D8" s="299"/>
      <c r="E8" s="294" t="s">
        <v>698</v>
      </c>
      <c r="F8" s="295">
        <f ca="1">INDIRECT("'数据-取费表'!ai"&amp;$G$1)</f>
        <v>12</v>
      </c>
      <c r="G8" s="1291"/>
      <c r="H8" s="296"/>
      <c r="I8" s="3355"/>
      <c r="J8" s="298"/>
      <c r="K8" s="299"/>
      <c r="L8" s="294" t="s">
        <v>698</v>
      </c>
      <c r="M8" s="295">
        <f ca="1">INDIRECT("'数据-取费表'!ai"&amp;$G$1)</f>
        <v>12</v>
      </c>
    </row>
    <row r="9" spans="1:37" ht="18" customHeight="1">
      <c r="A9" s="296"/>
      <c r="B9" s="3356"/>
      <c r="C9" s="298"/>
      <c r="D9" s="299"/>
      <c r="E9" s="294" t="s">
        <v>699</v>
      </c>
      <c r="F9" s="304">
        <f ca="1">INDIRECT("'数据-取费表'!w"&amp;$G$1)</f>
        <v>0.05</v>
      </c>
      <c r="G9" s="1291"/>
      <c r="H9" s="296"/>
      <c r="I9" s="3356"/>
      <c r="J9" s="298"/>
      <c r="K9" s="299"/>
      <c r="L9" s="305" t="s">
        <v>699</v>
      </c>
      <c r="M9" s="306">
        <f ca="1">INDIRECT("'数据-取费表'!ab"&amp;$G$1)</f>
        <v>0</v>
      </c>
    </row>
    <row r="10" spans="1:37" ht="18" customHeight="1">
      <c r="A10" s="1006" t="s">
        <v>402</v>
      </c>
      <c r="B10" s="1273" t="s">
        <v>700</v>
      </c>
      <c r="C10" s="308">
        <f ca="1">ROUND(IF(F10="押一",C6/12*F11,IF(F10="押二",C6/12*2*F11,IF(F10="押三",C6/12*3*F11,C11*F11))),0)</f>
        <v>93</v>
      </c>
      <c r="D10" s="150" t="s">
        <v>2116</v>
      </c>
      <c r="E10" s="305" t="s">
        <v>701</v>
      </c>
      <c r="F10" s="1053" t="s">
        <v>3441</v>
      </c>
      <c r="G10" s="1291"/>
      <c r="H10" s="1006" t="s">
        <v>402</v>
      </c>
      <c r="I10" s="1273" t="s">
        <v>700</v>
      </c>
      <c r="J10" s="293">
        <f ca="1">ROUND(IF(M10="押一",J6/12*M11,IF(M10="押二",J6/12*2*M11,IF(M10="押三",J6/12*3*M11,J11*M11))),0)</f>
        <v>0</v>
      </c>
      <c r="K10" s="1284" t="s">
        <v>2118</v>
      </c>
      <c r="L10" s="305" t="s">
        <v>701</v>
      </c>
      <c r="M10" s="1053"/>
    </row>
    <row r="11" spans="1:37" ht="18" customHeight="1">
      <c r="A11" s="300"/>
      <c r="B11" s="1274" t="s">
        <v>890</v>
      </c>
      <c r="C11" s="905"/>
      <c r="D11" s="299"/>
      <c r="E11" s="305" t="s">
        <v>702</v>
      </c>
      <c r="F11" s="306">
        <f ca="1">'数据-取费表'!B39</f>
        <v>1.4999999999999999E-2</v>
      </c>
      <c r="G11" s="1291"/>
      <c r="H11" s="1014"/>
      <c r="I11" s="1274" t="s">
        <v>891</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177503</v>
      </c>
      <c r="D13" s="1018" t="s">
        <v>705</v>
      </c>
      <c r="E13" s="1018" t="s">
        <v>706</v>
      </c>
      <c r="F13" s="1019">
        <f ca="1">INDIRECT("'数据-取费表'!y"&amp;$G$1)</f>
        <v>0.65</v>
      </c>
      <c r="G13" s="1291"/>
      <c r="H13" s="1016">
        <v>2</v>
      </c>
      <c r="I13" s="1017" t="s">
        <v>704</v>
      </c>
      <c r="J13" s="1005">
        <f ca="1">ROUND(J14*J15,0)</f>
        <v>0</v>
      </c>
      <c r="K13" s="1024" t="s">
        <v>705</v>
      </c>
      <c r="L13" s="1298"/>
      <c r="M13" s="1299"/>
    </row>
    <row r="14" spans="1:37" ht="18" customHeight="1">
      <c r="A14" s="928" t="s">
        <v>397</v>
      </c>
      <c r="B14" s="294" t="s">
        <v>707</v>
      </c>
      <c r="C14" s="310">
        <f ca="1">ROUND(INDIRECT("'数据-取费表'!l"&amp;$G$1)*F43+'数据-取费表'!L14*INDIRECT("'数据-取费表'!S"&amp;$G$1),0)</f>
        <v>154980</v>
      </c>
      <c r="D14" s="1256" t="s">
        <v>708</v>
      </c>
      <c r="E14" s="1254"/>
      <c r="F14" s="311"/>
      <c r="G14" s="1291"/>
      <c r="H14" s="928" t="s">
        <v>398</v>
      </c>
      <c r="I14" s="294" t="s">
        <v>709</v>
      </c>
      <c r="J14" s="21">
        <f ca="1">C29</f>
        <v>273082</v>
      </c>
      <c r="K14" s="12"/>
      <c r="L14" s="759"/>
      <c r="M14" s="760"/>
    </row>
    <row r="15" spans="1:37" s="1303" customFormat="1" ht="18" customHeight="1" thickBot="1">
      <c r="A15" s="928" t="s">
        <v>399</v>
      </c>
      <c r="B15" s="294" t="s">
        <v>710</v>
      </c>
      <c r="C15" s="21">
        <f ca="1">ROUND(C14*F15,0)</f>
        <v>7749</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ROUND(INDIRECT("'数据-取费表'!l"&amp;$G$1)*F43*F16,0)</f>
        <v>7749</v>
      </c>
      <c r="D16" s="294" t="s">
        <v>711</v>
      </c>
      <c r="E16" s="294" t="s">
        <v>712</v>
      </c>
      <c r="F16" s="314">
        <f ca="1">IF(INDIRECT("'数据-取费表'!c"&amp;$G$1)="住宅",'数据-取费表'!B34,0)</f>
        <v>0.05</v>
      </c>
      <c r="G16" s="1291"/>
      <c r="H16" s="1016" t="s">
        <v>393</v>
      </c>
      <c r="I16" s="1017" t="s">
        <v>714</v>
      </c>
      <c r="J16" s="302">
        <f ca="1">ROUND(J17+J22+J23+J24,0)</f>
        <v>4096</v>
      </c>
      <c r="K16" s="1024" t="s">
        <v>715</v>
      </c>
      <c r="L16" s="1025"/>
      <c r="M16" s="1009"/>
    </row>
    <row r="17" spans="1:37" s="1303" customFormat="1" ht="18" customHeight="1">
      <c r="A17" s="928" t="s">
        <v>681</v>
      </c>
      <c r="B17" s="294" t="s">
        <v>716</v>
      </c>
      <c r="C17" s="21">
        <f ca="1">ROUND(F17*(F43+INDIRECT("'数据-取费表'!S"&amp;$G$1)),0)</f>
        <v>8856</v>
      </c>
      <c r="D17" s="294" t="s">
        <v>717</v>
      </c>
      <c r="E17" s="294" t="s">
        <v>718</v>
      </c>
      <c r="F17" s="23">
        <f>'数据-取费表'!B35</f>
        <v>200</v>
      </c>
      <c r="G17" s="1302"/>
      <c r="H17" s="928" t="s">
        <v>398</v>
      </c>
      <c r="I17" s="294" t="s">
        <v>719</v>
      </c>
      <c r="J17" s="2138">
        <f ca="1">ROUND(IF(AND(项目基本情况!B11="自然人",项目基本情况!B10="北京市"),J6*M17/(1+'数据-取费表'!C42),J18+J19+J20),0)</f>
        <v>0</v>
      </c>
      <c r="K17" s="1256" t="s">
        <v>720</v>
      </c>
      <c r="L17" s="1255" t="s">
        <v>721</v>
      </c>
      <c r="M17" s="2137">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2325</v>
      </c>
      <c r="D18" s="294" t="s">
        <v>711</v>
      </c>
      <c r="E18" s="294" t="s">
        <v>712</v>
      </c>
      <c r="F18" s="314">
        <f>'数据-取费表'!B36</f>
        <v>1.4999999999999999E-2</v>
      </c>
      <c r="G18" s="1302"/>
      <c r="H18" s="928"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181659</v>
      </c>
      <c r="D19" s="123" t="s">
        <v>726</v>
      </c>
      <c r="E19" s="1268"/>
      <c r="F19" s="23"/>
      <c r="G19" s="1291"/>
      <c r="H19" s="928" t="s">
        <v>399</v>
      </c>
      <c r="I19" s="294" t="s">
        <v>727</v>
      </c>
      <c r="J19" s="21">
        <f ca="1">IF(K19="按租金收入计税",ROUND(J6*M19/(1+'数据-取费表'!C42),0),ROUND(C29*M19*0.7,0))</f>
        <v>0</v>
      </c>
      <c r="K19" s="1277" t="s">
        <v>3339</v>
      </c>
      <c r="L19" s="294" t="s">
        <v>712</v>
      </c>
      <c r="M19" s="314">
        <f>IF(K19="按租金收入计税",'数据-取费表'!B51,'数据-取费表'!B50)</f>
        <v>0.12</v>
      </c>
    </row>
    <row r="20" spans="1:37" s="1303" customFormat="1" ht="18" customHeight="1">
      <c r="A20" s="928" t="s">
        <v>402</v>
      </c>
      <c r="B20" s="294" t="s">
        <v>728</v>
      </c>
      <c r="C20" s="21">
        <f ca="1">ROUND(C19*F20,0)</f>
        <v>5450</v>
      </c>
      <c r="D20" s="315" t="s">
        <v>729</v>
      </c>
      <c r="E20" s="294" t="s">
        <v>712</v>
      </c>
      <c r="F20" s="314">
        <f>'数据-取费表'!B37</f>
        <v>0.03</v>
      </c>
      <c r="G20" s="1302"/>
      <c r="H20" s="928" t="s">
        <v>680</v>
      </c>
      <c r="I20" s="147" t="s">
        <v>730</v>
      </c>
      <c r="J20" s="22">
        <f ca="1">ROUND(M20*M21,0)</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0</v>
      </c>
      <c r="D21" s="315" t="s">
        <v>734</v>
      </c>
      <c r="E21" s="294" t="s">
        <v>735</v>
      </c>
      <c r="F21" s="314">
        <f>'数据-取费表'!B38</f>
        <v>0.03</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ROUND(J14*M22,0)</f>
        <v>4096</v>
      </c>
      <c r="K22" s="1255" t="s">
        <v>739</v>
      </c>
      <c r="L22" s="294" t="s">
        <v>712</v>
      </c>
      <c r="M22" s="320">
        <f ca="1">INDIRECT("'数据-取费表'!Ak"&amp;$G$1)</f>
        <v>1.4999999999999999E-2</v>
      </c>
    </row>
    <row r="23" spans="1:37" s="1303" customFormat="1" ht="18" customHeight="1">
      <c r="A23" s="928" t="s">
        <v>397</v>
      </c>
      <c r="B23" s="294" t="s">
        <v>740</v>
      </c>
      <c r="C23" s="21">
        <f ca="1">IF('数据-取费表'!B22&lt;=1,ROUND(C19*F24*F23/2,0)+ROUND(C20*F24*F23/2,0),ROUND(C19*(POWER((1+F24),F23/2)-1),0)+ROUND(C20*(POWER((1+F24),F23/2)-1),0))</f>
        <v>4443</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ROUND(J13*M23,0)</f>
        <v>0</v>
      </c>
      <c r="K23" s="1255" t="s">
        <v>743</v>
      </c>
      <c r="L23" s="294" t="s">
        <v>744</v>
      </c>
      <c r="M23" s="321">
        <f ca="1">INDIRECT("'数据-取费表'!Al"&amp;$G$1)</f>
        <v>1.5E-3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销售费用×利率×(建设周期÷2)</v>
      </c>
      <c r="E24" s="294" t="s">
        <v>747</v>
      </c>
      <c r="F24" s="322">
        <f ca="1">'数据-取费表'!B40</f>
        <v>4.7500000000000001E-2</v>
      </c>
      <c r="G24" s="1302"/>
      <c r="H24" s="1026" t="s">
        <v>684</v>
      </c>
      <c r="I24" s="1027" t="s">
        <v>728</v>
      </c>
      <c r="J24" s="1028">
        <f ca="1">ROUND(J5*M24,0)</f>
        <v>0</v>
      </c>
      <c r="K24" s="1029" t="s">
        <v>748</v>
      </c>
      <c r="L24" s="1027" t="s">
        <v>744</v>
      </c>
      <c r="M24" s="1023">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8" t="s">
        <v>749</v>
      </c>
      <c r="B25" s="294" t="s">
        <v>750</v>
      </c>
      <c r="C25" s="21"/>
      <c r="D25" s="123" t="s">
        <v>751</v>
      </c>
      <c r="E25" s="1268"/>
      <c r="F25" s="23"/>
      <c r="G25" s="1291"/>
      <c r="H25" s="1016" t="s">
        <v>394</v>
      </c>
      <c r="I25" s="1031" t="s">
        <v>752</v>
      </c>
      <c r="J25" s="302">
        <f ca="1">J5-J16</f>
        <v>-4096</v>
      </c>
      <c r="K25" s="1032" t="s">
        <v>753</v>
      </c>
      <c r="L25" s="1033"/>
      <c r="M25" s="1034"/>
    </row>
    <row r="26" spans="1:37" ht="18" customHeight="1">
      <c r="A26" s="928" t="s">
        <v>397</v>
      </c>
      <c r="B26" s="294" t="s">
        <v>754</v>
      </c>
      <c r="C26" s="21">
        <f ca="1">ROUND((C19+C20)*F26,0)</f>
        <v>56133</v>
      </c>
      <c r="D26" s="315" t="s">
        <v>755</v>
      </c>
      <c r="E26" s="305" t="s">
        <v>756</v>
      </c>
      <c r="F26" s="304">
        <f ca="1">INDIRECT("'数据-取费表'!q"&amp;$G$1)</f>
        <v>0.3</v>
      </c>
      <c r="G26" s="1291"/>
      <c r="H26" s="291" t="s">
        <v>395</v>
      </c>
      <c r="I26" s="292" t="s">
        <v>757</v>
      </c>
      <c r="J26" s="293">
        <f ca="1">IF(J5&lt;&gt;0,ROUND(J25*(1-((1+M28)/(1+M26))^M27)/(M26-M28),0),0)</f>
        <v>0</v>
      </c>
      <c r="K26" s="316" t="s">
        <v>758</v>
      </c>
      <c r="L26" s="294" t="s">
        <v>759</v>
      </c>
      <c r="M26" s="304">
        <f ca="1">INDIRECT("'数据-取费表'!I"&amp;$G$1)</f>
        <v>0.05</v>
      </c>
    </row>
    <row r="27" spans="1:37" ht="18" customHeight="1">
      <c r="A27" s="928" t="s">
        <v>399</v>
      </c>
      <c r="B27" s="294" t="s">
        <v>760</v>
      </c>
      <c r="C27" s="21">
        <f ca="1">ROUND(F21*F26,4)</f>
        <v>8.9999999999999993E-3</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273082</v>
      </c>
      <c r="D29" s="1029"/>
      <c r="E29" s="1027"/>
      <c r="F29" s="1030"/>
      <c r="G29" s="1302"/>
      <c r="H29" s="325" t="s">
        <v>396</v>
      </c>
      <c r="I29" s="326" t="s">
        <v>768</v>
      </c>
      <c r="J29" s="327">
        <f ca="1">ROUND(J26/(1+F40)^F41,0)</f>
        <v>0</v>
      </c>
      <c r="K29" s="328" t="s">
        <v>769</v>
      </c>
      <c r="L29" s="329"/>
      <c r="M29" s="330">
        <f ca="1">INDIRECT("'数据-取费表'!k"&amp;$G$1)</f>
        <v>44.28</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6868</v>
      </c>
      <c r="D30" s="1024" t="s">
        <v>715</v>
      </c>
      <c r="E30" s="1025"/>
      <c r="F30" s="1009"/>
      <c r="G30" s="1291"/>
      <c r="H30" s="2469"/>
      <c r="I30" s="1304"/>
      <c r="J30" s="1305"/>
      <c r="K30" s="121"/>
      <c r="L30" s="2470"/>
      <c r="M30" s="2471"/>
    </row>
    <row r="31" spans="1:37" ht="18" customHeight="1">
      <c r="A31" s="928" t="s">
        <v>398</v>
      </c>
      <c r="B31" s="294" t="s">
        <v>719</v>
      </c>
      <c r="C31" s="2138">
        <f ca="1">ROUND(IF(AND(项目基本情况!B11="自然人",项目基本情况!B10="北京市"),C6*F31/(1+'数据-取费表'!C42),C32+C33+C34),0)</f>
        <v>1764</v>
      </c>
      <c r="D31" s="1256" t="s">
        <v>720</v>
      </c>
      <c r="E31" s="1255" t="s">
        <v>770</v>
      </c>
      <c r="F31" s="2137">
        <f ca="1">IF(项目基本情况!B11="企业","——",IF(M47="住宅",IF(F6*F7*F8/12/(1+'数据-取费表'!F30)&gt;100000,4%,2.5%),IF(F6*F7*F8/12/(1+'数据-取费表'!F30)&gt;100000,12%,7%)))</f>
        <v>2.5000000000000001E-2</v>
      </c>
      <c r="G31" s="1291"/>
      <c r="H31" s="2568" t="s">
        <v>2310</v>
      </c>
      <c r="I31" s="1304"/>
      <c r="J31" s="1305"/>
      <c r="K31" s="121"/>
      <c r="L31" s="2470"/>
      <c r="M31" s="2471"/>
    </row>
    <row r="32" spans="1:37" ht="18" customHeight="1">
      <c r="A32" s="928" t="s">
        <v>397</v>
      </c>
      <c r="B32" s="294" t="s">
        <v>723</v>
      </c>
      <c r="C32" s="21" t="str">
        <f>IF(项目基本情况!B11="自然人","——",ROUND(C6*F32/(1+'数据-取费表'!C42),0))</f>
        <v>——</v>
      </c>
      <c r="D32" s="1255" t="s">
        <v>724</v>
      </c>
      <c r="E32" s="294" t="s">
        <v>712</v>
      </c>
      <c r="F32" s="322">
        <f>'数据-取费表'!B41</f>
        <v>5.6000000000000001E-2</v>
      </c>
      <c r="G32" s="1291"/>
      <c r="H32" s="2469"/>
      <c r="I32" s="1304"/>
      <c r="J32" s="1305"/>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7" t="s">
        <v>3339</v>
      </c>
      <c r="E33" s="294" t="s">
        <v>712</v>
      </c>
      <c r="F33" s="314">
        <f>IF(D33="按票据","——",IF(D33="按租金收入计税",'数据-取费表'!B51,'数据-取费表'!B50))</f>
        <v>0.12</v>
      </c>
      <c r="G33" s="1291"/>
      <c r="H33" s="2472"/>
      <c r="I33" s="1304"/>
      <c r="J33" s="1305"/>
      <c r="K33" s="2473"/>
      <c r="L33" s="2472"/>
      <c r="M33" s="2472"/>
    </row>
    <row r="34" spans="1:18" ht="18" customHeight="1">
      <c r="A34" s="1006" t="s">
        <v>680</v>
      </c>
      <c r="B34" s="147" t="s">
        <v>730</v>
      </c>
      <c r="C34" s="22" t="str">
        <f>IF(项目基本情况!B11="自然人","——",ROUND(F34*F35,0))</f>
        <v>——</v>
      </c>
      <c r="D34" s="316" t="s">
        <v>731</v>
      </c>
      <c r="E34" s="294" t="s">
        <v>732</v>
      </c>
      <c r="F34" s="317">
        <f>'数据-取费表'!B52</f>
        <v>0</v>
      </c>
      <c r="G34" s="1291"/>
      <c r="H34" s="2469"/>
      <c r="I34" s="1304"/>
      <c r="J34" s="1305"/>
      <c r="K34" s="2474"/>
      <c r="L34" s="2475"/>
      <c r="M34" s="2475"/>
    </row>
    <row r="35" spans="1:18" ht="18" customHeight="1">
      <c r="A35" s="1040"/>
      <c r="B35" s="1038"/>
      <c r="C35" s="26"/>
      <c r="D35" s="319"/>
      <c r="E35" s="294" t="s">
        <v>736</v>
      </c>
      <c r="F35" s="295">
        <f ca="1">INDIRECT("'数据-取费表'!r"&amp;$G$1)</f>
        <v>0</v>
      </c>
      <c r="G35" s="1291"/>
      <c r="H35" s="2469"/>
      <c r="I35" s="1304"/>
      <c r="J35" s="1305"/>
      <c r="K35" s="2473"/>
      <c r="L35" s="2472"/>
      <c r="M35" s="2472"/>
    </row>
    <row r="36" spans="1:18" ht="18" customHeight="1">
      <c r="A36" s="1039" t="s">
        <v>402</v>
      </c>
      <c r="B36" s="294" t="s">
        <v>738</v>
      </c>
      <c r="C36" s="21">
        <f ca="1">ROUND(C29*F36,0)</f>
        <v>4096</v>
      </c>
      <c r="D36" s="1255" t="s">
        <v>771</v>
      </c>
      <c r="E36" s="294" t="s">
        <v>712</v>
      </c>
      <c r="F36" s="320">
        <f ca="1">INDIRECT("'数据-取费表'!Ak"&amp;$G$1)</f>
        <v>1.4999999999999999E-2</v>
      </c>
      <c r="G36" s="1291"/>
      <c r="H36" s="2472"/>
      <c r="I36" s="1304"/>
      <c r="J36" s="1305"/>
      <c r="K36" s="2329"/>
      <c r="L36" s="2472"/>
      <c r="M36" s="2472"/>
    </row>
    <row r="37" spans="1:18" ht="18" customHeight="1">
      <c r="A37" s="928" t="s">
        <v>437</v>
      </c>
      <c r="B37" s="294" t="s">
        <v>742</v>
      </c>
      <c r="C37" s="21">
        <f ca="1">ROUND(C13*F37,0)</f>
        <v>266</v>
      </c>
      <c r="D37" s="1255" t="s">
        <v>743</v>
      </c>
      <c r="E37" s="294" t="s">
        <v>744</v>
      </c>
      <c r="F37" s="321">
        <f ca="1">INDIRECT("'数据-取费表'!Al"&amp;$G$1)</f>
        <v>1.5E-3</v>
      </c>
      <c r="G37" s="1291"/>
      <c r="H37" s="2472"/>
      <c r="I37" s="1304"/>
      <c r="J37" s="1305"/>
      <c r="K37" s="2329"/>
      <c r="L37" s="2472"/>
      <c r="M37" s="2472"/>
    </row>
    <row r="38" spans="1:18" ht="18" customHeight="1" thickBot="1">
      <c r="A38" s="1026" t="s">
        <v>684</v>
      </c>
      <c r="B38" s="1027" t="s">
        <v>728</v>
      </c>
      <c r="C38" s="1028">
        <f ca="1">ROUND(C5*F38,0)</f>
        <v>742</v>
      </c>
      <c r="D38" s="1029" t="s">
        <v>748</v>
      </c>
      <c r="E38" s="1027" t="s">
        <v>744</v>
      </c>
      <c r="F38" s="1023">
        <f ca="1">INDIRECT("'数据-取费表'!Am"&amp;$G$1)</f>
        <v>0.01</v>
      </c>
      <c r="G38" s="1291"/>
      <c r="H38" s="2472"/>
      <c r="I38" s="1304"/>
      <c r="J38" s="1305"/>
      <c r="K38" s="2470"/>
      <c r="L38" s="2472"/>
      <c r="M38" s="2472"/>
    </row>
    <row r="39" spans="1:18" ht="24.6" customHeight="1" thickTop="1">
      <c r="A39" s="1016" t="s">
        <v>394</v>
      </c>
      <c r="B39" s="1031" t="s">
        <v>772</v>
      </c>
      <c r="C39" s="302">
        <f ca="1">C5-C30</f>
        <v>67325</v>
      </c>
      <c r="D39" s="1032" t="s">
        <v>773</v>
      </c>
      <c r="E39" s="1033"/>
      <c r="F39" s="1034"/>
      <c r="G39" s="1291"/>
      <c r="H39" s="2472"/>
      <c r="I39" s="1304"/>
      <c r="J39" s="1305"/>
      <c r="K39" s="2470"/>
      <c r="L39" s="2472"/>
      <c r="M39" s="2472"/>
    </row>
    <row r="40" spans="1:18" ht="18" customHeight="1">
      <c r="A40" s="291" t="s">
        <v>395</v>
      </c>
      <c r="B40" s="292" t="s">
        <v>774</v>
      </c>
      <c r="C40" s="293">
        <f ca="1">ROUND(C39*(1-((1+F42)/(1+F40))^F41)/(F40-F42),0)</f>
        <v>2244251</v>
      </c>
      <c r="D40" s="316" t="s">
        <v>758</v>
      </c>
      <c r="E40" s="294" t="s">
        <v>759</v>
      </c>
      <c r="F40" s="304">
        <f ca="1">INDIRECT("'数据-取费表'!I"&amp;$G$1)</f>
        <v>0.05</v>
      </c>
      <c r="G40" s="1291"/>
      <c r="H40" s="1365"/>
      <c r="I40" s="1304"/>
      <c r="J40" s="1305"/>
      <c r="K40" s="2470"/>
      <c r="L40" s="1365"/>
      <c r="M40" s="1365"/>
    </row>
    <row r="41" spans="1:18" ht="18" customHeight="1">
      <c r="A41" s="296"/>
      <c r="B41" s="297"/>
      <c r="C41" s="298"/>
      <c r="D41" s="323" t="s">
        <v>775</v>
      </c>
      <c r="E41" s="294" t="s">
        <v>763</v>
      </c>
      <c r="F41" s="3507">
        <f ca="1">IF(INDIRECT("'数据-取费表'!af"&amp;$G$1)=0,INDIRECT("'数据-取费表'!ae"&amp;$G$1),INDIRECT("'数据-取费表'!af"&amp;$G$1))</f>
        <v>57.13</v>
      </c>
      <c r="G41" s="1291"/>
      <c r="H41" s="121"/>
      <c r="I41" s="1304"/>
      <c r="J41" s="1305"/>
      <c r="K41" s="2329"/>
      <c r="L41" s="121"/>
      <c r="M41" s="121"/>
    </row>
    <row r="42" spans="1:18" ht="18" customHeight="1">
      <c r="A42" s="300"/>
      <c r="B42" s="301"/>
      <c r="C42" s="302"/>
      <c r="D42" s="319"/>
      <c r="E42" s="294" t="s">
        <v>766</v>
      </c>
      <c r="F42" s="304">
        <f ca="1">INDIRECT("'数据-取费表'!v"&amp;$G$1)</f>
        <v>0.03</v>
      </c>
      <c r="G42" s="1291"/>
      <c r="H42" s="121"/>
      <c r="I42" s="1304"/>
      <c r="J42" s="1305"/>
      <c r="K42" s="2329"/>
      <c r="L42" s="121"/>
      <c r="M42" s="121"/>
    </row>
    <row r="43" spans="1:18" ht="18" customHeight="1" thickBot="1">
      <c r="A43" s="325" t="s">
        <v>396</v>
      </c>
      <c r="B43" s="326" t="s">
        <v>776</v>
      </c>
      <c r="C43" s="327">
        <f ca="1">ROUND(C40/F43,0)</f>
        <v>50683</v>
      </c>
      <c r="D43" s="328" t="s">
        <v>777</v>
      </c>
      <c r="E43" s="329" t="s">
        <v>778</v>
      </c>
      <c r="F43" s="330">
        <f ca="1">INDIRECT("'数据-取费表'!k"&amp;$G$1)</f>
        <v>44.28</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3128" t="s">
        <v>3355</v>
      </c>
      <c r="B45" s="1306"/>
      <c r="C45" s="1375">
        <f ca="1">ROUND((C68-C40)/10000,4)</f>
        <v>-232.61189999999999</v>
      </c>
      <c r="D45" s="3129" t="s">
        <v>3356</v>
      </c>
      <c r="E45" s="1306"/>
      <c r="F45" s="1306"/>
      <c r="O45" s="1309" t="s">
        <v>808</v>
      </c>
      <c r="P45" s="1365"/>
      <c r="Q45" s="1365"/>
      <c r="R45" s="1365"/>
    </row>
    <row r="46" spans="1:18" s="1291" customFormat="1" ht="13.5" thickBot="1">
      <c r="A46" s="1310" t="s">
        <v>809</v>
      </c>
      <c r="C46" s="1311">
        <f ca="1">ROUND(C45,0)</f>
        <v>-233</v>
      </c>
      <c r="D46" s="1312" t="str">
        <f>C2</f>
        <v>万元</v>
      </c>
      <c r="I46" s="1313" t="s">
        <v>810</v>
      </c>
      <c r="J46" s="1314"/>
      <c r="K46" s="1315"/>
      <c r="L46" s="1316">
        <f>IF(M47="住宅",0,IF(L48&gt;J51,L60,J60))</f>
        <v>0</v>
      </c>
      <c r="O46" s="1317" t="s">
        <v>811</v>
      </c>
      <c r="P46" s="1318" t="s">
        <v>812</v>
      </c>
      <c r="Q46" s="1319" t="s">
        <v>813</v>
      </c>
      <c r="R46" s="1319" t="s">
        <v>814</v>
      </c>
    </row>
    <row r="47" spans="1:18" s="1291" customFormat="1" ht="13.5" thickBot="1">
      <c r="A47" s="892" t="s">
        <v>687</v>
      </c>
      <c r="B47" s="924" t="s">
        <v>688</v>
      </c>
      <c r="C47" s="924" t="s">
        <v>689</v>
      </c>
      <c r="D47" s="924" t="s">
        <v>690</v>
      </c>
      <c r="E47" s="995" t="s">
        <v>691</v>
      </c>
      <c r="F47" s="996"/>
      <c r="G47" s="681"/>
      <c r="I47" s="1320" t="s">
        <v>815</v>
      </c>
      <c r="J47" s="1321" t="s">
        <v>3442</v>
      </c>
      <c r="K47" s="1322" t="s">
        <v>816</v>
      </c>
      <c r="L47" s="1323">
        <f ca="1">INDIRECT("'数据-取费表'!d"&amp;$G$1)</f>
        <v>70</v>
      </c>
      <c r="M47" s="1287" t="str">
        <f>IF(ISNUMBER(FIND("住宅",C1)),"住宅","非住宅")</f>
        <v>住宅</v>
      </c>
      <c r="O47" s="1324" t="s">
        <v>403</v>
      </c>
      <c r="P47" s="1325" t="s">
        <v>817</v>
      </c>
      <c r="Q47" s="1326">
        <f ca="1">C40+J29</f>
        <v>2244251</v>
      </c>
      <c r="R47" s="1326" t="s">
        <v>818</v>
      </c>
    </row>
    <row r="48" spans="1:18" s="1291" customFormat="1" ht="28.5" thickBot="1">
      <c r="A48" s="1047" t="s">
        <v>438</v>
      </c>
      <c r="B48" s="292" t="s">
        <v>692</v>
      </c>
      <c r="C48" s="1267">
        <f ca="1">C49+C53+C55</f>
        <v>0</v>
      </c>
      <c r="D48" s="1049"/>
      <c r="E48" s="1050"/>
      <c r="F48" s="908"/>
      <c r="G48" s="681"/>
      <c r="H48" s="682"/>
      <c r="I48" s="1327" t="s">
        <v>819</v>
      </c>
      <c r="J48" s="1328" t="s">
        <v>3443</v>
      </c>
      <c r="K48" s="1329" t="s">
        <v>820</v>
      </c>
      <c r="L48" s="1330">
        <f ca="1">INDIRECT("'数据-取费表'!f"&amp;$G$1)</f>
        <v>57.13</v>
      </c>
      <c r="O48" s="1324" t="s">
        <v>404</v>
      </c>
      <c r="P48" s="1325" t="s">
        <v>821</v>
      </c>
      <c r="Q48" s="1326" t="str">
        <f ca="1">J60</f>
        <v>0</v>
      </c>
      <c r="R48" s="1326" t="s">
        <v>822</v>
      </c>
    </row>
    <row r="49" spans="1:18" s="1291" customFormat="1" ht="13.5" thickBot="1">
      <c r="A49" s="921" t="s">
        <v>439</v>
      </c>
      <c r="B49" s="1278" t="s">
        <v>779</v>
      </c>
      <c r="C49" s="1051">
        <f ca="1">ROUND(F49*F51*F50*(1-F52),0)</f>
        <v>0</v>
      </c>
      <c r="D49" s="992" t="s">
        <v>695</v>
      </c>
      <c r="E49" s="1279" t="s">
        <v>780</v>
      </c>
      <c r="F49" s="997"/>
      <c r="H49" s="682"/>
      <c r="I49" s="1327" t="s">
        <v>823</v>
      </c>
      <c r="J49" s="1331">
        <v>1957</v>
      </c>
      <c r="K49" s="1329" t="s">
        <v>824</v>
      </c>
      <c r="L49" s="1332"/>
      <c r="O49" s="1333" t="s">
        <v>405</v>
      </c>
      <c r="P49" s="1325" t="s">
        <v>825</v>
      </c>
      <c r="Q49" s="1326">
        <f ca="1">C29</f>
        <v>273082</v>
      </c>
      <c r="R49" s="1326" t="s">
        <v>818</v>
      </c>
    </row>
    <row r="50" spans="1:18" s="1291" customFormat="1" ht="13.5" thickBot="1">
      <c r="A50" s="922"/>
      <c r="B50" s="925"/>
      <c r="C50" s="926"/>
      <c r="D50" s="899"/>
      <c r="E50" s="993" t="s">
        <v>697</v>
      </c>
      <c r="F50" s="994">
        <f ca="1">F7</f>
        <v>1</v>
      </c>
      <c r="H50" s="682"/>
      <c r="I50" s="1327" t="s">
        <v>826</v>
      </c>
      <c r="J50" s="1334">
        <f>SUMPRODUCT((I63:I65=J47)*(J62:L62=J48)*(J63:L65))</f>
        <v>50</v>
      </c>
      <c r="K50" s="1329" t="s">
        <v>827</v>
      </c>
      <c r="L50" s="1332"/>
      <c r="M50" s="1335"/>
      <c r="O50" s="1333" t="s">
        <v>406</v>
      </c>
      <c r="P50" s="1325" t="s">
        <v>828</v>
      </c>
      <c r="Q50" s="1336" t="e">
        <f ca="1">J58</f>
        <v>#VALUE!</v>
      </c>
      <c r="R50" s="1326"/>
    </row>
    <row r="51" spans="1:18" s="1291" customFormat="1" ht="13.5" thickBot="1">
      <c r="A51" s="923"/>
      <c r="B51" s="925"/>
      <c r="C51" s="926"/>
      <c r="D51" s="899"/>
      <c r="E51" s="927" t="s">
        <v>698</v>
      </c>
      <c r="F51" s="295">
        <f ca="1">F8</f>
        <v>12</v>
      </c>
      <c r="I51" s="1337" t="s">
        <v>829</v>
      </c>
      <c r="J51" s="1330">
        <f>IF(J49="",J50,J49+J50-YEAR('数据-取费表'!B2))</f>
        <v>-17</v>
      </c>
      <c r="K51" s="1338" t="s">
        <v>830</v>
      </c>
      <c r="L51" s="1339">
        <f ca="1">ROUND(-PV(INDIRECT("'数据-取费表'!h"&amp;$G$1),J51,(C39-C13*C76),0),0)</f>
        <v>-1464498</v>
      </c>
      <c r="M51" s="1340"/>
      <c r="O51" s="1333" t="s">
        <v>407</v>
      </c>
      <c r="P51" s="1325" t="s">
        <v>831</v>
      </c>
      <c r="Q51" s="1336">
        <f>J52</f>
        <v>0.06</v>
      </c>
      <c r="R51" s="1326"/>
    </row>
    <row r="52" spans="1:18" s="1291" customFormat="1" ht="13.5" thickBot="1">
      <c r="A52" s="923"/>
      <c r="B52" s="925"/>
      <c r="C52" s="926"/>
      <c r="D52" s="899"/>
      <c r="E52" s="927" t="s">
        <v>699</v>
      </c>
      <c r="F52" s="991"/>
      <c r="I52" s="1341" t="s">
        <v>832</v>
      </c>
      <c r="J52" s="1342">
        <v>0.06</v>
      </c>
      <c r="K52" s="1341" t="s">
        <v>833</v>
      </c>
      <c r="L52" s="1342"/>
      <c r="O52" s="1333" t="s">
        <v>408</v>
      </c>
      <c r="P52" s="1325" t="s">
        <v>834</v>
      </c>
      <c r="Q52" s="1326">
        <f ca="1">J53</f>
        <v>57.13</v>
      </c>
      <c r="R52" s="1326" t="s">
        <v>835</v>
      </c>
    </row>
    <row r="53" spans="1:18" s="1291" customFormat="1" ht="30.75" customHeight="1" thickBot="1">
      <c r="A53" s="1048" t="s">
        <v>440</v>
      </c>
      <c r="B53" s="315" t="s">
        <v>700</v>
      </c>
      <c r="C53" s="308">
        <f ca="1">ROUND(IF(F53="押一",C49/12*F11,IF(F53="押二",C49/12*2*F11,IF(F53="押三",C49/12*3*F11,C54*F11))),0)</f>
        <v>0</v>
      </c>
      <c r="D53" s="150" t="s">
        <v>2119</v>
      </c>
      <c r="E53" s="305" t="s">
        <v>701</v>
      </c>
      <c r="F53" s="1053"/>
      <c r="I53" s="1343" t="s">
        <v>836</v>
      </c>
      <c r="J53" s="2004">
        <f ca="1">IF(M47="住宅",IF(D1="——",MAX(J51,L48),MAX(J51,L48-'数据-取费表'!B24)),IF(D1="——",MIN(J51,L48),MIN(J51,L48-'数据-取费表'!B24)))</f>
        <v>57.13</v>
      </c>
      <c r="K53" s="3352" t="s">
        <v>837</v>
      </c>
      <c r="L53" s="3353"/>
      <c r="O53" s="1324" t="s">
        <v>409</v>
      </c>
      <c r="P53" s="1325" t="s">
        <v>838</v>
      </c>
      <c r="Q53" s="1326">
        <f ca="1">Q47+Q48</f>
        <v>2244251</v>
      </c>
      <c r="R53" s="1326" t="s">
        <v>410</v>
      </c>
    </row>
    <row r="54" spans="1:18" s="1291" customFormat="1" ht="13.5" thickBot="1">
      <c r="A54" s="921"/>
      <c r="B54" s="1376" t="s">
        <v>891</v>
      </c>
      <c r="C54" s="905"/>
      <c r="D54" s="150"/>
      <c r="E54" s="1281"/>
      <c r="F54" s="1344"/>
      <c r="I54" s="1345"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#VALUE!</v>
      </c>
      <c r="K55" s="1349" t="s">
        <v>841</v>
      </c>
      <c r="L55" s="1350"/>
      <c r="O55" s="1317" t="s">
        <v>811</v>
      </c>
      <c r="P55" s="1318" t="s">
        <v>812</v>
      </c>
      <c r="Q55" s="1319" t="s">
        <v>813</v>
      </c>
      <c r="R55" s="1319" t="s">
        <v>814</v>
      </c>
    </row>
    <row r="56" spans="1:18" s="1291" customFormat="1" ht="36" customHeight="1" thickTop="1" thickBot="1">
      <c r="A56" s="903">
        <v>2</v>
      </c>
      <c r="B56" s="904" t="s">
        <v>704</v>
      </c>
      <c r="C56" s="224">
        <f ca="1">C13</f>
        <v>177503</v>
      </c>
      <c r="D56" s="1351"/>
      <c r="E56" s="1352"/>
      <c r="F56" s="1344"/>
      <c r="I56" s="1353" t="s">
        <v>842</v>
      </c>
      <c r="J56" s="1354" t="s">
        <v>3444</v>
      </c>
      <c r="K56" s="1327" t="s">
        <v>843</v>
      </c>
      <c r="L56" s="1330">
        <f ca="1">IF(L48&lt;J51,"——",L48-J51)</f>
        <v>74.13</v>
      </c>
      <c r="O56" s="1324" t="s">
        <v>403</v>
      </c>
      <c r="P56" s="1325" t="s">
        <v>817</v>
      </c>
      <c r="Q56" s="1326">
        <f ca="1">C40+J29</f>
        <v>2244251</v>
      </c>
      <c r="R56" s="1326" t="s">
        <v>818</v>
      </c>
    </row>
    <row r="57" spans="1:18" s="1291" customFormat="1" ht="24.75" thickBot="1">
      <c r="A57" s="1355"/>
      <c r="B57" s="896" t="s">
        <v>767</v>
      </c>
      <c r="C57" s="230">
        <f ca="1">C29</f>
        <v>273082</v>
      </c>
      <c r="D57" s="1356"/>
      <c r="E57" s="1357"/>
      <c r="F57" s="1358"/>
      <c r="I57" s="1359" t="s">
        <v>844</v>
      </c>
      <c r="J57" s="1360" t="str">
        <f ca="1">IF(OR(M47="住宅",J51&lt;L48,J56="是"),"——",J51-L48)</f>
        <v>——</v>
      </c>
      <c r="K57" s="1327" t="s">
        <v>892</v>
      </c>
      <c r="L57" s="1330">
        <f ca="1">IF(L48&lt;J51,"——",IF(L55="比较法",L49,IF(L55="基准地价",L50,L51)))</f>
        <v>-1464498</v>
      </c>
      <c r="O57" s="1324" t="s">
        <v>404</v>
      </c>
      <c r="P57" s="1325" t="s">
        <v>893</v>
      </c>
      <c r="Q57" s="1326">
        <f ca="1">L60</f>
        <v>0</v>
      </c>
      <c r="R57" s="1326" t="s">
        <v>894</v>
      </c>
    </row>
    <row r="58" spans="1:18" s="1291" customFormat="1" ht="24.75" thickBot="1">
      <c r="A58" s="307" t="s">
        <v>393</v>
      </c>
      <c r="B58" s="904" t="s">
        <v>714</v>
      </c>
      <c r="C58" s="308">
        <f ca="1">ROUND(C59+C64+C65+C66,0)</f>
        <v>4362</v>
      </c>
      <c r="D58" s="906" t="s">
        <v>715</v>
      </c>
      <c r="E58" s="907"/>
      <c r="F58" s="908"/>
      <c r="I58" s="1359" t="s">
        <v>848</v>
      </c>
      <c r="J58" s="1361" t="e">
        <f ca="1">IF(J55&lt;0.4,0.4,J55)</f>
        <v>#VALUE!</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8">
        <f ca="1">ROUND(IF(AND(项目基本情况!B11="自然人",项目基本情况!B10="北京市"),C49*F59/(1+'数据-取费表'!C42),C60+C61+C62),0)</f>
        <v>0</v>
      </c>
      <c r="D59" s="909" t="s">
        <v>720</v>
      </c>
      <c r="E59" s="910" t="s">
        <v>721</v>
      </c>
      <c r="F59" s="2137">
        <f ca="1">IF(项目基本情况!B11="企业","——",IF('数据-取费表'!B10="住宅",IF(F49*F50*F51/12/(1+'数据-取费表'!F30)&gt;100000,4%,2.5%),IF(F49*F50*F51/12/(1+'数据-取费表'!F30)&gt;100000,12%,7%)))</f>
        <v>7.0000000000000007E-2</v>
      </c>
      <c r="I59" s="1359" t="s">
        <v>851</v>
      </c>
      <c r="J59" s="1360" t="str">
        <f ca="1">IF(OR(M47="住宅",J51&lt;L48,J56="是"),"——",ROUND(C29*J58,0))</f>
        <v>——</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IF(项目基本情况!B11="自然人","——",ROUND(C48*F60/(1+'数据-取费表'!C42),0))</f>
        <v>——</v>
      </c>
      <c r="D60" s="910" t="s">
        <v>724</v>
      </c>
      <c r="E60" s="896" t="s">
        <v>712</v>
      </c>
      <c r="F60" s="322">
        <f t="shared" ref="F60:F66" si="0">F32</f>
        <v>5.6000000000000001E-2</v>
      </c>
      <c r="I60" s="1362" t="s">
        <v>853</v>
      </c>
      <c r="J60" s="1363" t="str">
        <f ca="1">IF(OR(M47="住宅",J51&lt;L48,J56="是"),"0",ROUND(J59/(1+J52)^J53,0))</f>
        <v>0</v>
      </c>
      <c r="K60" s="1364" t="s">
        <v>854</v>
      </c>
      <c r="L60" s="1363">
        <f ca="1">IF(OR(M47="住宅",L48&lt;J51),0,ROUND(L57*(L58/L59-1),0))</f>
        <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IF(项目基本情况!B11="自然人","——",IF(D61="按租金收入计税",ROUND(C49*F61/(1+'数据-取费表'!C42),0),IF(D61="按房产原值计税",ROUND(C57*F61*0.7,0),INDIRECT("'数据-取费表'!Aj"&amp;$G$1))))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IF(项目基本情况!B11="自然人","——",ROUND(F62*F63,0))</f>
        <v>——</v>
      </c>
      <c r="D62" s="911" t="s">
        <v>786</v>
      </c>
      <c r="E62" s="896" t="s">
        <v>787</v>
      </c>
      <c r="F62" s="317">
        <f t="shared" si="0"/>
        <v>0</v>
      </c>
      <c r="I62" s="1366" t="s">
        <v>858</v>
      </c>
      <c r="J62" s="610" t="s">
        <v>859</v>
      </c>
      <c r="K62" s="610" t="s">
        <v>860</v>
      </c>
      <c r="L62" s="610" t="s">
        <v>861</v>
      </c>
      <c r="M62" s="1367" t="s">
        <v>862</v>
      </c>
      <c r="O62" s="1324" t="s">
        <v>409</v>
      </c>
      <c r="P62" s="1325" t="s">
        <v>863</v>
      </c>
      <c r="Q62" s="1326">
        <f ca="1">Q56+Q57</f>
        <v>2244251</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ROUND(C57*F64,0)</f>
        <v>4096</v>
      </c>
      <c r="D64" s="910" t="s">
        <v>791</v>
      </c>
      <c r="E64" s="896" t="s">
        <v>783</v>
      </c>
      <c r="F64" s="320">
        <f t="shared" ca="1" si="0"/>
        <v>1.4999999999999999E-2</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ROUND(C56*F65,0)</f>
        <v>266</v>
      </c>
      <c r="D65" s="910" t="s">
        <v>743</v>
      </c>
      <c r="E65" s="896" t="s">
        <v>744</v>
      </c>
      <c r="F65" s="321">
        <f t="shared" ca="1" si="0"/>
        <v>1.5E-3</v>
      </c>
      <c r="I65" s="1366" t="s">
        <v>867</v>
      </c>
      <c r="J65" s="610">
        <v>40</v>
      </c>
      <c r="K65" s="610">
        <v>30</v>
      </c>
      <c r="L65" s="610">
        <v>50</v>
      </c>
      <c r="M65" s="1368">
        <v>0.02</v>
      </c>
      <c r="O65" s="1324" t="s">
        <v>403</v>
      </c>
      <c r="P65" s="1325" t="s">
        <v>868</v>
      </c>
      <c r="Q65" s="1326">
        <f ca="1">C40+J29</f>
        <v>2244251</v>
      </c>
      <c r="R65" s="1326" t="s">
        <v>818</v>
      </c>
    </row>
    <row r="66" spans="1:18" s="1291" customFormat="1" ht="16.5" thickBot="1">
      <c r="A66" s="928" t="s">
        <v>793</v>
      </c>
      <c r="B66" s="896" t="s">
        <v>728</v>
      </c>
      <c r="C66" s="21">
        <f ca="1">ROUND(C48*F66,0)</f>
        <v>0</v>
      </c>
      <c r="D66" s="910" t="s">
        <v>794</v>
      </c>
      <c r="E66" s="896" t="s">
        <v>712</v>
      </c>
      <c r="F66" s="304">
        <f t="shared" ca="1" si="0"/>
        <v>0.01</v>
      </c>
      <c r="O66" s="1324" t="s">
        <v>404</v>
      </c>
      <c r="P66" s="1325" t="s">
        <v>846</v>
      </c>
      <c r="Q66" s="1326">
        <f ca="1">L60</f>
        <v>0</v>
      </c>
      <c r="R66" s="1326" t="s">
        <v>869</v>
      </c>
    </row>
    <row r="67" spans="1:18" s="1291" customFormat="1" ht="16.5" thickBot="1">
      <c r="A67" s="903" t="s">
        <v>394</v>
      </c>
      <c r="B67" s="913" t="s">
        <v>752</v>
      </c>
      <c r="C67" s="308">
        <f ca="1">C48-C58</f>
        <v>-4362</v>
      </c>
      <c r="D67" s="909" t="s">
        <v>753</v>
      </c>
      <c r="E67" s="914"/>
      <c r="F67" s="915"/>
      <c r="O67" s="1333" t="s">
        <v>405</v>
      </c>
      <c r="P67" s="1325" t="s">
        <v>850</v>
      </c>
      <c r="Q67" s="1369">
        <f ca="1">L51</f>
        <v>-1464498</v>
      </c>
      <c r="R67" s="1326" t="s">
        <v>870</v>
      </c>
    </row>
    <row r="68" spans="1:18" s="1291" customFormat="1" ht="16.5" thickBot="1">
      <c r="A68" s="893" t="s">
        <v>395</v>
      </c>
      <c r="B68" s="894" t="s">
        <v>774</v>
      </c>
      <c r="C68" s="293">
        <f ca="1">ROUND(C67*(1-((1+F70)/(1+F68))^F69)/(F68-F70),0)</f>
        <v>-81868</v>
      </c>
      <c r="D68" s="911" t="s">
        <v>758</v>
      </c>
      <c r="E68" s="896" t="s">
        <v>759</v>
      </c>
      <c r="F68" s="304">
        <f ca="1">F40</f>
        <v>0.05</v>
      </c>
      <c r="O68" s="1333" t="s">
        <v>406</v>
      </c>
      <c r="P68" s="1370" t="s">
        <v>871</v>
      </c>
      <c r="Q68" s="1326">
        <f ca="1">ROUND(Q69-Q70*Q71,0)</f>
        <v>56675</v>
      </c>
      <c r="R68" s="1326" t="s">
        <v>414</v>
      </c>
    </row>
    <row r="69" spans="1:18" s="1291" customFormat="1" ht="13.5" thickBot="1">
      <c r="A69" s="897"/>
      <c r="B69" s="898"/>
      <c r="C69" s="298"/>
      <c r="D69" s="916" t="s">
        <v>762</v>
      </c>
      <c r="E69" s="896" t="s">
        <v>763</v>
      </c>
      <c r="F69" s="324">
        <f ca="1">F41</f>
        <v>57.13</v>
      </c>
      <c r="O69" s="1333" t="s">
        <v>411</v>
      </c>
      <c r="P69" s="1370" t="s">
        <v>872</v>
      </c>
      <c r="Q69" s="1326">
        <f ca="1">C39</f>
        <v>67325</v>
      </c>
      <c r="R69" s="1326" t="s">
        <v>818</v>
      </c>
    </row>
    <row r="70" spans="1:18" s="1291" customFormat="1" ht="13.5" thickBot="1">
      <c r="A70" s="900"/>
      <c r="B70" s="901"/>
      <c r="C70" s="302"/>
      <c r="D70" s="912"/>
      <c r="E70" s="896" t="s">
        <v>766</v>
      </c>
      <c r="F70" s="991"/>
      <c r="O70" s="1333" t="s">
        <v>412</v>
      </c>
      <c r="P70" s="1370" t="s">
        <v>873</v>
      </c>
      <c r="Q70" s="1326">
        <f ca="1">C13</f>
        <v>177503</v>
      </c>
      <c r="R70" s="1326" t="s">
        <v>818</v>
      </c>
    </row>
    <row r="71" spans="1:18" s="1291" customFormat="1" ht="13.5" thickBot="1">
      <c r="A71" s="917" t="s">
        <v>396</v>
      </c>
      <c r="B71" s="918" t="s">
        <v>776</v>
      </c>
      <c r="C71" s="327">
        <f ca="1">ROUND(C68/F71,0)</f>
        <v>-1849</v>
      </c>
      <c r="D71" s="919" t="s">
        <v>777</v>
      </c>
      <c r="E71" s="920" t="s">
        <v>778</v>
      </c>
      <c r="F71" s="330">
        <f ca="1">F43</f>
        <v>44.28</v>
      </c>
      <c r="O71" s="1333" t="s">
        <v>413</v>
      </c>
      <c r="P71" s="1370" t="s">
        <v>874</v>
      </c>
      <c r="Q71" s="1336">
        <f ca="1">C76</f>
        <v>0.06</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10650</v>
      </c>
      <c r="D75" s="1291"/>
      <c r="E75" s="1291"/>
      <c r="F75" s="1291"/>
      <c r="K75" s="1308"/>
      <c r="L75" s="1291"/>
      <c r="O75" s="1324" t="s">
        <v>409</v>
      </c>
      <c r="P75" s="1325" t="s">
        <v>838</v>
      </c>
      <c r="Q75" s="1326">
        <f ca="1">Q65+Q66</f>
        <v>2244251</v>
      </c>
      <c r="R75" s="1326" t="s">
        <v>410</v>
      </c>
    </row>
    <row r="76" spans="1:18">
      <c r="B76" s="333" t="s">
        <v>796</v>
      </c>
      <c r="C76" s="334">
        <f ca="1">INDIRECT("'数据-取费表'!j"&amp;$G$1)</f>
        <v>0.06</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0.84199999999999997</v>
      </c>
    </row>
    <row r="80" spans="1:18">
      <c r="B80" s="331" t="s">
        <v>800</v>
      </c>
      <c r="C80" s="266">
        <f ca="1">ROUND(C75/C39,3)</f>
        <v>0.158</v>
      </c>
    </row>
    <row r="81" spans="2:3">
      <c r="B81" s="262" t="s">
        <v>801</v>
      </c>
      <c r="C81" s="230"/>
    </row>
    <row r="82" spans="2:3">
      <c r="B82" s="265" t="s">
        <v>802</v>
      </c>
      <c r="C82" s="267">
        <f ca="1">1-C83</f>
        <v>0.92100000000000004</v>
      </c>
    </row>
    <row r="83" spans="2:3">
      <c r="B83" s="265" t="s">
        <v>803</v>
      </c>
      <c r="C83" s="266">
        <f ca="1">ROUND(C13/C40,3)</f>
        <v>7.9000000000000001E-2</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M9" sqref="M9"/>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2438</v>
      </c>
      <c r="B1" s="2582"/>
      <c r="C1" s="2594"/>
      <c r="D1" s="2594"/>
      <c r="E1" s="2583"/>
      <c r="F1" s="2584"/>
      <c r="G1" s="2585"/>
      <c r="J1" s="2588" t="s">
        <v>2317</v>
      </c>
      <c r="K1" s="2589"/>
      <c r="L1" s="2589"/>
      <c r="M1" s="2589"/>
      <c r="N1" s="2589"/>
      <c r="O1" s="2589"/>
      <c r="P1" s="2589"/>
      <c r="Q1" s="2589"/>
      <c r="R1" s="2590"/>
      <c r="S1" s="2591"/>
      <c r="T1" s="2591"/>
      <c r="U1" s="2591"/>
    </row>
    <row r="2" spans="1:22" s="2603" customFormat="1" ht="13.15" customHeight="1">
      <c r="A2" s="1292" t="s">
        <v>2318</v>
      </c>
      <c r="B2" s="2593" t="e">
        <f>IF(D2="——",C40,C40+E2)</f>
        <v>#DIV/0!</v>
      </c>
      <c r="C2" s="2594" t="s">
        <v>2319</v>
      </c>
      <c r="D2" s="3137" t="s">
        <v>3362</v>
      </c>
      <c r="E2" s="3138"/>
      <c r="F2" s="2596"/>
      <c r="G2" s="2597"/>
      <c r="H2" s="2598"/>
      <c r="I2" s="2599"/>
      <c r="J2" s="3363" t="s">
        <v>2320</v>
      </c>
      <c r="K2" s="3364"/>
      <c r="L2" s="2600" t="s">
        <v>2321</v>
      </c>
      <c r="M2" s="2600" t="s">
        <v>2322</v>
      </c>
      <c r="N2" s="2600" t="s">
        <v>2323</v>
      </c>
      <c r="O2" s="2600" t="s">
        <v>2324</v>
      </c>
      <c r="P2" s="2600" t="s">
        <v>2325</v>
      </c>
      <c r="Q2" s="2601" t="s">
        <v>2326</v>
      </c>
      <c r="R2" s="2602" t="s">
        <v>2327</v>
      </c>
      <c r="S2" s="2591"/>
      <c r="T2" s="2591"/>
      <c r="U2" s="2591"/>
      <c r="V2" s="2599"/>
    </row>
    <row r="3" spans="1:22" s="2603" customFormat="1" ht="13.15" customHeight="1">
      <c r="A3" s="2604" t="s">
        <v>2328</v>
      </c>
      <c r="B3" s="2605" t="e">
        <f>ROUND(B2*10000/B4,0)</f>
        <v>#DIV/0!</v>
      </c>
      <c r="C3" s="2594" t="s">
        <v>2329</v>
      </c>
      <c r="D3" s="2594"/>
      <c r="E3" s="2595"/>
      <c r="F3" s="2596"/>
      <c r="G3" s="2597"/>
      <c r="H3" s="2598"/>
      <c r="I3" s="2599"/>
      <c r="J3" s="3365" t="s">
        <v>2330</v>
      </c>
      <c r="K3" s="3366"/>
      <c r="L3" s="2606"/>
      <c r="M3" s="2606"/>
      <c r="N3" s="2606"/>
      <c r="O3" s="2606"/>
      <c r="P3" s="2606"/>
      <c r="Q3" s="2607"/>
      <c r="R3" s="2608">
        <f>SUM(L3:Q3)</f>
        <v>0</v>
      </c>
      <c r="S3" s="2591"/>
      <c r="T3" s="2591"/>
      <c r="U3" s="2591"/>
      <c r="V3" s="2599"/>
    </row>
    <row r="4" spans="1:22" s="2603" customFormat="1" ht="13.15" customHeight="1">
      <c r="A4" s="2609" t="s">
        <v>2331</v>
      </c>
      <c r="B4" s="2610"/>
      <c r="C4" s="2594"/>
      <c r="D4" s="2594"/>
      <c r="E4" s="2595"/>
      <c r="F4" s="2596"/>
      <c r="G4" s="2597"/>
      <c r="H4" s="2598"/>
      <c r="I4" s="2599"/>
      <c r="J4" s="3365" t="s">
        <v>2332</v>
      </c>
      <c r="K4" s="3366"/>
      <c r="L4" s="2611"/>
      <c r="M4" s="2611"/>
      <c r="N4" s="2611"/>
      <c r="O4" s="2611"/>
      <c r="P4" s="2611"/>
      <c r="Q4" s="2612"/>
      <c r="R4" s="2613">
        <f>SUM(L4:Q4)</f>
        <v>0</v>
      </c>
      <c r="S4" s="2591"/>
      <c r="T4" s="2591"/>
      <c r="U4" s="2591"/>
      <c r="V4" s="2599"/>
    </row>
    <row r="5" spans="1:22" s="2603" customFormat="1" ht="13.15" customHeight="1" thickBot="1">
      <c r="A5" s="2614" t="s">
        <v>2333</v>
      </c>
      <c r="B5" s="2615"/>
      <c r="C5" s="2594"/>
      <c r="D5" s="2616"/>
      <c r="E5" s="2596"/>
      <c r="F5" s="2596"/>
      <c r="G5" s="2597"/>
      <c r="H5" s="2598"/>
      <c r="I5" s="2599"/>
      <c r="J5" s="2617" t="s">
        <v>2334</v>
      </c>
      <c r="K5" s="2618"/>
      <c r="L5" s="2618"/>
      <c r="M5" s="2619"/>
      <c r="N5" s="2619"/>
      <c r="O5" s="2619"/>
      <c r="P5" s="2619"/>
      <c r="Q5" s="2619"/>
      <c r="R5" s="2602">
        <f>SUM(R14,R19,R24,R25,R27,R28)</f>
        <v>0</v>
      </c>
      <c r="S5" s="2591"/>
      <c r="T5" s="2591" t="s">
        <v>2335</v>
      </c>
      <c r="U5" s="2591" t="e">
        <f>ROUND(R5*10000/365/R3,1)</f>
        <v>#DIV/0!</v>
      </c>
      <c r="V5" s="2599"/>
    </row>
    <row r="6" spans="1:22" s="2603" customFormat="1" ht="13.15" customHeight="1" thickBot="1">
      <c r="A6" s="3371" t="s">
        <v>2336</v>
      </c>
      <c r="B6" s="3372"/>
      <c r="C6" s="3373"/>
      <c r="D6" s="2620"/>
      <c r="E6" s="2621"/>
      <c r="F6" s="2622"/>
      <c r="G6" s="2623"/>
      <c r="H6" s="2598"/>
      <c r="I6" s="2599"/>
      <c r="J6" s="3357">
        <v>1</v>
      </c>
      <c r="K6" s="3358" t="s">
        <v>2337</v>
      </c>
      <c r="L6" s="2624" t="s">
        <v>2338</v>
      </c>
      <c r="M6" s="2625" t="s">
        <v>2339</v>
      </c>
      <c r="N6" s="2625" t="s">
        <v>2340</v>
      </c>
      <c r="O6" s="2625" t="s">
        <v>2341</v>
      </c>
      <c r="P6" s="2625" t="s">
        <v>2342</v>
      </c>
      <c r="Q6" s="2625" t="s">
        <v>2343</v>
      </c>
      <c r="R6" s="2608" t="s">
        <v>2344</v>
      </c>
      <c r="S6" s="2591"/>
      <c r="T6" s="2591" t="s">
        <v>2345</v>
      </c>
      <c r="U6" s="2591"/>
      <c r="V6" s="2599"/>
    </row>
    <row r="7" spans="1:22" s="2603" customFormat="1" ht="13.15" customHeight="1">
      <c r="A7" s="2626" t="s">
        <v>2346</v>
      </c>
      <c r="B7" s="2627"/>
      <c r="C7" s="2628"/>
      <c r="D7" s="2629">
        <f>SUM(D9,D10,D11,D17,0)</f>
        <v>0</v>
      </c>
      <c r="E7" s="2630" t="e">
        <f>E9+E10+E11+E17</f>
        <v>#DIV/0!</v>
      </c>
      <c r="F7" s="2631"/>
      <c r="G7" s="2632"/>
      <c r="H7" s="2598"/>
      <c r="I7" s="2599"/>
      <c r="J7" s="3357"/>
      <c r="K7" s="3359"/>
      <c r="L7" s="2633" t="s">
        <v>2347</v>
      </c>
      <c r="M7" s="2634"/>
      <c r="N7" s="2610"/>
      <c r="O7" s="2635"/>
      <c r="P7" s="2635"/>
      <c r="Q7" s="2636">
        <v>365</v>
      </c>
      <c r="R7" s="2637">
        <f>ROUND(M7*N7*O7*P7*Q7/10000,0)</f>
        <v>0</v>
      </c>
      <c r="S7" s="2591"/>
      <c r="T7" s="2591" t="s">
        <v>2348</v>
      </c>
      <c r="U7" s="2591"/>
      <c r="V7" s="2599"/>
    </row>
    <row r="8" spans="1:22" s="2603" customFormat="1" ht="13.15" customHeight="1">
      <c r="A8" s="2638" t="s">
        <v>2349</v>
      </c>
      <c r="B8" s="3374" t="s">
        <v>2350</v>
      </c>
      <c r="C8" s="3375"/>
      <c r="D8" s="2639" t="s">
        <v>2351</v>
      </c>
      <c r="E8" s="2640" t="s">
        <v>2352</v>
      </c>
      <c r="F8" s="2641" t="s">
        <v>2353</v>
      </c>
      <c r="G8" s="2642"/>
      <c r="H8" s="2598"/>
      <c r="I8" s="2599"/>
      <c r="J8" s="3357"/>
      <c r="K8" s="3359"/>
      <c r="L8" s="2633" t="s">
        <v>2354</v>
      </c>
      <c r="M8" s="2634"/>
      <c r="N8" s="2610"/>
      <c r="O8" s="2635"/>
      <c r="P8" s="2635"/>
      <c r="Q8" s="2636">
        <v>365</v>
      </c>
      <c r="R8" s="2637">
        <f t="shared" ref="R8:R13" si="0">ROUND(M8*N8*O8*P8*Q8/10000,0)</f>
        <v>0</v>
      </c>
      <c r="S8" s="2591"/>
      <c r="T8" s="2591" t="s">
        <v>2355</v>
      </c>
      <c r="U8" s="2591"/>
      <c r="V8" s="2599"/>
    </row>
    <row r="9" spans="1:22" s="2603" customFormat="1" ht="13.15" customHeight="1">
      <c r="A9" s="2638">
        <v>1</v>
      </c>
      <c r="B9" s="3374" t="s">
        <v>2356</v>
      </c>
      <c r="C9" s="3375"/>
      <c r="D9" s="2639">
        <f>ROUND(D6*E9,0)</f>
        <v>0</v>
      </c>
      <c r="E9" s="2643"/>
      <c r="F9" s="2644" t="s">
        <v>2357</v>
      </c>
      <c r="G9" s="2623"/>
      <c r="H9" s="2598"/>
      <c r="I9" s="2599"/>
      <c r="J9" s="3357"/>
      <c r="K9" s="3359"/>
      <c r="L9" s="2633" t="s">
        <v>2358</v>
      </c>
      <c r="M9" s="2634"/>
      <c r="N9" s="2610"/>
      <c r="O9" s="2635"/>
      <c r="P9" s="2635"/>
      <c r="Q9" s="2636">
        <v>365</v>
      </c>
      <c r="R9" s="2637">
        <f t="shared" si="0"/>
        <v>0</v>
      </c>
      <c r="S9" s="2591"/>
      <c r="T9" s="2591"/>
      <c r="U9" s="2591"/>
      <c r="V9" s="2599"/>
    </row>
    <row r="10" spans="1:22" s="2603" customFormat="1" ht="13.15" customHeight="1">
      <c r="A10" s="2638">
        <v>2</v>
      </c>
      <c r="B10" s="3374" t="s">
        <v>2359</v>
      </c>
      <c r="C10" s="3375"/>
      <c r="D10" s="2639">
        <f>ROUND(D6*E10,0)</f>
        <v>0</v>
      </c>
      <c r="E10" s="2643"/>
      <c r="F10" s="2644" t="s">
        <v>2360</v>
      </c>
      <c r="G10" s="2623"/>
      <c r="H10" s="2598"/>
      <c r="I10" s="2599"/>
      <c r="J10" s="3357"/>
      <c r="K10" s="3359"/>
      <c r="L10" s="2633" t="s">
        <v>2361</v>
      </c>
      <c r="M10" s="2634"/>
      <c r="N10" s="2610"/>
      <c r="O10" s="2635"/>
      <c r="P10" s="2635"/>
      <c r="Q10" s="2636">
        <v>365</v>
      </c>
      <c r="R10" s="2637">
        <f t="shared" si="0"/>
        <v>0</v>
      </c>
      <c r="S10" s="2591"/>
      <c r="T10" s="2591"/>
      <c r="U10" s="2591"/>
      <c r="V10" s="2599"/>
    </row>
    <row r="11" spans="1:22" s="2603" customFormat="1" ht="13.15" customHeight="1">
      <c r="A11" s="2638">
        <v>3</v>
      </c>
      <c r="B11" s="3374" t="s">
        <v>2362</v>
      </c>
      <c r="C11" s="3375"/>
      <c r="D11" s="2639">
        <f>D12+D14+D15+D16</f>
        <v>0</v>
      </c>
      <c r="E11" s="2645" t="e">
        <f>D11/D6</f>
        <v>#DIV/0!</v>
      </c>
      <c r="F11" s="2641"/>
      <c r="G11" s="2642"/>
      <c r="H11" s="2598"/>
      <c r="I11" s="2599"/>
      <c r="J11" s="3357"/>
      <c r="K11" s="3359"/>
      <c r="L11" s="2633" t="s">
        <v>2363</v>
      </c>
      <c r="M11" s="2634"/>
      <c r="N11" s="2610"/>
      <c r="O11" s="2635"/>
      <c r="P11" s="2635"/>
      <c r="Q11" s="2636">
        <v>365</v>
      </c>
      <c r="R11" s="2637">
        <f t="shared" si="0"/>
        <v>0</v>
      </c>
      <c r="S11" s="2591"/>
      <c r="T11" s="2591"/>
      <c r="U11" s="2591"/>
      <c r="V11" s="2599"/>
    </row>
    <row r="12" spans="1:22" s="2603" customFormat="1" ht="13.15" customHeight="1">
      <c r="A12" s="2646" t="s">
        <v>2364</v>
      </c>
      <c r="B12" s="3367" t="s">
        <v>2365</v>
      </c>
      <c r="C12" s="3368"/>
      <c r="D12" s="2647">
        <f>ROUND(D13*1.2%*(1-30%),0)</f>
        <v>0</v>
      </c>
      <c r="E12" s="2648">
        <v>1.2E-2</v>
      </c>
      <c r="F12" s="2641" t="s">
        <v>2366</v>
      </c>
      <c r="G12" s="2642"/>
      <c r="H12" s="2598"/>
      <c r="I12" s="2599"/>
      <c r="J12" s="3357"/>
      <c r="K12" s="3359"/>
      <c r="L12" s="2633" t="s">
        <v>2367</v>
      </c>
      <c r="M12" s="2634"/>
      <c r="N12" s="2610"/>
      <c r="O12" s="2635"/>
      <c r="P12" s="2635"/>
      <c r="Q12" s="2636">
        <v>365</v>
      </c>
      <c r="R12" s="2637">
        <f t="shared" si="0"/>
        <v>0</v>
      </c>
      <c r="S12" s="2591"/>
      <c r="T12" s="2591"/>
      <c r="U12" s="2591"/>
      <c r="V12" s="2599"/>
    </row>
    <row r="13" spans="1:22" s="2603" customFormat="1" ht="13.15" customHeight="1">
      <c r="A13" s="2646"/>
      <c r="B13" s="2649"/>
      <c r="C13" s="2650" t="s">
        <v>2368</v>
      </c>
      <c r="D13" s="2651"/>
      <c r="E13" s="2652"/>
      <c r="F13" s="2641"/>
      <c r="G13" s="2642"/>
      <c r="H13" s="2598"/>
      <c r="I13" s="2599"/>
      <c r="J13" s="3357"/>
      <c r="K13" s="3359"/>
      <c r="L13" s="2633" t="s">
        <v>2369</v>
      </c>
      <c r="M13" s="2634"/>
      <c r="N13" s="2610"/>
      <c r="O13" s="2635"/>
      <c r="P13" s="2635"/>
      <c r="Q13" s="2636">
        <v>365</v>
      </c>
      <c r="R13" s="2637">
        <f t="shared" si="0"/>
        <v>0</v>
      </c>
      <c r="S13" s="2591"/>
      <c r="T13" s="2591"/>
      <c r="U13" s="2591"/>
      <c r="V13" s="2599"/>
    </row>
    <row r="14" spans="1:22" s="2603" customFormat="1" ht="13.15" customHeight="1">
      <c r="A14" s="2646" t="s">
        <v>2370</v>
      </c>
      <c r="B14" s="3367" t="s">
        <v>2371</v>
      </c>
      <c r="C14" s="3368"/>
      <c r="D14" s="2647">
        <f>ROUND(E14*B5/10000,0)</f>
        <v>0</v>
      </c>
      <c r="E14" s="2636"/>
      <c r="F14" s="2641" t="s">
        <v>2372</v>
      </c>
      <c r="G14" s="2642"/>
      <c r="H14" s="2598"/>
      <c r="I14" s="2599"/>
      <c r="J14" s="3357"/>
      <c r="K14" s="3360"/>
      <c r="L14" s="2653" t="s">
        <v>2373</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2374</v>
      </c>
      <c r="B15" s="3367" t="s">
        <v>2375</v>
      </c>
      <c r="C15" s="3368"/>
      <c r="D15" s="2647">
        <f>ROUND(D6*E15,0)</f>
        <v>0</v>
      </c>
      <c r="E15" s="2648">
        <v>5.5E-2</v>
      </c>
      <c r="F15" s="2641" t="s">
        <v>2376</v>
      </c>
      <c r="G15" s="2623"/>
      <c r="H15" s="2598"/>
      <c r="I15" s="2599"/>
      <c r="J15" s="3357">
        <v>2</v>
      </c>
      <c r="K15" s="3358" t="s">
        <v>2377</v>
      </c>
      <c r="L15" s="2633" t="s">
        <v>2378</v>
      </c>
      <c r="M15" s="2634" t="s">
        <v>2379</v>
      </c>
      <c r="N15" s="2634" t="s">
        <v>2380</v>
      </c>
      <c r="O15" s="2635" t="s">
        <v>2381</v>
      </c>
      <c r="P15" s="2635" t="s">
        <v>2343</v>
      </c>
      <c r="Q15" s="2610" t="s">
        <v>2382</v>
      </c>
      <c r="R15" s="2657" t="s">
        <v>2344</v>
      </c>
      <c r="S15" s="2591"/>
      <c r="T15" s="2591"/>
      <c r="U15" s="2591"/>
      <c r="V15" s="2599"/>
    </row>
    <row r="16" spans="1:22" s="2603" customFormat="1" ht="13.15" customHeight="1">
      <c r="A16" s="2646" t="s">
        <v>2383</v>
      </c>
      <c r="B16" s="3367" t="s">
        <v>2384</v>
      </c>
      <c r="C16" s="3368"/>
      <c r="D16" s="2658">
        <f>D6*E16</f>
        <v>0</v>
      </c>
      <c r="E16" s="2659"/>
      <c r="F16" s="2644" t="s">
        <v>2385</v>
      </c>
      <c r="G16" s="2623"/>
      <c r="H16" s="2598"/>
      <c r="I16" s="2599"/>
      <c r="J16" s="3357"/>
      <c r="K16" s="3359"/>
      <c r="L16" s="2633" t="s">
        <v>2386</v>
      </c>
      <c r="M16" s="2634"/>
      <c r="N16" s="2634"/>
      <c r="O16" s="2635"/>
      <c r="P16" s="2636">
        <v>365</v>
      </c>
      <c r="Q16" s="2610"/>
      <c r="R16" s="2657">
        <f>ROUND(M16*N16*O16*P16/10000,0)</f>
        <v>0</v>
      </c>
      <c r="S16" s="2591"/>
      <c r="T16" s="2591"/>
      <c r="U16" s="2591"/>
      <c r="V16" s="2599"/>
    </row>
    <row r="17" spans="1:22" s="2603" customFormat="1" ht="13.15" customHeight="1" thickBot="1">
      <c r="A17" s="2660">
        <v>4</v>
      </c>
      <c r="B17" s="3369" t="s">
        <v>2387</v>
      </c>
      <c r="C17" s="3370"/>
      <c r="D17" s="2661">
        <f>ROUND(D6*E17,0)</f>
        <v>0</v>
      </c>
      <c r="E17" s="2662"/>
      <c r="F17" s="2663" t="s">
        <v>2388</v>
      </c>
      <c r="G17" s="2623"/>
      <c r="H17" s="2598"/>
      <c r="I17" s="2599"/>
      <c r="J17" s="3357"/>
      <c r="K17" s="3359"/>
      <c r="L17" s="2633" t="s">
        <v>2389</v>
      </c>
      <c r="M17" s="2634"/>
      <c r="N17" s="2634"/>
      <c r="O17" s="2635"/>
      <c r="P17" s="2636">
        <v>365</v>
      </c>
      <c r="Q17" s="2610"/>
      <c r="R17" s="2657">
        <f>ROUND(M17*N17*O17*P17/10000,0)</f>
        <v>0</v>
      </c>
      <c r="S17" s="2591"/>
      <c r="T17" s="2591"/>
      <c r="U17" s="2591"/>
      <c r="V17" s="2599"/>
    </row>
    <row r="18" spans="1:22" s="2603" customFormat="1" ht="13.15" customHeight="1" thickBot="1">
      <c r="A18" s="2626" t="s">
        <v>2390</v>
      </c>
      <c r="B18" s="2627"/>
      <c r="C18" s="2627"/>
      <c r="D18" s="2664">
        <f>ROUND(D6*E18,0)</f>
        <v>0</v>
      </c>
      <c r="E18" s="2665"/>
      <c r="F18" s="2666" t="s">
        <v>2391</v>
      </c>
      <c r="G18" s="2623"/>
      <c r="H18" s="2598"/>
      <c r="I18" s="2599"/>
      <c r="J18" s="3357"/>
      <c r="K18" s="3359"/>
      <c r="L18" s="2633" t="s">
        <v>2392</v>
      </c>
      <c r="M18" s="2634"/>
      <c r="N18" s="2634"/>
      <c r="O18" s="2635"/>
      <c r="P18" s="2636">
        <v>365</v>
      </c>
      <c r="Q18" s="2610"/>
      <c r="R18" s="2657">
        <f>ROUND(M18*N18*O18*P18/10000,0)</f>
        <v>0</v>
      </c>
      <c r="S18" s="2591"/>
      <c r="T18" s="2591"/>
      <c r="U18" s="2591"/>
      <c r="V18" s="2599"/>
    </row>
    <row r="19" spans="1:22" s="2603" customFormat="1" ht="13.15" customHeight="1" thickBot="1">
      <c r="A19" s="2667" t="s">
        <v>2393</v>
      </c>
      <c r="B19" s="2621"/>
      <c r="C19" s="2621"/>
      <c r="D19" s="2621"/>
      <c r="E19" s="2621"/>
      <c r="F19" s="2622"/>
      <c r="G19" s="2642"/>
      <c r="H19" s="2598"/>
      <c r="I19" s="2599"/>
      <c r="J19" s="3357"/>
      <c r="K19" s="3360"/>
      <c r="L19" s="2653" t="s">
        <v>2373</v>
      </c>
      <c r="M19" s="2654"/>
      <c r="N19" s="2654">
        <f>SUM(N16:N18)</f>
        <v>0</v>
      </c>
      <c r="O19" s="2655"/>
      <c r="P19" s="2668" t="s">
        <v>2437</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357">
        <v>3</v>
      </c>
      <c r="K20" s="3358" t="s">
        <v>2394</v>
      </c>
      <c r="L20" s="2633" t="s">
        <v>2395</v>
      </c>
      <c r="M20" s="2634" t="s">
        <v>2396</v>
      </c>
      <c r="N20" s="2671" t="s">
        <v>2397</v>
      </c>
      <c r="O20" s="2635" t="s">
        <v>2398</v>
      </c>
      <c r="P20" s="2636" t="s">
        <v>2399</v>
      </c>
      <c r="Q20" s="2610" t="s">
        <v>2400</v>
      </c>
      <c r="R20" s="2657" t="s">
        <v>2401</v>
      </c>
      <c r="S20" s="2591"/>
      <c r="T20" s="2591"/>
      <c r="U20" s="2591"/>
      <c r="V20" s="2599"/>
    </row>
    <row r="21" spans="1:22" s="2603" customFormat="1" ht="13.15" customHeight="1">
      <c r="A21" s="2626"/>
      <c r="B21" s="2627"/>
      <c r="C21" s="2672" t="s">
        <v>2402</v>
      </c>
      <c r="D21" s="2673" t="s">
        <v>2403</v>
      </c>
      <c r="E21" s="2674" t="s">
        <v>2404</v>
      </c>
      <c r="F21" s="2670"/>
      <c r="G21" s="2642"/>
      <c r="H21" s="2598"/>
      <c r="I21" s="2599"/>
      <c r="J21" s="3357"/>
      <c r="K21" s="3359"/>
      <c r="L21" s="2633" t="s">
        <v>2405</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2406</v>
      </c>
      <c r="D22" s="2677" t="s">
        <v>2407</v>
      </c>
      <c r="E22" s="2678" t="s">
        <v>2408</v>
      </c>
      <c r="F22" s="2670"/>
      <c r="G22" s="2591"/>
      <c r="H22" s="2598"/>
      <c r="I22" s="2599"/>
      <c r="J22" s="3357"/>
      <c r="K22" s="3359"/>
      <c r="L22" s="2633" t="s">
        <v>2409</v>
      </c>
      <c r="M22" s="2634"/>
      <c r="N22" s="2634"/>
      <c r="O22" s="2635"/>
      <c r="P22" s="2636">
        <v>365</v>
      </c>
      <c r="Q22" s="2610"/>
      <c r="R22" s="2675">
        <f>ROUND(M22*N22*O22*P22/10000,0)</f>
        <v>0</v>
      </c>
      <c r="S22" s="2591"/>
      <c r="T22" s="2591"/>
      <c r="U22" s="2591"/>
      <c r="V22" s="2599"/>
    </row>
    <row r="23" spans="1:22" s="2603" customFormat="1" ht="13.15" customHeight="1">
      <c r="A23" s="2679">
        <v>1</v>
      </c>
      <c r="B23" s="2680" t="s">
        <v>2410</v>
      </c>
      <c r="C23" s="2681">
        <f>D6</f>
        <v>0</v>
      </c>
      <c r="D23" s="2682">
        <f>C23*(1+D24)</f>
        <v>0</v>
      </c>
      <c r="E23" s="2683">
        <f>D23*(1+E24)</f>
        <v>0</v>
      </c>
      <c r="F23" s="2684"/>
      <c r="G23" s="2685"/>
      <c r="H23" s="2598"/>
      <c r="I23" s="2599"/>
      <c r="J23" s="3357"/>
      <c r="K23" s="3359"/>
      <c r="L23" s="2633" t="s">
        <v>2411</v>
      </c>
      <c r="M23" s="2634"/>
      <c r="N23" s="2634"/>
      <c r="O23" s="2635"/>
      <c r="P23" s="2636">
        <v>365</v>
      </c>
      <c r="Q23" s="2610"/>
      <c r="R23" s="2675">
        <f>ROUND(M23*N23*O23*P23/10000,0)</f>
        <v>0</v>
      </c>
      <c r="S23" s="2591"/>
      <c r="T23" s="2591"/>
      <c r="U23" s="2591"/>
      <c r="V23" s="2599"/>
    </row>
    <row r="24" spans="1:22" s="2603" customFormat="1" ht="13.15" customHeight="1">
      <c r="A24" s="2686"/>
      <c r="B24" s="2687" t="s">
        <v>2412</v>
      </c>
      <c r="C24" s="2688"/>
      <c r="D24" s="2689"/>
      <c r="E24" s="2690"/>
      <c r="F24" s="2691"/>
      <c r="G24" s="2685"/>
      <c r="H24" s="2598"/>
      <c r="I24" s="2599"/>
      <c r="J24" s="3357"/>
      <c r="K24" s="3360"/>
      <c r="L24" s="2653" t="s">
        <v>2373</v>
      </c>
      <c r="M24" s="2654">
        <f>SUM(M21:M23)</f>
        <v>0</v>
      </c>
      <c r="N24" s="2654"/>
      <c r="O24" s="2655"/>
      <c r="P24" s="2668" t="s">
        <v>2437</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2413</v>
      </c>
      <c r="L25" s="2694"/>
      <c r="M25" s="2694"/>
      <c r="N25" s="2694"/>
      <c r="O25" s="2694"/>
      <c r="P25" s="2695"/>
      <c r="Q25" s="2696">
        <v>0</v>
      </c>
      <c r="R25" s="2669">
        <f>ROUND(R14*Q25,0)</f>
        <v>0</v>
      </c>
      <c r="S25" s="2591"/>
      <c r="T25" s="2591"/>
      <c r="U25" s="2591"/>
      <c r="V25" s="2697"/>
    </row>
    <row r="26" spans="1:22" s="2698" customFormat="1" ht="13.15" customHeight="1">
      <c r="A26" s="2679">
        <v>2</v>
      </c>
      <c r="B26" s="2680" t="s">
        <v>2414</v>
      </c>
      <c r="C26" s="2681">
        <f>D7</f>
        <v>0</v>
      </c>
      <c r="D26" s="2682">
        <f>D23*D27</f>
        <v>0</v>
      </c>
      <c r="E26" s="2683">
        <f>E23*E27</f>
        <v>0</v>
      </c>
      <c r="F26" s="2684"/>
      <c r="G26" s="2685"/>
      <c r="H26" s="2598"/>
      <c r="I26" s="2599"/>
      <c r="J26" s="3361">
        <v>5</v>
      </c>
      <c r="K26" s="2699" t="s">
        <v>2415</v>
      </c>
      <c r="L26" s="2700"/>
      <c r="M26" s="2701"/>
      <c r="N26" s="2702" t="s">
        <v>2416</v>
      </c>
      <c r="O26" s="2702" t="s">
        <v>2417</v>
      </c>
      <c r="P26" s="2703" t="s">
        <v>2418</v>
      </c>
      <c r="Q26" s="2703" t="s">
        <v>2419</v>
      </c>
      <c r="R26" s="2608" t="s">
        <v>2344</v>
      </c>
      <c r="S26" s="2642"/>
      <c r="T26" s="2642"/>
      <c r="U26" s="2642"/>
      <c r="V26" s="2697"/>
    </row>
    <row r="27" spans="1:22" s="2603" customFormat="1" ht="13.15" customHeight="1">
      <c r="A27" s="2686"/>
      <c r="B27" s="2687" t="s">
        <v>2420</v>
      </c>
      <c r="C27" s="2704" t="e">
        <f>E7</f>
        <v>#DIV/0!</v>
      </c>
      <c r="D27" s="2689"/>
      <c r="E27" s="2690"/>
      <c r="F27" s="2691"/>
      <c r="G27" s="2685"/>
      <c r="H27" s="2705"/>
      <c r="I27" s="2697"/>
      <c r="J27" s="3362"/>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2421</v>
      </c>
      <c r="F28" s="2691"/>
      <c r="G28" s="2591"/>
      <c r="H28" s="2705"/>
      <c r="I28" s="2697"/>
      <c r="J28" s="2711">
        <v>6</v>
      </c>
      <c r="K28" s="2712" t="s">
        <v>2422</v>
      </c>
      <c r="L28" s="2713" t="s">
        <v>2423</v>
      </c>
      <c r="M28" s="2714"/>
      <c r="N28" s="2713" t="s">
        <v>2424</v>
      </c>
      <c r="O28" s="2715"/>
      <c r="P28" s="2713" t="s">
        <v>2425</v>
      </c>
      <c r="Q28" s="2716">
        <v>1.4999999999999999E-2</v>
      </c>
      <c r="R28" s="2717"/>
      <c r="S28" s="2591"/>
      <c r="T28" s="2591"/>
      <c r="U28" s="2591"/>
      <c r="V28" s="2697"/>
    </row>
    <row r="29" spans="1:22" s="2698" customFormat="1" ht="13.15" customHeight="1">
      <c r="A29" s="2679">
        <v>3</v>
      </c>
      <c r="B29" s="2680" t="s">
        <v>2426</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2420</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2427</v>
      </c>
      <c r="K31" s="2589"/>
      <c r="L31" s="2589"/>
      <c r="M31" s="2589"/>
      <c r="N31" s="2589"/>
      <c r="O31" s="2589"/>
      <c r="P31" s="2589"/>
      <c r="Q31" s="2589"/>
      <c r="R31" s="2590"/>
      <c r="S31" s="2591"/>
      <c r="T31" s="2591"/>
      <c r="U31" s="2591"/>
      <c r="V31" s="2697"/>
    </row>
    <row r="32" spans="1:22" s="2698" customFormat="1" ht="13.15" customHeight="1">
      <c r="A32" s="2679">
        <v>4</v>
      </c>
      <c r="B32" s="2680" t="s">
        <v>2428</v>
      </c>
      <c r="C32" s="2681">
        <f>C23-C26-C29</f>
        <v>0</v>
      </c>
      <c r="D32" s="2682">
        <f>D23-D26-D29</f>
        <v>0</v>
      </c>
      <c r="E32" s="2683">
        <f>E23-E26-E29</f>
        <v>0</v>
      </c>
      <c r="F32" s="2684"/>
      <c r="G32" s="2591"/>
      <c r="H32" s="2598"/>
      <c r="I32" s="2599"/>
      <c r="J32" s="3363" t="s">
        <v>2320</v>
      </c>
      <c r="K32" s="3364"/>
      <c r="L32" s="2600" t="s">
        <v>2321</v>
      </c>
      <c r="M32" s="2600" t="s">
        <v>2322</v>
      </c>
      <c r="N32" s="2600" t="s">
        <v>2323</v>
      </c>
      <c r="O32" s="2600" t="s">
        <v>2324</v>
      </c>
      <c r="P32" s="2600" t="s">
        <v>2325</v>
      </c>
      <c r="Q32" s="2601" t="s">
        <v>2326</v>
      </c>
      <c r="R32" s="2720" t="s">
        <v>2327</v>
      </c>
      <c r="S32" s="2591"/>
      <c r="T32" s="2591"/>
      <c r="U32" s="2591"/>
      <c r="V32" s="2697"/>
    </row>
    <row r="33" spans="1:23" s="2603" customFormat="1" ht="13.15" customHeight="1">
      <c r="A33" s="2679"/>
      <c r="B33" s="2680"/>
      <c r="C33" s="2681"/>
      <c r="D33" s="2721"/>
      <c r="E33" s="2722"/>
      <c r="F33" s="2684"/>
      <c r="G33" s="2591"/>
      <c r="H33" s="2705"/>
      <c r="I33" s="2697"/>
      <c r="J33" s="3365" t="s">
        <v>2330</v>
      </c>
      <c r="K33" s="3366"/>
      <c r="L33" s="2606"/>
      <c r="M33" s="2606"/>
      <c r="N33" s="2606"/>
      <c r="O33" s="2606"/>
      <c r="P33" s="2606"/>
      <c r="Q33" s="2607"/>
      <c r="R33" s="2723">
        <f>SUM(L33:Q33)</f>
        <v>0</v>
      </c>
      <c r="S33" s="2591"/>
      <c r="T33" s="2591"/>
      <c r="U33" s="2591"/>
      <c r="V33" s="2599"/>
    </row>
    <row r="34" spans="1:23" s="2603" customFormat="1" ht="13.15" customHeight="1">
      <c r="A34" s="2679">
        <v>5</v>
      </c>
      <c r="B34" s="2680" t="s">
        <v>2429</v>
      </c>
      <c r="C34" s="2724"/>
      <c r="D34" s="2725"/>
      <c r="E34" s="2726"/>
      <c r="F34" s="2684"/>
      <c r="G34" s="2591"/>
      <c r="H34" s="2705"/>
      <c r="I34" s="2697"/>
      <c r="J34" s="3365" t="s">
        <v>2332</v>
      </c>
      <c r="K34" s="3366"/>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2430</v>
      </c>
      <c r="C35" s="2728"/>
      <c r="D35" s="2729"/>
      <c r="E35" s="2730"/>
      <c r="F35" s="2684"/>
      <c r="G35" s="2731"/>
      <c r="H35" s="2598"/>
      <c r="I35" s="2697"/>
      <c r="J35" s="2617" t="s">
        <v>2334</v>
      </c>
      <c r="K35" s="2618"/>
      <c r="L35" s="2618"/>
      <c r="M35" s="2619"/>
      <c r="N35" s="2619"/>
      <c r="O35" s="2619"/>
      <c r="P35" s="2619"/>
      <c r="Q35" s="2619"/>
      <c r="R35" s="2732">
        <f>R40+R41+R43</f>
        <v>0</v>
      </c>
      <c r="S35" s="2591"/>
      <c r="T35" s="2591" t="s">
        <v>2335</v>
      </c>
      <c r="U35" s="2591"/>
      <c r="V35" s="2599"/>
    </row>
    <row r="36" spans="1:23" s="2603" customFormat="1" ht="13.15" customHeight="1" thickBot="1">
      <c r="A36" s="2679">
        <v>7</v>
      </c>
      <c r="B36" s="2733" t="s">
        <v>2431</v>
      </c>
      <c r="C36" s="2734"/>
      <c r="D36" s="2735"/>
      <c r="E36" s="2736"/>
      <c r="F36" s="2737">
        <f>C36+D36+E36</f>
        <v>0</v>
      </c>
      <c r="G36" s="2591"/>
      <c r="H36" s="2598"/>
      <c r="I36" s="2599"/>
      <c r="J36" s="3357">
        <v>1</v>
      </c>
      <c r="K36" s="3358" t="s">
        <v>2432</v>
      </c>
      <c r="L36" s="2624"/>
      <c r="M36" s="2625"/>
      <c r="N36" s="2625"/>
      <c r="O36" s="2625"/>
      <c r="P36" s="2625"/>
      <c r="Q36" s="2625"/>
      <c r="R36" s="2608" t="s">
        <v>2344</v>
      </c>
      <c r="S36" s="2591"/>
      <c r="T36" s="2591" t="s">
        <v>2345</v>
      </c>
      <c r="U36" s="2591"/>
      <c r="V36" s="2599"/>
    </row>
    <row r="37" spans="1:23" s="2603" customFormat="1" ht="13.15" customHeight="1">
      <c r="A37" s="2679"/>
      <c r="B37" s="2680"/>
      <c r="C37" s="2680"/>
      <c r="D37" s="2680"/>
      <c r="E37" s="2680"/>
      <c r="F37" s="2684"/>
      <c r="G37" s="2591"/>
      <c r="H37" s="2598"/>
      <c r="I37" s="2599"/>
      <c r="J37" s="3357"/>
      <c r="K37" s="3359"/>
      <c r="L37" s="2633"/>
      <c r="M37" s="2634"/>
      <c r="N37" s="2610"/>
      <c r="O37" s="2635"/>
      <c r="P37" s="2635"/>
      <c r="Q37" s="2636"/>
      <c r="R37" s="2637"/>
      <c r="S37" s="2591"/>
      <c r="T37" s="2591" t="s">
        <v>2348</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357"/>
      <c r="K38" s="3359"/>
      <c r="L38" s="2633"/>
      <c r="M38" s="2634"/>
      <c r="N38" s="2610"/>
      <c r="O38" s="2635"/>
      <c r="P38" s="2635"/>
      <c r="Q38" s="2636"/>
      <c r="R38" s="2637"/>
      <c r="S38" s="2591"/>
      <c r="T38" s="2591" t="s">
        <v>2355</v>
      </c>
      <c r="U38" s="2591"/>
      <c r="V38" s="2599"/>
    </row>
    <row r="39" spans="1:23" s="2603" customFormat="1" ht="13.15" customHeight="1">
      <c r="A39" s="2679">
        <v>9</v>
      </c>
      <c r="B39" s="2680" t="s">
        <v>2433</v>
      </c>
      <c r="C39" s="2647" t="e">
        <f>C38</f>
        <v>#DIV/0!</v>
      </c>
      <c r="D39" s="2680">
        <f>D38/(1+D34)^C36</f>
        <v>0</v>
      </c>
      <c r="E39" s="2680">
        <f>E38/(1+E34)^(C36+D36)</f>
        <v>0</v>
      </c>
      <c r="F39" s="2684"/>
      <c r="G39" s="2599"/>
      <c r="H39" s="2598"/>
      <c r="I39" s="2599"/>
      <c r="J39" s="3357"/>
      <c r="K39" s="3359"/>
      <c r="L39" s="2633"/>
      <c r="M39" s="2634"/>
      <c r="N39" s="2610"/>
      <c r="O39" s="2635"/>
      <c r="P39" s="2635"/>
      <c r="Q39" s="2636"/>
      <c r="R39" s="2637"/>
      <c r="S39" s="2591"/>
      <c r="T39" s="2591"/>
      <c r="U39" s="2591"/>
      <c r="V39" s="2599"/>
    </row>
    <row r="40" spans="1:23" s="2603" customFormat="1" ht="13.15" customHeight="1">
      <c r="A40" s="2738">
        <v>10</v>
      </c>
      <c r="B40" s="2680" t="s">
        <v>2434</v>
      </c>
      <c r="C40" s="2739" t="e">
        <f>C39+D39+E39</f>
        <v>#DIV/0!</v>
      </c>
      <c r="D40" s="2740"/>
      <c r="E40" s="2740"/>
      <c r="F40" s="2741"/>
      <c r="G40" s="2591"/>
      <c r="H40" s="2598"/>
      <c r="I40" s="2599"/>
      <c r="J40" s="3357"/>
      <c r="K40" s="3360"/>
      <c r="L40" s="2653" t="s">
        <v>2373</v>
      </c>
      <c r="M40" s="2654"/>
      <c r="N40" s="2654"/>
      <c r="O40" s="2655"/>
      <c r="P40" s="2655"/>
      <c r="Q40" s="2656"/>
      <c r="R40" s="2602">
        <f>SUM(R37:R39)</f>
        <v>0</v>
      </c>
      <c r="S40" s="2591"/>
      <c r="T40" s="2591"/>
      <c r="U40" s="2591"/>
      <c r="V40" s="2599"/>
    </row>
    <row r="41" spans="1:23" s="2603" customFormat="1" ht="13.15" customHeight="1" thickBot="1">
      <c r="A41" s="2742">
        <v>11</v>
      </c>
      <c r="B41" s="2743" t="s">
        <v>2435</v>
      </c>
      <c r="C41" s="2743" t="e">
        <f>ROUND(C40*10000/B4,0)</f>
        <v>#DIV/0!</v>
      </c>
      <c r="D41" s="2744"/>
      <c r="E41" s="2744"/>
      <c r="F41" s="2745"/>
      <c r="G41" s="2598"/>
      <c r="H41" s="2598"/>
      <c r="I41" s="2599"/>
      <c r="J41" s="2692">
        <v>2</v>
      </c>
      <c r="K41" s="2693" t="s">
        <v>2413</v>
      </c>
      <c r="L41" s="2694"/>
      <c r="M41" s="2694"/>
      <c r="N41" s="2694"/>
      <c r="O41" s="2694"/>
      <c r="P41" s="2695"/>
      <c r="Q41" s="2696"/>
      <c r="R41" s="2669">
        <f>ROUND(R40*Q41,0)</f>
        <v>0</v>
      </c>
      <c r="S41" s="2591"/>
      <c r="T41" s="2591"/>
      <c r="U41" s="2642"/>
      <c r="V41" s="2599"/>
    </row>
    <row r="42" spans="1:23" s="2603" customFormat="1" ht="13.15" customHeight="1">
      <c r="G42" s="2598"/>
      <c r="H42" s="2598"/>
      <c r="I42" s="2599"/>
      <c r="J42" s="3361">
        <v>3</v>
      </c>
      <c r="K42" s="2699" t="s">
        <v>2415</v>
      </c>
      <c r="L42" s="2700"/>
      <c r="M42" s="2701"/>
      <c r="N42" s="2702" t="s">
        <v>2416</v>
      </c>
      <c r="O42" s="2702" t="s">
        <v>2417</v>
      </c>
      <c r="P42" s="2703" t="s">
        <v>2418</v>
      </c>
      <c r="Q42" s="2703" t="s">
        <v>2419</v>
      </c>
      <c r="R42" s="2608" t="s">
        <v>2344</v>
      </c>
      <c r="S42" s="2642"/>
      <c r="T42" s="2642"/>
      <c r="U42" s="2591"/>
      <c r="V42" s="2599"/>
    </row>
    <row r="43" spans="1:23" ht="13.15" customHeight="1">
      <c r="A43" s="2603"/>
      <c r="B43" s="2603"/>
      <c r="C43" s="2603"/>
      <c r="D43" s="2603"/>
      <c r="E43" s="2603"/>
      <c r="F43" s="2603"/>
      <c r="I43" s="2586"/>
      <c r="J43" s="3362"/>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2422</v>
      </c>
      <c r="L44" s="2748" t="s">
        <v>2423</v>
      </c>
      <c r="M44" s="2714"/>
      <c r="N44" s="2748" t="s">
        <v>2424</v>
      </c>
      <c r="O44" s="2714"/>
      <c r="P44" s="2748" t="s">
        <v>2425</v>
      </c>
      <c r="Q44" s="2716">
        <v>1.4999999999999999E-2</v>
      </c>
      <c r="R44" s="271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M9" sqref="M9"/>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8"/>
      <c r="G1" s="459"/>
      <c r="H1" s="459"/>
      <c r="I1" s="459"/>
      <c r="J1" s="459"/>
      <c r="K1" s="459"/>
      <c r="L1" s="459"/>
      <c r="M1" s="459"/>
      <c r="N1" s="459"/>
      <c r="O1" s="459"/>
      <c r="P1" s="459"/>
      <c r="Q1" s="459"/>
      <c r="R1" s="459"/>
      <c r="S1" s="459"/>
    </row>
    <row r="2" spans="1:22" ht="15.75">
      <c r="A2" s="1727" t="s">
        <v>1462</v>
      </c>
      <c r="B2" s="811">
        <f ca="1">SUMIF(B6:B13,"&lt;&gt;#ref!",B6:B13)</f>
        <v>224.42509999999999</v>
      </c>
      <c r="C2" s="1728" t="s">
        <v>1651</v>
      </c>
      <c r="D2" s="1729" t="s">
        <v>1652</v>
      </c>
      <c r="E2" s="2391">
        <f>SUM(E6:E13)</f>
        <v>44.28</v>
      </c>
      <c r="F2" s="2478"/>
      <c r="G2" s="459"/>
      <c r="H2" s="459"/>
      <c r="I2" s="459"/>
      <c r="J2" s="459"/>
      <c r="K2" s="459"/>
      <c r="L2" s="459"/>
      <c r="M2" s="459"/>
      <c r="N2" s="459"/>
      <c r="O2" s="459"/>
      <c r="P2" s="459"/>
      <c r="Q2" s="459"/>
      <c r="R2" s="459"/>
      <c r="S2" s="459"/>
    </row>
    <row r="3" spans="1:22" ht="15.75">
      <c r="A3" s="1727" t="s">
        <v>686</v>
      </c>
      <c r="B3" s="2385">
        <f ca="1">ROUND(B2*10000/E2,0)</f>
        <v>50683</v>
      </c>
      <c r="C3" s="1728"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376" t="s">
        <v>1654</v>
      </c>
      <c r="C5" s="3377"/>
      <c r="D5" s="2479"/>
      <c r="E5" s="1730" t="s">
        <v>1655</v>
      </c>
      <c r="F5" s="129" t="s">
        <v>1656</v>
      </c>
      <c r="G5" s="459"/>
      <c r="H5" s="459"/>
      <c r="I5" s="459"/>
      <c r="J5" s="459"/>
      <c r="K5" s="459"/>
      <c r="L5" s="459"/>
      <c r="M5" s="459"/>
      <c r="N5" s="459"/>
      <c r="O5" s="459"/>
      <c r="P5" s="459"/>
      <c r="Q5" s="459"/>
      <c r="R5" s="459"/>
      <c r="S5" s="459"/>
    </row>
    <row r="6" spans="1:22">
      <c r="A6" s="2388" t="str">
        <f>'数据-取费表'!AN6</f>
        <v>收益法 (元)</v>
      </c>
      <c r="B6" s="2386">
        <f ca="1">IF(F6="是",'数据-取费表'!AO6,0)</f>
        <v>224.42509999999999</v>
      </c>
      <c r="C6" s="1728" t="s">
        <v>1651</v>
      </c>
      <c r="D6" s="2478"/>
      <c r="E6" s="2390">
        <f>IF(OR(A6=0,F6="否"),0,'数据-取费表'!K6+'数据-取费表'!S6)</f>
        <v>44.28</v>
      </c>
      <c r="F6" s="1731"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8" t="s">
        <v>1651</v>
      </c>
      <c r="D7" s="2478"/>
      <c r="E7" s="2390">
        <f>IF(OR(A7=0,F7="否"),0,'数据-取费表'!K7+'数据-取费表'!S7)</f>
        <v>0</v>
      </c>
      <c r="F7" s="1731"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8" t="s">
        <v>1651</v>
      </c>
      <c r="D8" s="2478"/>
      <c r="E8" s="2390">
        <f>IF(OR(A8=0,F8="否"),0,'数据-取费表'!K8+'数据-取费表'!S8)</f>
        <v>0</v>
      </c>
      <c r="F8" s="1731"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8" t="s">
        <v>1651</v>
      </c>
      <c r="D9" s="2478"/>
      <c r="E9" s="2390">
        <f>IF(OR(A9=0,F9="否"),0,'数据-取费表'!K9+'数据-取费表'!S9)</f>
        <v>0</v>
      </c>
      <c r="F9" s="1731"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8" t="s">
        <v>1651</v>
      </c>
      <c r="D10" s="2478"/>
      <c r="E10" s="2390">
        <f>IF(OR(A10=0,F10="否"),0,'数据-取费表'!K10+'数据-取费表'!S10)</f>
        <v>0</v>
      </c>
      <c r="F10" s="1731"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8" t="s">
        <v>1651</v>
      </c>
      <c r="D11" s="2478"/>
      <c r="E11" s="2390">
        <f>IF(OR(A11=0,F11="否"),0,'数据-取费表'!K11+'数据-取费表'!S11)</f>
        <v>0</v>
      </c>
      <c r="F11" s="1731"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8" t="s">
        <v>1651</v>
      </c>
      <c r="D12" s="2478"/>
      <c r="E12" s="2390">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2" t="s">
        <v>1651</v>
      </c>
      <c r="D13" s="2480"/>
      <c r="E13" s="2390">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10" zoomScale="80" zoomScaleNormal="60" zoomScaleSheetLayoutView="80" workbookViewId="0">
      <selection activeCell="M7" sqref="M7"/>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8.8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1661</v>
      </c>
      <c r="C1" s="1154" t="s">
        <v>1662</v>
      </c>
      <c r="D1" s="1141" t="s">
        <v>3388</v>
      </c>
      <c r="E1" s="3123" t="s">
        <v>3446</v>
      </c>
      <c r="F1" s="1734" t="s">
        <v>3447</v>
      </c>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4">
        <f>IF(E1="项目模式",IF(C2="——",ROUND(C49*D3/10000,0),ROUND(C49*D3/10000,0)-D2),IF(E1="单套模式",IF(C2="——",ROUND(C49*D3/10000,4),ROUND(C49*D3/10000,4)-D2)))</f>
        <v>481.54939999999999</v>
      </c>
      <c r="C2" s="1736" t="s">
        <v>43</v>
      </c>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3"/>
      <c r="M2" s="2484"/>
      <c r="N2" s="2484"/>
      <c r="O2" s="2484"/>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108751</v>
      </c>
      <c r="C3" s="344" t="s">
        <v>1665</v>
      </c>
      <c r="D3" s="343">
        <f>IF(D1="",'数据-汇总表'!E3,SUMIF('数据-汇总表'!$C19:$C33,D1,'数据-汇总表'!$E19:$E33))</f>
        <v>44.28</v>
      </c>
      <c r="E3" s="854"/>
      <c r="F3" s="1742"/>
      <c r="G3" s="854"/>
      <c r="H3" s="854"/>
      <c r="I3" s="854"/>
      <c r="J3" s="854"/>
      <c r="K3" s="1739"/>
      <c r="L3" s="2483"/>
      <c r="M3" s="2484"/>
      <c r="N3" s="2484"/>
      <c r="O3" s="2484"/>
      <c r="P3" s="1740"/>
      <c r="Q3" s="1741"/>
      <c r="R3" s="1741"/>
      <c r="S3" s="1741"/>
      <c r="T3" s="1741"/>
      <c r="U3" s="1741"/>
      <c r="V3" s="1741"/>
      <c r="W3" s="1741"/>
      <c r="X3" s="1741"/>
      <c r="Y3" s="1741"/>
      <c r="Z3" s="1741"/>
      <c r="AA3" s="1741"/>
      <c r="AB3" s="1741"/>
      <c r="AC3" s="998"/>
    </row>
    <row r="4" spans="1:29" ht="15">
      <c r="A4" s="345" t="s">
        <v>1666</v>
      </c>
      <c r="B4" s="346"/>
      <c r="C4" s="3396" t="s">
        <v>1667</v>
      </c>
      <c r="D4" s="3397"/>
      <c r="E4" s="3398" t="s">
        <v>1668</v>
      </c>
      <c r="F4" s="3399"/>
      <c r="G4" s="3396" t="s">
        <v>1669</v>
      </c>
      <c r="H4" s="3397"/>
      <c r="I4" s="3396" t="s">
        <v>1670</v>
      </c>
      <c r="J4" s="3397"/>
      <c r="K4" s="1743" t="s">
        <v>1671</v>
      </c>
      <c r="L4" s="2485"/>
      <c r="M4" s="2486"/>
      <c r="N4" s="2486"/>
      <c r="O4" s="2486"/>
      <c r="P4" s="3400" t="s">
        <v>1672</v>
      </c>
      <c r="Q4" s="3401"/>
      <c r="R4" s="3406" t="s">
        <v>1668</v>
      </c>
      <c r="S4" s="3407"/>
      <c r="T4" s="3406" t="s">
        <v>1669</v>
      </c>
      <c r="U4" s="3407"/>
      <c r="V4" s="3382" t="s">
        <v>1670</v>
      </c>
      <c r="W4" s="3382"/>
      <c r="X4" s="1264"/>
      <c r="Y4" s="3406" t="s">
        <v>1672</v>
      </c>
      <c r="Z4" s="3407"/>
      <c r="AA4" s="3393" t="s">
        <v>1668</v>
      </c>
      <c r="AB4" s="3393" t="s">
        <v>1669</v>
      </c>
      <c r="AC4" s="3393" t="s">
        <v>1670</v>
      </c>
    </row>
    <row r="5" spans="1:29" ht="15">
      <c r="A5" s="348"/>
      <c r="B5" s="349"/>
      <c r="C5" s="3414" t="s">
        <v>3435</v>
      </c>
      <c r="D5" s="3415"/>
      <c r="E5" s="3414" t="s">
        <v>3435</v>
      </c>
      <c r="F5" s="3415"/>
      <c r="G5" s="3414" t="s">
        <v>3435</v>
      </c>
      <c r="H5" s="3415"/>
      <c r="I5" s="3414" t="s">
        <v>3435</v>
      </c>
      <c r="J5" s="3415"/>
      <c r="K5" s="1744"/>
      <c r="L5" s="2485"/>
      <c r="M5" s="2486"/>
      <c r="N5" s="2486"/>
      <c r="O5" s="2486"/>
      <c r="P5" s="3402"/>
      <c r="Q5" s="3403"/>
      <c r="R5" s="3408"/>
      <c r="S5" s="3409"/>
      <c r="T5" s="3408"/>
      <c r="U5" s="3409"/>
      <c r="V5" s="3382"/>
      <c r="W5" s="3382"/>
      <c r="X5" s="1264"/>
      <c r="Y5" s="3408"/>
      <c r="Z5" s="3409"/>
      <c r="AA5" s="3394"/>
      <c r="AB5" s="3394"/>
      <c r="AC5" s="3394"/>
    </row>
    <row r="6" spans="1:29" ht="15.75" thickBot="1">
      <c r="A6" s="350"/>
      <c r="B6" s="351"/>
      <c r="C6" s="3412" t="s">
        <v>1677</v>
      </c>
      <c r="D6" s="3413"/>
      <c r="E6" s="3419" t="s">
        <v>1677</v>
      </c>
      <c r="F6" s="3420"/>
      <c r="G6" s="3412" t="s">
        <v>1677</v>
      </c>
      <c r="H6" s="3413"/>
      <c r="I6" s="3412" t="s">
        <v>1677</v>
      </c>
      <c r="J6" s="3413"/>
      <c r="K6" s="1744" t="s">
        <v>1678</v>
      </c>
      <c r="L6" s="2485"/>
      <c r="M6" s="2486"/>
      <c r="N6" s="2486"/>
      <c r="O6" s="2486"/>
      <c r="P6" s="3404"/>
      <c r="Q6" s="3405"/>
      <c r="R6" s="3408"/>
      <c r="S6" s="3409"/>
      <c r="T6" s="3410"/>
      <c r="U6" s="3411"/>
      <c r="V6" s="3382"/>
      <c r="W6" s="3382"/>
      <c r="X6" s="1264"/>
      <c r="Y6" s="3410"/>
      <c r="Z6" s="3411"/>
      <c r="AA6" s="3395"/>
      <c r="AB6" s="3395"/>
      <c r="AC6" s="3395"/>
    </row>
    <row r="7" spans="1:29" s="102" customFormat="1" ht="15.75" thickBot="1">
      <c r="A7" s="352" t="s">
        <v>1679</v>
      </c>
      <c r="B7" s="353"/>
      <c r="C7" s="354">
        <f>'数据-取费表'!B2</f>
        <v>45301</v>
      </c>
      <c r="D7" s="355">
        <v>100</v>
      </c>
      <c r="E7" s="356">
        <f>Sheet1!N6</f>
        <v>45068</v>
      </c>
      <c r="F7" s="357">
        <f>SUMIF(58:58,YEAR(E7)&amp;"-"&amp;MONTH(E7),59:59)</f>
        <v>99</v>
      </c>
      <c r="G7" s="356">
        <f>Sheet1!N12</f>
        <v>44903</v>
      </c>
      <c r="H7" s="355">
        <f>SUMIF(58:58,YEAR(G7)&amp;"-"&amp;MONTH(G7),59:59)</f>
        <v>99</v>
      </c>
      <c r="I7" s="356">
        <f>Sheet1!N13</f>
        <v>44844</v>
      </c>
      <c r="J7" s="355">
        <f>SUMIF(58:58,YEAR(I7)&amp;"-"&amp;MONTH(I7),59:59)</f>
        <v>99</v>
      </c>
      <c r="K7" s="1745"/>
      <c r="L7" s="2487"/>
      <c r="M7" s="2438"/>
      <c r="N7" s="2438"/>
      <c r="O7" s="2438"/>
      <c r="P7" s="3416" t="s">
        <v>1680</v>
      </c>
      <c r="Q7" s="3418"/>
      <c r="R7" s="664" t="s">
        <v>20</v>
      </c>
      <c r="S7" s="665">
        <f t="shared" ref="S7:S15" si="0">F7</f>
        <v>99</v>
      </c>
      <c r="T7" s="664" t="s">
        <v>20</v>
      </c>
      <c r="U7" s="665">
        <f t="shared" ref="U7:U15" si="1">H7</f>
        <v>99</v>
      </c>
      <c r="V7" s="664" t="s">
        <v>20</v>
      </c>
      <c r="W7" s="665">
        <f t="shared" ref="W7:W15" si="2">J7</f>
        <v>99</v>
      </c>
      <c r="X7" s="666"/>
      <c r="Y7" s="3416" t="s">
        <v>1680</v>
      </c>
      <c r="Z7" s="3417"/>
      <c r="AA7" s="50">
        <f>D7/F7</f>
        <v>1.0101010101010102</v>
      </c>
      <c r="AB7" s="50">
        <f>D7/H7</f>
        <v>1.0101010101010102</v>
      </c>
      <c r="AC7" s="50">
        <f>D7/J7</f>
        <v>1.0101010101010102</v>
      </c>
    </row>
    <row r="8" spans="1:29" s="102" customFormat="1" ht="15.75" thickBot="1">
      <c r="A8" s="352" t="s">
        <v>1681</v>
      </c>
      <c r="B8" s="353"/>
      <c r="C8" s="358" t="s">
        <v>3477</v>
      </c>
      <c r="D8" s="355">
        <v>100</v>
      </c>
      <c r="E8" s="358" t="s">
        <v>3477</v>
      </c>
      <c r="F8" s="357">
        <f>SUMIF(61:61,E8,62:62)-SUMIF(61:61,C8,62:62)+100</f>
        <v>100</v>
      </c>
      <c r="G8" s="358" t="s">
        <v>3477</v>
      </c>
      <c r="H8" s="355">
        <f>SUMIF(61:61,G8,62:62)-SUMIF(61:61,C8,62:62)+100</f>
        <v>100</v>
      </c>
      <c r="I8" s="358" t="s">
        <v>3477</v>
      </c>
      <c r="J8" s="355">
        <f>SUMIF(61:61,I8,62:62)-SUMIF(61:61,C8,62:62)+100</f>
        <v>100</v>
      </c>
      <c r="K8" s="1745"/>
      <c r="L8" s="2487"/>
      <c r="M8" s="2438"/>
      <c r="N8" s="2438"/>
      <c r="O8" s="2438"/>
      <c r="P8" s="3416" t="s">
        <v>1683</v>
      </c>
      <c r="Q8" s="3417"/>
      <c r="R8" s="664" t="s">
        <v>20</v>
      </c>
      <c r="S8" s="665">
        <f t="shared" si="0"/>
        <v>100</v>
      </c>
      <c r="T8" s="664" t="s">
        <v>20</v>
      </c>
      <c r="U8" s="665">
        <f t="shared" si="1"/>
        <v>100</v>
      </c>
      <c r="V8" s="664" t="s">
        <v>20</v>
      </c>
      <c r="W8" s="665">
        <f t="shared" si="2"/>
        <v>100</v>
      </c>
      <c r="X8" s="666"/>
      <c r="Y8" s="3416" t="s">
        <v>1683</v>
      </c>
      <c r="Z8" s="3417"/>
      <c r="AA8" s="50">
        <f t="shared" ref="AA8:AA19" si="3">D8/F8</f>
        <v>1</v>
      </c>
      <c r="AB8" s="50">
        <f t="shared" ref="AB8:AB19" si="4">D8/H8</f>
        <v>1</v>
      </c>
      <c r="AC8" s="50">
        <f t="shared" ref="AC8:AC19" si="5">D8/J8</f>
        <v>1</v>
      </c>
    </row>
    <row r="9" spans="1:29" s="102" customFormat="1">
      <c r="A9" s="359" t="s">
        <v>1684</v>
      </c>
      <c r="B9" s="60" t="s">
        <v>1685</v>
      </c>
      <c r="C9" s="3163" t="s">
        <v>3478</v>
      </c>
      <c r="D9" s="59">
        <v>100</v>
      </c>
      <c r="E9" s="361" t="s">
        <v>3388</v>
      </c>
      <c r="F9" s="60">
        <f>SUMIF(63:63,E9,64:64)-SUMIF(63:63,C9,64:64)+100</f>
        <v>100</v>
      </c>
      <c r="G9" s="361" t="s">
        <v>3388</v>
      </c>
      <c r="H9" s="59">
        <f>SUMIF(63:63,G9,64:64)-SUMIF(63:63,C9,64:64)+100</f>
        <v>100</v>
      </c>
      <c r="I9" s="361" t="s">
        <v>3388</v>
      </c>
      <c r="J9" s="59">
        <f>SUMIF(63:63,I9,64:64)-SUMIF(63:63,C9,64:64)+100</f>
        <v>100</v>
      </c>
      <c r="K9" s="1745"/>
      <c r="L9" s="2487"/>
      <c r="M9" s="2438"/>
      <c r="N9" s="2438"/>
      <c r="O9" s="2438"/>
      <c r="P9" s="3392" t="s">
        <v>1686</v>
      </c>
      <c r="Q9" s="530" t="str">
        <f t="shared" ref="Q9:Q15" si="6">B9</f>
        <v>用途</v>
      </c>
      <c r="R9" s="664" t="s">
        <v>14</v>
      </c>
      <c r="S9" s="665">
        <f t="shared" si="0"/>
        <v>100</v>
      </c>
      <c r="T9" s="664" t="s">
        <v>14</v>
      </c>
      <c r="U9" s="665">
        <f t="shared" si="1"/>
        <v>100</v>
      </c>
      <c r="V9" s="664" t="s">
        <v>14</v>
      </c>
      <c r="W9" s="665">
        <f t="shared" si="2"/>
        <v>100</v>
      </c>
      <c r="X9" s="666"/>
      <c r="Y9" s="3256"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5"/>
      <c r="L10" s="2488"/>
      <c r="M10" s="2489"/>
      <c r="N10" s="2489"/>
      <c r="O10" s="2489"/>
      <c r="P10" s="3392"/>
      <c r="Q10" s="530" t="str">
        <f t="shared" si="6"/>
        <v>土地使用年限（年）</v>
      </c>
      <c r="R10" s="664" t="s">
        <v>14</v>
      </c>
      <c r="S10" s="665">
        <f t="shared" si="0"/>
        <v>100</v>
      </c>
      <c r="T10" s="664" t="s">
        <v>14</v>
      </c>
      <c r="U10" s="665">
        <f t="shared" si="1"/>
        <v>100</v>
      </c>
      <c r="V10" s="664" t="s">
        <v>14</v>
      </c>
      <c r="W10" s="665">
        <f t="shared" si="2"/>
        <v>100</v>
      </c>
      <c r="X10" s="666"/>
      <c r="Y10" s="3256"/>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0"/>
      <c r="M11" s="2486"/>
      <c r="N11" s="2486"/>
      <c r="O11" s="2486"/>
      <c r="P11" s="3392"/>
      <c r="Q11" s="530" t="str">
        <f t="shared" si="6"/>
        <v>容积率</v>
      </c>
      <c r="R11" s="664" t="s">
        <v>18</v>
      </c>
      <c r="S11" s="665">
        <f t="shared" si="0"/>
        <v>100</v>
      </c>
      <c r="T11" s="664" t="s">
        <v>18</v>
      </c>
      <c r="U11" s="665">
        <f t="shared" si="1"/>
        <v>100</v>
      </c>
      <c r="V11" s="664" t="s">
        <v>18</v>
      </c>
      <c r="W11" s="665">
        <f t="shared" si="2"/>
        <v>100</v>
      </c>
      <c r="X11" s="666"/>
      <c r="Y11" s="3256"/>
      <c r="Z11" s="50" t="str">
        <f t="shared" si="7"/>
        <v>容积率</v>
      </c>
      <c r="AA11" s="50">
        <f t="shared" si="3"/>
        <v>1</v>
      </c>
      <c r="AB11" s="50">
        <f t="shared" si="4"/>
        <v>1</v>
      </c>
      <c r="AC11" s="50">
        <f t="shared" si="5"/>
        <v>1</v>
      </c>
    </row>
    <row r="12" spans="1:29" s="102" customFormat="1" ht="15">
      <c r="A12" s="370"/>
      <c r="B12" s="3165" t="s">
        <v>3481</v>
      </c>
      <c r="C12" s="3166" t="s">
        <v>3482</v>
      </c>
      <c r="D12" s="372">
        <v>100</v>
      </c>
      <c r="E12" s="3166" t="s">
        <v>3482</v>
      </c>
      <c r="F12" s="364">
        <f>SUMIF(70:70,E12,71:71)-SUMIF(70:70,C12,71:71)+100</f>
        <v>100</v>
      </c>
      <c r="G12" s="3166" t="s">
        <v>3483</v>
      </c>
      <c r="H12" s="119">
        <f>SUMIF(70:70,G12,71:71)-SUMIF(70:70,C12,71:71)+100</f>
        <v>95</v>
      </c>
      <c r="I12" s="3166" t="s">
        <v>3483</v>
      </c>
      <c r="J12" s="119">
        <f>SUMIF(70:70,I12,71:71)-SUMIF(70:70,C12,71:71)+100</f>
        <v>95</v>
      </c>
      <c r="K12" s="1746"/>
      <c r="L12" s="2487"/>
      <c r="M12" s="2438"/>
      <c r="N12" s="2438"/>
      <c r="O12" s="2438"/>
      <c r="P12" s="3392"/>
      <c r="Q12" s="530" t="str">
        <f t="shared" si="6"/>
        <v>房屋性质</v>
      </c>
      <c r="R12" s="664" t="s">
        <v>18</v>
      </c>
      <c r="S12" s="665">
        <f t="shared" si="0"/>
        <v>100</v>
      </c>
      <c r="T12" s="664" t="s">
        <v>18</v>
      </c>
      <c r="U12" s="665">
        <f t="shared" si="1"/>
        <v>95</v>
      </c>
      <c r="V12" s="664" t="s">
        <v>18</v>
      </c>
      <c r="W12" s="665">
        <f t="shared" si="2"/>
        <v>95</v>
      </c>
      <c r="X12" s="666"/>
      <c r="Y12" s="3256"/>
      <c r="Z12" s="50" t="str">
        <f t="shared" si="7"/>
        <v>房屋性质</v>
      </c>
      <c r="AA12" s="50">
        <f>D12/F12</f>
        <v>1</v>
      </c>
      <c r="AB12" s="50">
        <f>D12/H12</f>
        <v>1.0526315789473684</v>
      </c>
      <c r="AC12" s="50">
        <f>D12/J12</f>
        <v>1.0526315789473684</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6"/>
      <c r="L13" s="2491"/>
      <c r="M13" s="2486"/>
      <c r="N13" s="2486"/>
      <c r="O13" s="2486"/>
      <c r="P13" s="3392"/>
      <c r="Q13" s="530">
        <f t="shared" si="6"/>
        <v>111</v>
      </c>
      <c r="R13" s="664" t="s">
        <v>18</v>
      </c>
      <c r="S13" s="665">
        <f t="shared" si="0"/>
        <v>100</v>
      </c>
      <c r="T13" s="664" t="s">
        <v>18</v>
      </c>
      <c r="U13" s="665">
        <f t="shared" si="1"/>
        <v>100</v>
      </c>
      <c r="V13" s="664" t="s">
        <v>18</v>
      </c>
      <c r="W13" s="665">
        <f t="shared" si="2"/>
        <v>100</v>
      </c>
      <c r="X13" s="666"/>
      <c r="Y13" s="3256"/>
      <c r="Z13" s="50">
        <f t="shared" si="7"/>
        <v>111</v>
      </c>
      <c r="AA13" s="50">
        <f t="shared" si="3"/>
        <v>1</v>
      </c>
      <c r="AB13" s="50">
        <f t="shared" si="4"/>
        <v>1</v>
      </c>
      <c r="AC13" s="50">
        <f t="shared" si="5"/>
        <v>1</v>
      </c>
    </row>
    <row r="14" spans="1:29" ht="15.75" thickBot="1">
      <c r="A14" s="375"/>
      <c r="B14" s="1747">
        <v>111</v>
      </c>
      <c r="C14" s="376"/>
      <c r="D14" s="377">
        <v>100</v>
      </c>
      <c r="E14" s="376"/>
      <c r="F14" s="378">
        <f>SUMIF(74:74,E14,75:75)-SUMIF(74:74,C14,75:75)+100</f>
        <v>100</v>
      </c>
      <c r="G14" s="376"/>
      <c r="H14" s="377">
        <f>SUMIF(74:74,G14,75:75)-SUMIF(74:74,C14,75:75)+100</f>
        <v>100</v>
      </c>
      <c r="I14" s="376"/>
      <c r="J14" s="377">
        <f>SUMIF(74:74,I14,75:75)-SUMIF(74:74,C14,75:75)+100</f>
        <v>100</v>
      </c>
      <c r="K14" s="1746"/>
      <c r="L14" s="2491"/>
      <c r="M14" s="2486"/>
      <c r="N14" s="2486"/>
      <c r="O14" s="2486"/>
      <c r="P14" s="3392"/>
      <c r="Q14" s="530">
        <f t="shared" si="6"/>
        <v>111</v>
      </c>
      <c r="R14" s="664" t="s">
        <v>18</v>
      </c>
      <c r="S14" s="665">
        <f t="shared" si="0"/>
        <v>100</v>
      </c>
      <c r="T14" s="664" t="s">
        <v>18</v>
      </c>
      <c r="U14" s="665">
        <f t="shared" si="1"/>
        <v>100</v>
      </c>
      <c r="V14" s="664" t="s">
        <v>18</v>
      </c>
      <c r="W14" s="665">
        <f t="shared" si="2"/>
        <v>100</v>
      </c>
      <c r="X14" s="666"/>
      <c r="Y14" s="3256"/>
      <c r="Z14" s="50">
        <f t="shared" si="7"/>
        <v>111</v>
      </c>
      <c r="AA14" s="50">
        <f t="shared" si="3"/>
        <v>1</v>
      </c>
      <c r="AB14" s="50">
        <f t="shared" si="4"/>
        <v>1</v>
      </c>
      <c r="AC14" s="50">
        <f t="shared" si="5"/>
        <v>1</v>
      </c>
    </row>
    <row r="15" spans="1:29" ht="85.5">
      <c r="A15" s="379" t="s">
        <v>1690</v>
      </c>
      <c r="B15" s="58" t="s">
        <v>1257</v>
      </c>
      <c r="C15" s="1748"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390" t="s">
        <v>1691</v>
      </c>
      <c r="Q15" s="1262" t="str">
        <f t="shared" si="6"/>
        <v>居住社区成熟度</v>
      </c>
      <c r="R15" s="667" t="s">
        <v>18</v>
      </c>
      <c r="S15" s="668">
        <f t="shared" si="0"/>
        <v>100</v>
      </c>
      <c r="T15" s="667" t="s">
        <v>18</v>
      </c>
      <c r="U15" s="668">
        <f t="shared" si="1"/>
        <v>100</v>
      </c>
      <c r="V15" s="667" t="s">
        <v>18</v>
      </c>
      <c r="W15" s="668">
        <f t="shared" si="2"/>
        <v>100</v>
      </c>
      <c r="X15" s="1264"/>
      <c r="Y15" s="3383" t="s">
        <v>1691</v>
      </c>
      <c r="Z15" s="1263" t="str">
        <f t="shared" si="7"/>
        <v>居住社区成熟度</v>
      </c>
      <c r="AA15" s="1263">
        <f t="shared" si="3"/>
        <v>1</v>
      </c>
      <c r="AB15" s="1263">
        <f t="shared" si="4"/>
        <v>1</v>
      </c>
      <c r="AC15" s="1263">
        <f t="shared" si="5"/>
        <v>1</v>
      </c>
    </row>
    <row r="16" spans="1:29" ht="15">
      <c r="A16" s="367"/>
      <c r="B16" s="385"/>
      <c r="C16" s="386"/>
      <c r="D16" s="387"/>
      <c r="E16" s="1749"/>
      <c r="F16" s="387"/>
      <c r="G16" s="1750"/>
      <c r="H16" s="389"/>
      <c r="I16" s="1750"/>
      <c r="J16" s="387"/>
      <c r="K16" s="1751"/>
      <c r="L16" s="2491"/>
      <c r="M16" s="2486"/>
      <c r="N16" s="2486"/>
      <c r="O16" s="2486"/>
      <c r="P16" s="3391"/>
      <c r="Q16" s="1262"/>
      <c r="R16" s="667"/>
      <c r="S16" s="668"/>
      <c r="T16" s="667"/>
      <c r="U16" s="668"/>
      <c r="V16" s="667"/>
      <c r="W16" s="668"/>
      <c r="X16" s="1264"/>
      <c r="Y16" s="3384"/>
      <c r="Z16" s="1263"/>
      <c r="AA16" s="1263">
        <v>1</v>
      </c>
      <c r="AB16" s="1263">
        <v>1</v>
      </c>
      <c r="AC16" s="1263">
        <v>1</v>
      </c>
    </row>
    <row r="17" spans="1:29" ht="71.25">
      <c r="A17" s="367"/>
      <c r="B17" s="390" t="s">
        <v>1259</v>
      </c>
      <c r="C17" s="1752"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391"/>
      <c r="Q17" s="1262" t="str">
        <f>B17</f>
        <v>交通便捷度</v>
      </c>
      <c r="R17" s="667" t="s">
        <v>18</v>
      </c>
      <c r="S17" s="668">
        <f>F17</f>
        <v>100</v>
      </c>
      <c r="T17" s="667" t="s">
        <v>18</v>
      </c>
      <c r="U17" s="668">
        <f>H17</f>
        <v>100</v>
      </c>
      <c r="V17" s="667" t="s">
        <v>18</v>
      </c>
      <c r="W17" s="668">
        <f>J17</f>
        <v>100</v>
      </c>
      <c r="X17" s="1264"/>
      <c r="Y17" s="3384"/>
      <c r="Z17" s="1263" t="str">
        <f>Q17</f>
        <v>交通便捷度</v>
      </c>
      <c r="AA17" s="1263">
        <f t="shared" si="3"/>
        <v>1</v>
      </c>
      <c r="AB17" s="1263">
        <f t="shared" si="4"/>
        <v>1</v>
      </c>
      <c r="AC17" s="1263">
        <f t="shared" si="5"/>
        <v>1</v>
      </c>
    </row>
    <row r="18" spans="1:29" ht="15">
      <c r="A18" s="367"/>
      <c r="B18" s="395"/>
      <c r="C18" s="1753"/>
      <c r="D18" s="389"/>
      <c r="E18" s="1754"/>
      <c r="F18" s="389"/>
      <c r="G18" s="1755"/>
      <c r="H18" s="387"/>
      <c r="I18" s="1755"/>
      <c r="J18" s="387"/>
      <c r="K18" s="1751"/>
      <c r="L18" s="2491"/>
      <c r="M18" s="2486"/>
      <c r="N18" s="2486"/>
      <c r="O18" s="2486"/>
      <c r="P18" s="3391"/>
      <c r="Q18" s="1262"/>
      <c r="R18" s="667"/>
      <c r="S18" s="668"/>
      <c r="T18" s="667"/>
      <c r="U18" s="668"/>
      <c r="V18" s="667"/>
      <c r="W18" s="668"/>
      <c r="X18" s="1264"/>
      <c r="Y18" s="3384"/>
      <c r="Z18" s="1263"/>
      <c r="AA18" s="1263">
        <v>1</v>
      </c>
      <c r="AB18" s="1263">
        <v>1</v>
      </c>
      <c r="AC18" s="1263">
        <v>1</v>
      </c>
    </row>
    <row r="19" spans="1:29" ht="42.75">
      <c r="A19" s="367"/>
      <c r="B19" s="390" t="s">
        <v>1258</v>
      </c>
      <c r="C19" s="1752"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391"/>
      <c r="Q19" s="1262" t="str">
        <f>B19</f>
        <v>公共配套设施</v>
      </c>
      <c r="R19" s="667" t="s">
        <v>18</v>
      </c>
      <c r="S19" s="668">
        <f>F19</f>
        <v>100</v>
      </c>
      <c r="T19" s="667" t="s">
        <v>18</v>
      </c>
      <c r="U19" s="668">
        <f>H19</f>
        <v>100</v>
      </c>
      <c r="V19" s="667" t="s">
        <v>18</v>
      </c>
      <c r="W19" s="668">
        <f>J19</f>
        <v>100</v>
      </c>
      <c r="X19" s="1264"/>
      <c r="Y19" s="3384"/>
      <c r="Z19" s="1263" t="str">
        <f>Q19</f>
        <v>公共配套设施</v>
      </c>
      <c r="AA19" s="1263">
        <f t="shared" si="3"/>
        <v>1</v>
      </c>
      <c r="AB19" s="1263">
        <f t="shared" si="4"/>
        <v>1</v>
      </c>
      <c r="AC19" s="1263">
        <f t="shared" si="5"/>
        <v>1</v>
      </c>
    </row>
    <row r="20" spans="1:29" ht="15">
      <c r="A20" s="367"/>
      <c r="B20" s="395"/>
      <c r="C20" s="386"/>
      <c r="D20" s="387"/>
      <c r="E20" s="1749"/>
      <c r="F20" s="387"/>
      <c r="G20" s="1750"/>
      <c r="H20" s="387"/>
      <c r="I20" s="1750"/>
      <c r="J20" s="387"/>
      <c r="K20" s="1751"/>
      <c r="L20" s="2491"/>
      <c r="M20" s="2486"/>
      <c r="N20" s="2486"/>
      <c r="O20" s="2486"/>
      <c r="P20" s="3391"/>
      <c r="Q20" s="1262"/>
      <c r="R20" s="667"/>
      <c r="S20" s="668"/>
      <c r="T20" s="667"/>
      <c r="U20" s="668"/>
      <c r="V20" s="667"/>
      <c r="W20" s="668"/>
      <c r="X20" s="1264"/>
      <c r="Y20" s="3384"/>
      <c r="Z20" s="1263"/>
      <c r="AA20" s="1263">
        <v>1</v>
      </c>
      <c r="AB20" s="1263">
        <v>1</v>
      </c>
      <c r="AC20" s="1263">
        <v>1</v>
      </c>
    </row>
    <row r="21" spans="1:29" ht="28.5">
      <c r="A21" s="367"/>
      <c r="B21" s="586" t="s">
        <v>1260</v>
      </c>
      <c r="C21" s="1752"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391"/>
      <c r="Q21" s="1262" t="str">
        <f>B21</f>
        <v>基础设施水平</v>
      </c>
      <c r="R21" s="667" t="s">
        <v>14</v>
      </c>
      <c r="S21" s="668">
        <f>F21</f>
        <v>100</v>
      </c>
      <c r="T21" s="667" t="s">
        <v>14</v>
      </c>
      <c r="U21" s="668">
        <f>H21</f>
        <v>100</v>
      </c>
      <c r="V21" s="667" t="s">
        <v>14</v>
      </c>
      <c r="W21" s="668">
        <f>J21</f>
        <v>100</v>
      </c>
      <c r="X21" s="1264"/>
      <c r="Y21" s="3384"/>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7"/>
      <c r="G22" s="1756"/>
      <c r="H22" s="387"/>
      <c r="I22" s="386"/>
      <c r="J22" s="387"/>
      <c r="K22" s="1757"/>
      <c r="L22" s="2491"/>
      <c r="M22" s="2486"/>
      <c r="N22" s="2486"/>
      <c r="O22" s="2486"/>
      <c r="P22" s="3391"/>
      <c r="Q22" s="1262"/>
      <c r="R22" s="667"/>
      <c r="S22" s="668"/>
      <c r="T22" s="667"/>
      <c r="U22" s="668"/>
      <c r="V22" s="667"/>
      <c r="W22" s="668"/>
      <c r="X22" s="1264"/>
      <c r="Y22" s="3384"/>
      <c r="Z22" s="1263"/>
      <c r="AA22" s="1263">
        <v>1</v>
      </c>
      <c r="AB22" s="1263">
        <v>1</v>
      </c>
      <c r="AC22" s="1263">
        <v>1</v>
      </c>
    </row>
    <row r="23" spans="1:29" ht="42.75">
      <c r="A23" s="367"/>
      <c r="B23" s="390" t="s">
        <v>1261</v>
      </c>
      <c r="C23" s="1752"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391"/>
      <c r="Q23" s="1262" t="str">
        <f>B23</f>
        <v>自然及人文环境</v>
      </c>
      <c r="R23" s="667" t="s">
        <v>18</v>
      </c>
      <c r="S23" s="668">
        <f>F23</f>
        <v>100</v>
      </c>
      <c r="T23" s="667" t="s">
        <v>18</v>
      </c>
      <c r="U23" s="668">
        <f>H23</f>
        <v>100</v>
      </c>
      <c r="V23" s="667" t="s">
        <v>18</v>
      </c>
      <c r="W23" s="668">
        <f>J23</f>
        <v>100</v>
      </c>
      <c r="X23" s="1264"/>
      <c r="Y23" s="3384"/>
      <c r="Z23" s="1263" t="str">
        <f>Q23</f>
        <v>自然及人文环境</v>
      </c>
      <c r="AA23" s="1263">
        <f>D23/F23</f>
        <v>1</v>
      </c>
      <c r="AB23" s="1263">
        <f>D23/H23</f>
        <v>1</v>
      </c>
      <c r="AC23" s="1263">
        <f>D23/J23</f>
        <v>1</v>
      </c>
    </row>
    <row r="24" spans="1:29" ht="15">
      <c r="A24" s="367"/>
      <c r="B24" s="395"/>
      <c r="C24" s="386"/>
      <c r="D24" s="387"/>
      <c r="E24" s="1749"/>
      <c r="F24" s="387"/>
      <c r="G24" s="1750"/>
      <c r="H24" s="387"/>
      <c r="I24" s="1750"/>
      <c r="J24" s="387"/>
      <c r="K24" s="1751"/>
      <c r="L24" s="2491"/>
      <c r="M24" s="2486"/>
      <c r="N24" s="2486"/>
      <c r="O24" s="2486"/>
      <c r="P24" s="3391"/>
      <c r="Q24" s="1262"/>
      <c r="R24" s="667"/>
      <c r="S24" s="668"/>
      <c r="T24" s="667"/>
      <c r="U24" s="668"/>
      <c r="V24" s="667"/>
      <c r="W24" s="668"/>
      <c r="X24" s="1264"/>
      <c r="Y24" s="3384"/>
      <c r="Z24" s="1263"/>
      <c r="AA24" s="1263">
        <v>1</v>
      </c>
      <c r="AB24" s="1263">
        <v>1</v>
      </c>
      <c r="AC24" s="1263">
        <v>1</v>
      </c>
    </row>
    <row r="25" spans="1:29" ht="15">
      <c r="A25" s="367"/>
      <c r="B25" s="364" t="s">
        <v>1692</v>
      </c>
      <c r="C25" s="399"/>
      <c r="D25" s="374">
        <v>100</v>
      </c>
      <c r="E25" s="1758"/>
      <c r="F25" s="374">
        <f>SUMIF(86:86,E25,87:87)-SUMIF(86:86,C25,87:87)+100</f>
        <v>100</v>
      </c>
      <c r="G25" s="1759"/>
      <c r="H25" s="374">
        <f>SUMIF(86:86,G25,87:87)-SUMIF(86:86,C25,87:87)+100</f>
        <v>100</v>
      </c>
      <c r="I25" s="1759"/>
      <c r="J25" s="374">
        <f>SUMIF(86:86,I25,87:87)-SUMIF(86:86,C25,87:87)+100</f>
        <v>100</v>
      </c>
      <c r="K25" s="365"/>
      <c r="L25" s="2491"/>
      <c r="M25" s="2486"/>
      <c r="N25" s="2486"/>
      <c r="O25" s="2486"/>
      <c r="P25" s="3391"/>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384"/>
      <c r="Z25" s="1263" t="str">
        <f>Q25</f>
        <v>楼层-1</v>
      </c>
      <c r="AA25" s="1263">
        <f t="shared" ref="AA25:AA46" si="15">D25/F25</f>
        <v>1</v>
      </c>
      <c r="AB25" s="1263">
        <f t="shared" ref="AB25:AB46" si="16">D25/H25</f>
        <v>1</v>
      </c>
      <c r="AC25" s="1263">
        <f t="shared" ref="AC25:AC46" si="17">D25/J25</f>
        <v>1</v>
      </c>
    </row>
    <row r="26" spans="1:29" ht="15">
      <c r="A26" s="367"/>
      <c r="B26" s="364" t="s">
        <v>1693</v>
      </c>
      <c r="C26" s="399" t="s">
        <v>3463</v>
      </c>
      <c r="D26" s="374">
        <v>100</v>
      </c>
      <c r="E26" s="1758" t="s">
        <v>3460</v>
      </c>
      <c r="F26" s="374">
        <f>SUMIF(88:88,E26,89:89)-SUMIF(88:88,C26,89:89)+100</f>
        <v>102</v>
      </c>
      <c r="G26" s="1758" t="s">
        <v>3460</v>
      </c>
      <c r="H26" s="374">
        <f>SUMIF(88:88,G26,89:89)-SUMIF(88:88,C26,89:89)+100</f>
        <v>102</v>
      </c>
      <c r="I26" s="1758" t="s">
        <v>3460</v>
      </c>
      <c r="J26" s="374">
        <f>SUMIF(88:88,I26,89:89)-SUMIF(88:88,C26,89:89)+100</f>
        <v>102</v>
      </c>
      <c r="K26" s="365">
        <v>2</v>
      </c>
      <c r="L26" s="2491"/>
      <c r="M26" s="2486"/>
      <c r="N26" s="2486"/>
      <c r="O26" s="2486"/>
      <c r="P26" s="3391"/>
      <c r="Q26" s="1262" t="str">
        <f t="shared" si="11"/>
        <v>朝向</v>
      </c>
      <c r="R26" s="667" t="s">
        <v>18</v>
      </c>
      <c r="S26" s="668">
        <f t="shared" si="12"/>
        <v>102</v>
      </c>
      <c r="T26" s="667" t="s">
        <v>18</v>
      </c>
      <c r="U26" s="668">
        <f t="shared" si="13"/>
        <v>102</v>
      </c>
      <c r="V26" s="667" t="s">
        <v>18</v>
      </c>
      <c r="W26" s="668">
        <f t="shared" si="14"/>
        <v>102</v>
      </c>
      <c r="X26" s="1264"/>
      <c r="Y26" s="3384"/>
      <c r="Z26" s="1263" t="str">
        <f>Q26</f>
        <v>朝向</v>
      </c>
      <c r="AA26" s="1263">
        <f t="shared" si="15"/>
        <v>0.98039215686274506</v>
      </c>
      <c r="AB26" s="1263">
        <f t="shared" si="16"/>
        <v>0.98039215686274506</v>
      </c>
      <c r="AC26" s="1263">
        <f t="shared" si="17"/>
        <v>0.98039215686274506</v>
      </c>
    </row>
    <row r="27" spans="1:29" s="102" customFormat="1" ht="15">
      <c r="A27" s="370"/>
      <c r="B27" s="3158" t="s">
        <v>3459</v>
      </c>
      <c r="C27" s="403" t="s">
        <v>3448</v>
      </c>
      <c r="D27" s="401">
        <v>100</v>
      </c>
      <c r="E27" s="403" t="s">
        <v>3449</v>
      </c>
      <c r="F27" s="401">
        <f>SUMIF(90:90,E27,91:91)-SUMIF(90:90,C27,91:91)+100</f>
        <v>93</v>
      </c>
      <c r="G27" s="402" t="s">
        <v>3450</v>
      </c>
      <c r="H27" s="401">
        <f>SUMIF(90:90,G27,91:91)-SUMIF(90:90,C27,91:91)+100</f>
        <v>101</v>
      </c>
      <c r="I27" s="402" t="s">
        <v>3451</v>
      </c>
      <c r="J27" s="401">
        <f>SUMIF(90:90,I27,91:91)-SUMIF(90:90,C27,91:91)+100</f>
        <v>95</v>
      </c>
      <c r="K27" s="1746"/>
      <c r="L27" s="2487"/>
      <c r="M27" s="2438"/>
      <c r="N27" s="2438"/>
      <c r="O27" s="2438"/>
      <c r="P27" s="3391"/>
      <c r="Q27" s="530" t="str">
        <f t="shared" si="11"/>
        <v>楼层</v>
      </c>
      <c r="R27" s="664" t="s">
        <v>18</v>
      </c>
      <c r="S27" s="665">
        <f t="shared" si="12"/>
        <v>93</v>
      </c>
      <c r="T27" s="664" t="s">
        <v>18</v>
      </c>
      <c r="U27" s="665">
        <f t="shared" si="13"/>
        <v>101</v>
      </c>
      <c r="V27" s="664" t="s">
        <v>18</v>
      </c>
      <c r="W27" s="665">
        <f t="shared" si="14"/>
        <v>95</v>
      </c>
      <c r="X27" s="666"/>
      <c r="Y27" s="3384"/>
      <c r="Z27" s="50" t="str">
        <f>Q27</f>
        <v>楼层</v>
      </c>
      <c r="AA27" s="1263">
        <f t="shared" si="15"/>
        <v>1.075268817204301</v>
      </c>
      <c r="AB27" s="1263">
        <f t="shared" si="16"/>
        <v>0.99009900990099009</v>
      </c>
      <c r="AC27" s="1263">
        <f t="shared" si="17"/>
        <v>1.0526315789473684</v>
      </c>
    </row>
    <row r="28" spans="1:29" ht="15">
      <c r="A28" s="367"/>
      <c r="B28" s="1066">
        <v>111</v>
      </c>
      <c r="C28" s="373"/>
      <c r="D28" s="374">
        <v>100</v>
      </c>
      <c r="E28" s="373"/>
      <c r="F28" s="374">
        <f>SUMIF(92:92,E28,93:93)-SUMIF(92:92,C28,93:93)+100</f>
        <v>100</v>
      </c>
      <c r="G28" s="1760"/>
      <c r="H28" s="374">
        <f>SUMIF(92:92,G28,93:93)-SUMIF(92:92,C28,93:93)+100</f>
        <v>100</v>
      </c>
      <c r="I28" s="373"/>
      <c r="J28" s="374">
        <f>SUMIF(92:92,I28,93:93)-SUMIF(92:92,C28,93:93)+100</f>
        <v>100</v>
      </c>
      <c r="K28" s="1746"/>
      <c r="L28" s="2491"/>
      <c r="M28" s="2486"/>
      <c r="N28" s="2486"/>
      <c r="O28" s="2486"/>
      <c r="P28" s="3391"/>
      <c r="Q28" s="1262">
        <f t="shared" si="11"/>
        <v>111</v>
      </c>
      <c r="R28" s="667" t="s">
        <v>18</v>
      </c>
      <c r="S28" s="668">
        <f t="shared" si="12"/>
        <v>100</v>
      </c>
      <c r="T28" s="667" t="s">
        <v>18</v>
      </c>
      <c r="U28" s="668">
        <f t="shared" si="13"/>
        <v>100</v>
      </c>
      <c r="V28" s="667" t="s">
        <v>18</v>
      </c>
      <c r="W28" s="668">
        <f t="shared" si="14"/>
        <v>100</v>
      </c>
      <c r="X28" s="1264"/>
      <c r="Y28" s="3384"/>
      <c r="Z28" s="1263">
        <f t="shared" ref="Z28:Z46" si="18">Q28</f>
        <v>111</v>
      </c>
      <c r="AA28" s="1263">
        <f t="shared" si="15"/>
        <v>1</v>
      </c>
      <c r="AB28" s="1263">
        <f t="shared" si="16"/>
        <v>1</v>
      </c>
      <c r="AC28" s="1263">
        <f t="shared" si="17"/>
        <v>1</v>
      </c>
    </row>
    <row r="29" spans="1:29" ht="15">
      <c r="A29" s="367"/>
      <c r="B29" s="1066">
        <v>111</v>
      </c>
      <c r="C29" s="373"/>
      <c r="D29" s="374">
        <v>100</v>
      </c>
      <c r="E29" s="373"/>
      <c r="F29" s="374">
        <f>SUMIF(94:94,E29,95:95)-SUMIF(94:94,C29,95:95)+100</f>
        <v>100</v>
      </c>
      <c r="G29" s="1760"/>
      <c r="H29" s="374">
        <f>SUMIF(94:94,G29,95:95)-SUMIF(94:94,C29,95:95)+100</f>
        <v>100</v>
      </c>
      <c r="I29" s="373"/>
      <c r="J29" s="374">
        <f>SUMIF(94:94,I29,95:95)-SUMIF(94:94,C29,95:95)+100</f>
        <v>100</v>
      </c>
      <c r="K29" s="1746"/>
      <c r="L29" s="2491"/>
      <c r="M29" s="2486"/>
      <c r="N29" s="2486"/>
      <c r="O29" s="2486"/>
      <c r="P29" s="3391"/>
      <c r="Q29" s="1262">
        <f t="shared" si="11"/>
        <v>111</v>
      </c>
      <c r="R29" s="667" t="s">
        <v>18</v>
      </c>
      <c r="S29" s="668">
        <f t="shared" si="12"/>
        <v>100</v>
      </c>
      <c r="T29" s="667" t="s">
        <v>18</v>
      </c>
      <c r="U29" s="668">
        <f t="shared" si="13"/>
        <v>100</v>
      </c>
      <c r="V29" s="667" t="s">
        <v>18</v>
      </c>
      <c r="W29" s="668">
        <f t="shared" si="14"/>
        <v>100</v>
      </c>
      <c r="X29" s="1264"/>
      <c r="Y29" s="3384"/>
      <c r="Z29" s="1263">
        <f t="shared" si="18"/>
        <v>111</v>
      </c>
      <c r="AA29" s="1263">
        <f t="shared" si="15"/>
        <v>1</v>
      </c>
      <c r="AB29" s="1263">
        <f t="shared" si="16"/>
        <v>1</v>
      </c>
      <c r="AC29" s="1263">
        <f t="shared" si="17"/>
        <v>1</v>
      </c>
    </row>
    <row r="30" spans="1:29" ht="15">
      <c r="A30" s="367"/>
      <c r="B30" s="1066">
        <v>111</v>
      </c>
      <c r="C30" s="373"/>
      <c r="D30" s="374">
        <v>100</v>
      </c>
      <c r="E30" s="373"/>
      <c r="F30" s="374">
        <f>SUMIF(96:96,E30,97:97)-SUMIF(96:96,C30,97:97)+100</f>
        <v>100</v>
      </c>
      <c r="G30" s="1760"/>
      <c r="H30" s="374">
        <f>SUMIF(96:96,G30,97:97)-SUMIF(96:96,C30,97:97)+100</f>
        <v>100</v>
      </c>
      <c r="I30" s="373"/>
      <c r="J30" s="374">
        <f>SUMIF(96:96,I30,97:97)-SUMIF(96:96,C30,97:97)+100</f>
        <v>100</v>
      </c>
      <c r="K30" s="1746"/>
      <c r="L30" s="2491"/>
      <c r="M30" s="2486"/>
      <c r="N30" s="2486"/>
      <c r="O30" s="2486"/>
      <c r="P30" s="3391"/>
      <c r="Q30" s="1262">
        <f t="shared" si="11"/>
        <v>111</v>
      </c>
      <c r="R30" s="667" t="s">
        <v>18</v>
      </c>
      <c r="S30" s="668">
        <f t="shared" si="12"/>
        <v>100</v>
      </c>
      <c r="T30" s="667" t="s">
        <v>18</v>
      </c>
      <c r="U30" s="668">
        <f t="shared" si="13"/>
        <v>100</v>
      </c>
      <c r="V30" s="667" t="s">
        <v>18</v>
      </c>
      <c r="W30" s="668">
        <f t="shared" si="14"/>
        <v>100</v>
      </c>
      <c r="X30" s="1264"/>
      <c r="Y30" s="3384"/>
      <c r="Z30" s="1263">
        <f t="shared" si="18"/>
        <v>111</v>
      </c>
      <c r="AA30" s="1263">
        <f t="shared" si="15"/>
        <v>1</v>
      </c>
      <c r="AB30" s="1263">
        <f t="shared" si="16"/>
        <v>1</v>
      </c>
      <c r="AC30" s="1263">
        <f t="shared" si="17"/>
        <v>1</v>
      </c>
    </row>
    <row r="31" spans="1:29" ht="15.75" thickBot="1">
      <c r="A31" s="375"/>
      <c r="B31" s="1066">
        <v>111</v>
      </c>
      <c r="C31" s="376"/>
      <c r="D31" s="377">
        <v>100</v>
      </c>
      <c r="E31" s="376"/>
      <c r="F31" s="377">
        <f>SUMIF(98:98,E31,99:99)-SUMIF(98:98,C31,99:99)+100</f>
        <v>100</v>
      </c>
      <c r="G31" s="1761"/>
      <c r="H31" s="377">
        <f>SUMIF(98:98,G31,99:99)-SUMIF(98:98,C31,99:99)+100</f>
        <v>100</v>
      </c>
      <c r="I31" s="376"/>
      <c r="J31" s="377">
        <f>SUMIF(98:98,I31,99:99)-SUMIF(98:98,C31,99:99)+100</f>
        <v>100</v>
      </c>
      <c r="K31" s="1746"/>
      <c r="L31" s="2491"/>
      <c r="M31" s="2486"/>
      <c r="N31" s="2486"/>
      <c r="O31" s="2486"/>
      <c r="P31" s="3391"/>
      <c r="Q31" s="1262">
        <f t="shared" si="11"/>
        <v>111</v>
      </c>
      <c r="R31" s="667" t="s">
        <v>18</v>
      </c>
      <c r="S31" s="668">
        <f t="shared" si="12"/>
        <v>100</v>
      </c>
      <c r="T31" s="667" t="s">
        <v>18</v>
      </c>
      <c r="U31" s="668">
        <f t="shared" si="13"/>
        <v>100</v>
      </c>
      <c r="V31" s="667" t="s">
        <v>18</v>
      </c>
      <c r="W31" s="668">
        <f t="shared" si="14"/>
        <v>100</v>
      </c>
      <c r="X31" s="1264"/>
      <c r="Y31" s="3384"/>
      <c r="Z31" s="1263">
        <f t="shared" si="18"/>
        <v>111</v>
      </c>
      <c r="AA31" s="1263">
        <f t="shared" si="15"/>
        <v>1</v>
      </c>
      <c r="AB31" s="1263">
        <f t="shared" si="16"/>
        <v>1</v>
      </c>
      <c r="AC31" s="1263">
        <f t="shared" si="17"/>
        <v>1</v>
      </c>
    </row>
    <row r="32" spans="1:29" ht="15">
      <c r="A32" s="379" t="s">
        <v>1694</v>
      </c>
      <c r="B32" s="60" t="s">
        <v>1695</v>
      </c>
      <c r="C32" s="1762"/>
      <c r="D32" s="405">
        <v>100</v>
      </c>
      <c r="E32" s="1763"/>
      <c r="F32" s="400">
        <f>SUMIF(100:100,E32,101:101)-SUMIF(100:100,C32,101:101)+100</f>
        <v>100</v>
      </c>
      <c r="G32" s="1762"/>
      <c r="H32" s="405">
        <f>SUMIF(100:100,G32,101:101)-SUMIF(100:100,C32,101:101)+100</f>
        <v>100</v>
      </c>
      <c r="I32" s="1763"/>
      <c r="J32" s="374">
        <f>SUMIF(100:100,I32,101:101)-SUMIF(100:100,C32,101:101)+100</f>
        <v>100</v>
      </c>
      <c r="K32" s="365"/>
      <c r="L32" s="2491"/>
      <c r="M32" s="2486"/>
      <c r="N32" s="2486"/>
      <c r="O32" s="2486"/>
      <c r="P32" s="3385" t="s">
        <v>1696</v>
      </c>
      <c r="Q32" s="1262" t="str">
        <f t="shared" si="11"/>
        <v>建筑类型</v>
      </c>
      <c r="R32" s="667" t="s">
        <v>18</v>
      </c>
      <c r="S32" s="668">
        <f t="shared" si="12"/>
        <v>100</v>
      </c>
      <c r="T32" s="667" t="s">
        <v>18</v>
      </c>
      <c r="U32" s="668">
        <f t="shared" si="13"/>
        <v>100</v>
      </c>
      <c r="V32" s="667" t="s">
        <v>18</v>
      </c>
      <c r="W32" s="668">
        <f t="shared" si="14"/>
        <v>100</v>
      </c>
      <c r="X32" s="1264"/>
      <c r="Y32" s="3388" t="s">
        <v>1696</v>
      </c>
      <c r="Z32" s="1263" t="str">
        <f t="shared" si="18"/>
        <v>建筑类型</v>
      </c>
      <c r="AA32" s="1263">
        <f t="shared" si="15"/>
        <v>1</v>
      </c>
      <c r="AB32" s="1263">
        <f t="shared" si="16"/>
        <v>1</v>
      </c>
      <c r="AC32" s="1263">
        <f t="shared" si="17"/>
        <v>1</v>
      </c>
    </row>
    <row r="33" spans="1:29" s="408" customFormat="1" ht="15">
      <c r="A33" s="406"/>
      <c r="B33" s="364" t="s">
        <v>1697</v>
      </c>
      <c r="C33" s="407">
        <f>'数据-汇总表'!F19</f>
        <v>44.28</v>
      </c>
      <c r="D33" s="119">
        <v>100</v>
      </c>
      <c r="E33" s="369">
        <f>Sheet1!D6</f>
        <v>46.8</v>
      </c>
      <c r="F33" s="364">
        <f>LOOKUP(E33,103:103,104:104)-LOOKUP(C33,103:103,104:104)+100</f>
        <v>100</v>
      </c>
      <c r="G33" s="368">
        <f>Sheet1!D12</f>
        <v>46.07</v>
      </c>
      <c r="H33" s="119">
        <f>LOOKUP(G33,103:103,104:104)-LOOKUP(C33,103:103,104:104)+100</f>
        <v>100</v>
      </c>
      <c r="I33" s="369">
        <f>Sheet1!D13</f>
        <v>44.81</v>
      </c>
      <c r="J33" s="119">
        <f>LOOKUP(I33,103:103,104:104)-LOOKUP(C33,103:103,104:104)+100</f>
        <v>100</v>
      </c>
      <c r="K33" s="1746"/>
      <c r="L33" s="2490"/>
      <c r="M33" s="2492"/>
      <c r="N33" s="2492"/>
      <c r="O33" s="2492"/>
      <c r="P33" s="3386"/>
      <c r="Q33" s="531" t="str">
        <f t="shared" si="11"/>
        <v>项目建筑规模</v>
      </c>
      <c r="R33" s="669" t="s">
        <v>18</v>
      </c>
      <c r="S33" s="670">
        <f t="shared" si="12"/>
        <v>100</v>
      </c>
      <c r="T33" s="669" t="s">
        <v>18</v>
      </c>
      <c r="U33" s="670">
        <f t="shared" si="13"/>
        <v>100</v>
      </c>
      <c r="V33" s="669" t="s">
        <v>18</v>
      </c>
      <c r="W33" s="670">
        <f t="shared" si="14"/>
        <v>100</v>
      </c>
      <c r="X33" s="671"/>
      <c r="Y33" s="3388"/>
      <c r="Z33" s="672" t="str">
        <f t="shared" si="18"/>
        <v>项目建筑规模</v>
      </c>
      <c r="AA33" s="1263">
        <f t="shared" si="15"/>
        <v>1</v>
      </c>
      <c r="AB33" s="1263">
        <f t="shared" si="16"/>
        <v>1</v>
      </c>
      <c r="AC33" s="1263">
        <f t="shared" si="17"/>
        <v>1</v>
      </c>
    </row>
    <row r="34" spans="1:29" ht="15">
      <c r="A34" s="409"/>
      <c r="B34" s="364" t="s">
        <v>1698</v>
      </c>
      <c r="C34" s="399"/>
      <c r="D34" s="374">
        <v>100</v>
      </c>
      <c r="E34" s="1764"/>
      <c r="F34" s="400">
        <f>SUMIF(105:105,E34,106:106)-SUMIF(105:105,C34,106:106)+100</f>
        <v>100</v>
      </c>
      <c r="G34" s="399"/>
      <c r="H34" s="374">
        <f>SUMIF(105:105,G34,106:106)-SUMIF(105:105,C34,106:106)+100</f>
        <v>100</v>
      </c>
      <c r="I34" s="1764"/>
      <c r="J34" s="374">
        <f>SUMIF(105:105,I34,106:106)-SUMIF(105:105,C34,106:106)+100</f>
        <v>100</v>
      </c>
      <c r="K34" s="365"/>
      <c r="L34" s="2491"/>
      <c r="M34" s="2486"/>
      <c r="N34" s="2486"/>
      <c r="O34" s="2486"/>
      <c r="P34" s="3386"/>
      <c r="Q34" s="1262" t="str">
        <f t="shared" si="11"/>
        <v>建筑结构</v>
      </c>
      <c r="R34" s="667" t="s">
        <v>18</v>
      </c>
      <c r="S34" s="668">
        <f t="shared" si="12"/>
        <v>100</v>
      </c>
      <c r="T34" s="667" t="s">
        <v>18</v>
      </c>
      <c r="U34" s="668">
        <f t="shared" si="13"/>
        <v>100</v>
      </c>
      <c r="V34" s="667" t="s">
        <v>18</v>
      </c>
      <c r="W34" s="668">
        <f t="shared" si="14"/>
        <v>100</v>
      </c>
      <c r="X34" s="1264"/>
      <c r="Y34" s="3388"/>
      <c r="Z34" s="1263" t="str">
        <f t="shared" si="18"/>
        <v>建筑结构</v>
      </c>
      <c r="AA34" s="1263">
        <f t="shared" si="15"/>
        <v>1</v>
      </c>
      <c r="AB34" s="1263">
        <f t="shared" si="16"/>
        <v>1</v>
      </c>
      <c r="AC34" s="1263">
        <f t="shared" si="17"/>
        <v>1</v>
      </c>
    </row>
    <row r="35" spans="1:29" ht="15">
      <c r="A35" s="409"/>
      <c r="B35" s="364" t="s">
        <v>1699</v>
      </c>
      <c r="C35" s="1758"/>
      <c r="D35" s="374">
        <v>100</v>
      </c>
      <c r="E35" s="1759"/>
      <c r="F35" s="400">
        <f>SUMIF(107:107,E35,108:108)-SUMIF(107:107,C35,108:108)+100</f>
        <v>100</v>
      </c>
      <c r="G35" s="1758"/>
      <c r="H35" s="374">
        <f>SUMIF(107:107,G35,108:108)-SUMIF(107:107,C35,108:108)+100</f>
        <v>100</v>
      </c>
      <c r="I35" s="1759"/>
      <c r="J35" s="374">
        <f>SUMIF(107:107,I35,108:108)-SUMIF(107:107,C35,108:108)+100</f>
        <v>100</v>
      </c>
      <c r="K35" s="365"/>
      <c r="L35" s="2491"/>
      <c r="M35" s="2486"/>
      <c r="N35" s="2486"/>
      <c r="O35" s="2486"/>
      <c r="P35" s="3386"/>
      <c r="Q35" s="1262" t="str">
        <f t="shared" si="11"/>
        <v>建筑品质</v>
      </c>
      <c r="R35" s="667" t="s">
        <v>18</v>
      </c>
      <c r="S35" s="668">
        <f t="shared" si="12"/>
        <v>100</v>
      </c>
      <c r="T35" s="667" t="s">
        <v>18</v>
      </c>
      <c r="U35" s="668">
        <f t="shared" si="13"/>
        <v>100</v>
      </c>
      <c r="V35" s="667" t="s">
        <v>18</v>
      </c>
      <c r="W35" s="668">
        <f t="shared" si="14"/>
        <v>100</v>
      </c>
      <c r="X35" s="1264"/>
      <c r="Y35" s="3388"/>
      <c r="Z35" s="1263" t="str">
        <f t="shared" si="18"/>
        <v>建筑品质</v>
      </c>
      <c r="AA35" s="1263">
        <f t="shared" si="15"/>
        <v>1</v>
      </c>
      <c r="AB35" s="1263">
        <f t="shared" si="16"/>
        <v>1</v>
      </c>
      <c r="AC35" s="1263">
        <f t="shared" si="17"/>
        <v>1</v>
      </c>
    </row>
    <row r="36" spans="1:29" ht="15">
      <c r="A36" s="409"/>
      <c r="B36" s="364" t="s">
        <v>1700</v>
      </c>
      <c r="C36" s="1758"/>
      <c r="D36" s="374">
        <v>100</v>
      </c>
      <c r="E36" s="1759"/>
      <c r="F36" s="400">
        <f>SUMIF(109:109,E36,110:110)-SUMIF(109:109,C36,110:110)+100</f>
        <v>100</v>
      </c>
      <c r="G36" s="1758"/>
      <c r="H36" s="374">
        <f>SUMIF(109:109,G36,110:110)-SUMIF(109:109,C36,110:110)+100</f>
        <v>100</v>
      </c>
      <c r="I36" s="1759"/>
      <c r="J36" s="374">
        <f>SUMIF(109:109,I36,110:110)-SUMIF(109:109,C36,110:110)+100</f>
        <v>100</v>
      </c>
      <c r="K36" s="365"/>
      <c r="L36" s="2491"/>
      <c r="M36" s="2486"/>
      <c r="N36" s="2486"/>
      <c r="O36" s="2486"/>
      <c r="P36" s="3386"/>
      <c r="Q36" s="1262" t="str">
        <f t="shared" si="11"/>
        <v>公共部分装修</v>
      </c>
      <c r="R36" s="667" t="s">
        <v>18</v>
      </c>
      <c r="S36" s="668">
        <f t="shared" si="12"/>
        <v>100</v>
      </c>
      <c r="T36" s="667" t="s">
        <v>18</v>
      </c>
      <c r="U36" s="668">
        <f t="shared" si="13"/>
        <v>100</v>
      </c>
      <c r="V36" s="667" t="s">
        <v>18</v>
      </c>
      <c r="W36" s="668">
        <f t="shared" si="14"/>
        <v>100</v>
      </c>
      <c r="X36" s="1264"/>
      <c r="Y36" s="3388"/>
      <c r="Z36" s="1263" t="str">
        <f t="shared" si="18"/>
        <v>公共部分装修</v>
      </c>
      <c r="AA36" s="1263">
        <f t="shared" si="15"/>
        <v>1</v>
      </c>
      <c r="AB36" s="1263">
        <f t="shared" si="16"/>
        <v>1</v>
      </c>
      <c r="AC36" s="1263">
        <f t="shared" si="17"/>
        <v>1</v>
      </c>
    </row>
    <row r="37" spans="1:29" s="102" customFormat="1" ht="15">
      <c r="A37" s="410"/>
      <c r="B37" s="364" t="s">
        <v>1701</v>
      </c>
      <c r="C37" s="411">
        <v>0.6</v>
      </c>
      <c r="D37" s="119">
        <v>100</v>
      </c>
      <c r="E37" s="411">
        <v>0.6</v>
      </c>
      <c r="F37" s="364">
        <f>LOOKUP(E37,112:112,113:113)-LOOKUP(C37,112:112,113:113)+100</f>
        <v>100</v>
      </c>
      <c r="G37" s="413">
        <v>0.6</v>
      </c>
      <c r="H37" s="119">
        <f>LOOKUP(G37,112:112,113:113)-LOOKUP(C37,112:112,113:113)+100</f>
        <v>100</v>
      </c>
      <c r="I37" s="412">
        <v>0.6</v>
      </c>
      <c r="J37" s="119">
        <f>LOOKUP(I37,112:112,113:113)-LOOKUP(C37,112:112,113:113)+100</f>
        <v>100</v>
      </c>
      <c r="K37" s="365"/>
      <c r="L37" s="2487"/>
      <c r="M37" s="2438"/>
      <c r="N37" s="2438"/>
      <c r="O37" s="2438"/>
      <c r="P37" s="3386"/>
      <c r="Q37" s="530" t="str">
        <f t="shared" si="11"/>
        <v>成新度</v>
      </c>
      <c r="R37" s="664" t="s">
        <v>18</v>
      </c>
      <c r="S37" s="665">
        <f t="shared" si="12"/>
        <v>100</v>
      </c>
      <c r="T37" s="664" t="s">
        <v>18</v>
      </c>
      <c r="U37" s="665">
        <f t="shared" si="13"/>
        <v>100</v>
      </c>
      <c r="V37" s="664" t="s">
        <v>18</v>
      </c>
      <c r="W37" s="665">
        <f t="shared" si="14"/>
        <v>100</v>
      </c>
      <c r="X37" s="666"/>
      <c r="Y37" s="3388"/>
      <c r="Z37" s="50" t="str">
        <f t="shared" si="18"/>
        <v>成新度</v>
      </c>
      <c r="AA37" s="50">
        <f t="shared" si="15"/>
        <v>1</v>
      </c>
      <c r="AB37" s="50">
        <f t="shared" si="16"/>
        <v>1</v>
      </c>
      <c r="AC37" s="50">
        <f t="shared" si="17"/>
        <v>1</v>
      </c>
    </row>
    <row r="38" spans="1:29" ht="15">
      <c r="A38" s="409"/>
      <c r="B38" s="364" t="s">
        <v>1702</v>
      </c>
      <c r="C38" s="1758"/>
      <c r="D38" s="374">
        <v>100</v>
      </c>
      <c r="E38" s="1759"/>
      <c r="F38" s="400">
        <f>SUMIF(114:114,E38,115:115)-SUMIF(114:114,C38,115:115)+100</f>
        <v>100</v>
      </c>
      <c r="G38" s="1758"/>
      <c r="H38" s="374">
        <f>SUMIF(114:114,G38,115:115)-SUMIF(114:114,C38,115:115)+100</f>
        <v>100</v>
      </c>
      <c r="I38" s="1759"/>
      <c r="J38" s="374">
        <f>SUMIF(114:114,I38,115:115)-SUMIF(114:114,C38,115:115)+100</f>
        <v>100</v>
      </c>
      <c r="K38" s="365"/>
      <c r="L38" s="2491"/>
      <c r="M38" s="2486"/>
      <c r="N38" s="2486"/>
      <c r="O38" s="2486"/>
      <c r="P38" s="3386" t="s">
        <v>1696</v>
      </c>
      <c r="Q38" s="1262" t="str">
        <f t="shared" si="11"/>
        <v>物业管理</v>
      </c>
      <c r="R38" s="667" t="s">
        <v>18</v>
      </c>
      <c r="S38" s="668">
        <f t="shared" si="12"/>
        <v>100</v>
      </c>
      <c r="T38" s="667" t="s">
        <v>18</v>
      </c>
      <c r="U38" s="668">
        <f t="shared" si="13"/>
        <v>100</v>
      </c>
      <c r="V38" s="667" t="s">
        <v>18</v>
      </c>
      <c r="W38" s="668">
        <f t="shared" si="14"/>
        <v>100</v>
      </c>
      <c r="X38" s="1264"/>
      <c r="Y38" s="3388" t="s">
        <v>1696</v>
      </c>
      <c r="Z38" s="1263" t="str">
        <f t="shared" si="18"/>
        <v>物业管理</v>
      </c>
      <c r="AA38" s="1263">
        <f t="shared" si="15"/>
        <v>1</v>
      </c>
      <c r="AB38" s="1263">
        <f t="shared" si="16"/>
        <v>1</v>
      </c>
      <c r="AC38" s="1263">
        <f t="shared" si="17"/>
        <v>1</v>
      </c>
    </row>
    <row r="39" spans="1:29" ht="15">
      <c r="A39" s="409"/>
      <c r="B39" s="364" t="s">
        <v>1703</v>
      </c>
      <c r="C39" s="1758"/>
      <c r="D39" s="374">
        <v>100</v>
      </c>
      <c r="E39" s="1759"/>
      <c r="F39" s="400">
        <f>SUMIF(116:116,E39,117:117)-SUMIF(116:116,C39,117:117)+100</f>
        <v>100</v>
      </c>
      <c r="G39" s="1758"/>
      <c r="H39" s="374">
        <f>SUMIF(116:116,G39,117:117)-SUMIF(116:116,C39,117:117)+100</f>
        <v>100</v>
      </c>
      <c r="I39" s="1759"/>
      <c r="J39" s="374">
        <f>SUMIF(116:116,I39,117:117)-SUMIF(116:116,C39,117:117)+100</f>
        <v>100</v>
      </c>
      <c r="K39" s="365"/>
      <c r="L39" s="2491"/>
      <c r="M39" s="2486"/>
      <c r="N39" s="2486"/>
      <c r="O39" s="2486"/>
      <c r="P39" s="3386"/>
      <c r="Q39" s="1262" t="str">
        <f t="shared" si="11"/>
        <v>市政基础设施</v>
      </c>
      <c r="R39" s="667" t="s">
        <v>18</v>
      </c>
      <c r="S39" s="668">
        <f t="shared" si="12"/>
        <v>100</v>
      </c>
      <c r="T39" s="667" t="s">
        <v>18</v>
      </c>
      <c r="U39" s="668">
        <f t="shared" si="13"/>
        <v>100</v>
      </c>
      <c r="V39" s="667" t="s">
        <v>18</v>
      </c>
      <c r="W39" s="668">
        <f t="shared" si="14"/>
        <v>100</v>
      </c>
      <c r="X39" s="1264"/>
      <c r="Y39" s="3388"/>
      <c r="Z39" s="1263" t="str">
        <f t="shared" si="18"/>
        <v>市政基础设施</v>
      </c>
      <c r="AA39" s="1263">
        <f t="shared" si="15"/>
        <v>1</v>
      </c>
      <c r="AB39" s="1263">
        <f t="shared" si="16"/>
        <v>1</v>
      </c>
      <c r="AC39" s="1263">
        <f t="shared" si="17"/>
        <v>1</v>
      </c>
    </row>
    <row r="40" spans="1:29" ht="15">
      <c r="A40" s="409"/>
      <c r="B40" s="364" t="s">
        <v>1704</v>
      </c>
      <c r="C40" s="1758"/>
      <c r="D40" s="374">
        <v>100</v>
      </c>
      <c r="E40" s="1759"/>
      <c r="F40" s="400">
        <f>SUMIF(118:118,E40,119:119)-SUMIF(118:118,C40,119:119)+100</f>
        <v>100</v>
      </c>
      <c r="G40" s="1758"/>
      <c r="H40" s="374">
        <f>SUMIF(118:118,G40,119:119)-SUMIF(118:118,C40,119:119)+100</f>
        <v>100</v>
      </c>
      <c r="I40" s="1759"/>
      <c r="J40" s="374">
        <f>SUMIF(118:118,I40,119:119)-SUMIF(118:118,C40,119:119)+100</f>
        <v>100</v>
      </c>
      <c r="K40" s="365"/>
      <c r="L40" s="2491"/>
      <c r="M40" s="2486"/>
      <c r="N40" s="2486"/>
      <c r="O40" s="2486"/>
      <c r="P40" s="3386"/>
      <c r="Q40" s="1262" t="str">
        <f t="shared" si="11"/>
        <v>房型</v>
      </c>
      <c r="R40" s="667" t="s">
        <v>18</v>
      </c>
      <c r="S40" s="668">
        <f t="shared" si="12"/>
        <v>100</v>
      </c>
      <c r="T40" s="667" t="s">
        <v>18</v>
      </c>
      <c r="U40" s="668">
        <f t="shared" si="13"/>
        <v>100</v>
      </c>
      <c r="V40" s="667" t="s">
        <v>18</v>
      </c>
      <c r="W40" s="668">
        <f t="shared" si="14"/>
        <v>100</v>
      </c>
      <c r="X40" s="1264"/>
      <c r="Y40" s="3388"/>
      <c r="Z40" s="1263" t="str">
        <f t="shared" si="18"/>
        <v>房型</v>
      </c>
      <c r="AA40" s="1263">
        <f t="shared" si="15"/>
        <v>1</v>
      </c>
      <c r="AB40" s="1263">
        <f t="shared" si="16"/>
        <v>1</v>
      </c>
      <c r="AC40" s="1263">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6"/>
      <c r="L41" s="2490"/>
      <c r="M41" s="2492"/>
      <c r="N41" s="2492"/>
      <c r="O41" s="2492"/>
      <c r="P41" s="3386"/>
      <c r="Q41" s="531" t="str">
        <f t="shared" si="11"/>
        <v>单套/主力户型建筑面积</v>
      </c>
      <c r="R41" s="669" t="s">
        <v>18</v>
      </c>
      <c r="S41" s="670">
        <f t="shared" si="12"/>
        <v>100</v>
      </c>
      <c r="T41" s="669" t="s">
        <v>18</v>
      </c>
      <c r="U41" s="670">
        <f t="shared" si="13"/>
        <v>100</v>
      </c>
      <c r="V41" s="669" t="s">
        <v>18</v>
      </c>
      <c r="W41" s="670">
        <f t="shared" si="14"/>
        <v>100</v>
      </c>
      <c r="X41" s="671"/>
      <c r="Y41" s="3388"/>
      <c r="Z41" s="672" t="str">
        <f t="shared" si="18"/>
        <v>单套/主力户型建筑面积</v>
      </c>
      <c r="AA41" s="1263">
        <f t="shared" si="15"/>
        <v>1</v>
      </c>
      <c r="AB41" s="1263">
        <f t="shared" si="16"/>
        <v>1</v>
      </c>
      <c r="AC41" s="1263">
        <f t="shared" si="17"/>
        <v>1</v>
      </c>
    </row>
    <row r="42" spans="1:29" ht="15">
      <c r="A42" s="409"/>
      <c r="B42" s="364" t="s">
        <v>1706</v>
      </c>
      <c r="C42" s="1758" t="s">
        <v>3479</v>
      </c>
      <c r="D42" s="374">
        <v>100</v>
      </c>
      <c r="E42" s="1758" t="s">
        <v>3479</v>
      </c>
      <c r="F42" s="400">
        <f>SUMIF(122:122,E42,123:123)-SUMIF(122:122,C42,123:123)+100</f>
        <v>100</v>
      </c>
      <c r="G42" s="1758" t="s">
        <v>3479</v>
      </c>
      <c r="H42" s="374">
        <f>SUMIF(122:122,G42,123:123)-SUMIF(122:122,C42,123:123)+100</f>
        <v>100</v>
      </c>
      <c r="I42" s="1758" t="s">
        <v>3479</v>
      </c>
      <c r="J42" s="374">
        <f>SUMIF(122:122,I42,123:123)-SUMIF(122:122,C42,123:123)+100</f>
        <v>100</v>
      </c>
      <c r="K42" s="365"/>
      <c r="L42" s="2491"/>
      <c r="M42" s="2486"/>
      <c r="N42" s="2486"/>
      <c r="O42" s="2486"/>
      <c r="P42" s="3386"/>
      <c r="Q42" s="1262" t="str">
        <f t="shared" si="11"/>
        <v>内部装修</v>
      </c>
      <c r="R42" s="667" t="s">
        <v>18</v>
      </c>
      <c r="S42" s="668">
        <f t="shared" si="12"/>
        <v>100</v>
      </c>
      <c r="T42" s="667" t="s">
        <v>18</v>
      </c>
      <c r="U42" s="668">
        <f t="shared" si="13"/>
        <v>100</v>
      </c>
      <c r="V42" s="667" t="s">
        <v>18</v>
      </c>
      <c r="W42" s="668">
        <f t="shared" si="14"/>
        <v>100</v>
      </c>
      <c r="X42" s="1264"/>
      <c r="Y42" s="3388"/>
      <c r="Z42" s="1263" t="str">
        <f t="shared" si="18"/>
        <v>内部装修</v>
      </c>
      <c r="AA42" s="1263">
        <f t="shared" si="15"/>
        <v>1</v>
      </c>
      <c r="AB42" s="1263">
        <f t="shared" si="16"/>
        <v>1</v>
      </c>
      <c r="AC42" s="1263">
        <f t="shared" si="17"/>
        <v>1</v>
      </c>
    </row>
    <row r="43" spans="1:29" ht="15">
      <c r="A43" s="409"/>
      <c r="B43" s="364" t="s">
        <v>1707</v>
      </c>
      <c r="C43" s="1758" t="s">
        <v>3436</v>
      </c>
      <c r="D43" s="374">
        <v>100</v>
      </c>
      <c r="E43" s="1758" t="s">
        <v>3436</v>
      </c>
      <c r="F43" s="400">
        <f>SUMIF(124:124,E43,125:125)-SUMIF(124:124,C43,125:125)+100</f>
        <v>100</v>
      </c>
      <c r="G43" s="1758" t="s">
        <v>3436</v>
      </c>
      <c r="H43" s="374">
        <f>SUMIF(124:124,G43,125:125)-SUMIF(124:124,C43,125:125)+100</f>
        <v>100</v>
      </c>
      <c r="I43" s="1758" t="s">
        <v>3436</v>
      </c>
      <c r="J43" s="374">
        <f>SUMIF(124:124,I43,125:125)-SUMIF(124:124,C43,125:125)+100</f>
        <v>100</v>
      </c>
      <c r="K43" s="365"/>
      <c r="L43" s="2491"/>
      <c r="M43" s="2486"/>
      <c r="N43" s="2486"/>
      <c r="O43" s="2486"/>
      <c r="P43" s="3386"/>
      <c r="Q43" s="1262" t="str">
        <f t="shared" si="11"/>
        <v>内部装修维护情况</v>
      </c>
      <c r="R43" s="667" t="s">
        <v>18</v>
      </c>
      <c r="S43" s="668">
        <f t="shared" si="12"/>
        <v>100</v>
      </c>
      <c r="T43" s="667" t="s">
        <v>18</v>
      </c>
      <c r="U43" s="668">
        <f t="shared" si="13"/>
        <v>100</v>
      </c>
      <c r="V43" s="667" t="s">
        <v>18</v>
      </c>
      <c r="W43" s="668">
        <f t="shared" si="14"/>
        <v>100</v>
      </c>
      <c r="X43" s="1264"/>
      <c r="Y43" s="3388"/>
      <c r="Z43" s="1263" t="str">
        <f t="shared" si="18"/>
        <v>内部装修维护情况</v>
      </c>
      <c r="AA43" s="1263">
        <f t="shared" si="15"/>
        <v>1</v>
      </c>
      <c r="AB43" s="1263">
        <f t="shared" si="16"/>
        <v>1</v>
      </c>
      <c r="AC43" s="1263">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6"/>
      <c r="L44" s="2487"/>
      <c r="M44" s="2438"/>
      <c r="N44" s="2438"/>
      <c r="O44" s="2438"/>
      <c r="P44" s="3386"/>
      <c r="Q44" s="530">
        <f t="shared" si="11"/>
        <v>111</v>
      </c>
      <c r="R44" s="664" t="s">
        <v>18</v>
      </c>
      <c r="S44" s="665">
        <f t="shared" si="12"/>
        <v>100</v>
      </c>
      <c r="T44" s="664" t="s">
        <v>18</v>
      </c>
      <c r="U44" s="665">
        <f t="shared" si="13"/>
        <v>100</v>
      </c>
      <c r="V44" s="664" t="s">
        <v>18</v>
      </c>
      <c r="W44" s="665">
        <f t="shared" si="14"/>
        <v>100</v>
      </c>
      <c r="X44" s="666"/>
      <c r="Y44" s="3388"/>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6"/>
      <c r="L45" s="2491"/>
      <c r="M45" s="2486"/>
      <c r="N45" s="2486"/>
      <c r="O45" s="2486"/>
      <c r="P45" s="3386"/>
      <c r="Q45" s="1262">
        <f t="shared" si="11"/>
        <v>111</v>
      </c>
      <c r="R45" s="667" t="s">
        <v>18</v>
      </c>
      <c r="S45" s="668">
        <f t="shared" si="12"/>
        <v>100</v>
      </c>
      <c r="T45" s="667" t="s">
        <v>18</v>
      </c>
      <c r="U45" s="668">
        <f t="shared" si="13"/>
        <v>100</v>
      </c>
      <c r="V45" s="667" t="s">
        <v>18</v>
      </c>
      <c r="W45" s="668">
        <f t="shared" si="14"/>
        <v>100</v>
      </c>
      <c r="X45" s="1264"/>
      <c r="Y45" s="3388"/>
      <c r="Z45" s="1263">
        <f t="shared" si="18"/>
        <v>111</v>
      </c>
      <c r="AA45" s="1263">
        <f t="shared" si="15"/>
        <v>1</v>
      </c>
      <c r="AB45" s="1263">
        <f t="shared" si="16"/>
        <v>1</v>
      </c>
      <c r="AC45" s="1263">
        <f t="shared" si="17"/>
        <v>1</v>
      </c>
    </row>
    <row r="46" spans="1:29" ht="15.75" thickBot="1">
      <c r="A46" s="415"/>
      <c r="B46" s="1747">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6"/>
      <c r="L46" s="2491"/>
      <c r="M46" s="2486"/>
      <c r="N46" s="2486"/>
      <c r="O46" s="2486"/>
      <c r="P46" s="3387"/>
      <c r="Q46" s="1262">
        <f t="shared" si="11"/>
        <v>111</v>
      </c>
      <c r="R46" s="667" t="s">
        <v>17</v>
      </c>
      <c r="S46" s="668">
        <f t="shared" si="12"/>
        <v>100</v>
      </c>
      <c r="T46" s="667" t="s">
        <v>17</v>
      </c>
      <c r="U46" s="668">
        <f t="shared" si="13"/>
        <v>100</v>
      </c>
      <c r="V46" s="667" t="s">
        <v>17</v>
      </c>
      <c r="W46" s="668">
        <f t="shared" si="14"/>
        <v>100</v>
      </c>
      <c r="X46" s="1264"/>
      <c r="Y46" s="3389"/>
      <c r="Z46" s="1263">
        <f t="shared" si="18"/>
        <v>111</v>
      </c>
      <c r="AA46" s="1263">
        <f t="shared" si="15"/>
        <v>1</v>
      </c>
      <c r="AB46" s="1263">
        <f t="shared" si="16"/>
        <v>1</v>
      </c>
      <c r="AC46" s="1263">
        <f t="shared" si="17"/>
        <v>1</v>
      </c>
    </row>
    <row r="47" spans="1:29" ht="15">
      <c r="A47" s="416" t="s">
        <v>1708</v>
      </c>
      <c r="B47" s="417"/>
      <c r="C47" s="1081" t="s">
        <v>16</v>
      </c>
      <c r="D47" s="418"/>
      <c r="E47" s="419">
        <f>Sheet1!K6</f>
        <v>103205</v>
      </c>
      <c r="F47" s="420"/>
      <c r="G47" s="421">
        <f>Sheet1!K12</f>
        <v>95507</v>
      </c>
      <c r="H47" s="422"/>
      <c r="I47" s="419">
        <f>Sheet1!K13</f>
        <v>107342</v>
      </c>
      <c r="J47" s="422"/>
      <c r="K47" s="1765"/>
      <c r="L47" s="2493"/>
      <c r="M47" s="2486"/>
      <c r="N47" s="2486"/>
      <c r="O47" s="2486"/>
      <c r="P47" s="3381" t="str">
        <f>A47</f>
        <v>成交单价（元/平方米）</v>
      </c>
      <c r="Q47" s="3381"/>
      <c r="R47" s="3382">
        <f>E47</f>
        <v>103205</v>
      </c>
      <c r="S47" s="3382"/>
      <c r="T47" s="3382">
        <f>G47</f>
        <v>95507</v>
      </c>
      <c r="U47" s="3382"/>
      <c r="V47" s="3382">
        <f>I47</f>
        <v>107342</v>
      </c>
      <c r="W47" s="3382"/>
      <c r="X47" s="385"/>
      <c r="Y47" s="673"/>
      <c r="Z47" s="385"/>
      <c r="AA47" s="385"/>
      <c r="AB47" s="385"/>
      <c r="AC47" s="385"/>
    </row>
    <row r="48" spans="1:29" ht="15.75" thickBot="1">
      <c r="A48" s="423" t="s">
        <v>1709</v>
      </c>
      <c r="B48" s="424"/>
      <c r="C48" s="1082">
        <f>R49</f>
        <v>108751</v>
      </c>
      <c r="D48" s="2139" t="s">
        <v>2138</v>
      </c>
      <c r="E48" s="1083">
        <f>R48</f>
        <v>109896</v>
      </c>
      <c r="F48" s="2140"/>
      <c r="G48" s="1082">
        <f>T48</f>
        <v>98572</v>
      </c>
      <c r="H48" s="2140"/>
      <c r="I48" s="1083">
        <f>V48</f>
        <v>117784</v>
      </c>
      <c r="J48" s="2140"/>
      <c r="K48" s="2141">
        <f>F48+H48+J48</f>
        <v>0</v>
      </c>
      <c r="L48" s="2493"/>
      <c r="M48" s="2486"/>
      <c r="N48" s="2486"/>
      <c r="O48" s="2486"/>
      <c r="P48" s="3381" t="str">
        <f>A48</f>
        <v>比较价值（元/平方米）</v>
      </c>
      <c r="Q48" s="3381"/>
      <c r="R48" s="3382">
        <f>IF(F1="售价",ROUND(PRODUCT(R47,AA7:AA46),0),ROUND(PRODUCT(R47,AA7:AA46),1))</f>
        <v>109896</v>
      </c>
      <c r="S48" s="3382"/>
      <c r="T48" s="3382">
        <f>IF(F1="售价",ROUND(PRODUCT(T47,AB7:AB46),0),ROUND(PRODUCT(T47,AB7:AB46),1))</f>
        <v>98572</v>
      </c>
      <c r="U48" s="3382"/>
      <c r="V48" s="3382">
        <f>IF(F1="售价",ROUND(PRODUCT(V47,AC7:AC46),0),ROUND(PRODUCT(V47,AC7:AC46),1))</f>
        <v>117784</v>
      </c>
      <c r="W48" s="3382"/>
      <c r="X48" s="385"/>
      <c r="Y48" s="385"/>
      <c r="Z48" s="385"/>
      <c r="AA48" s="385"/>
      <c r="AB48" s="385"/>
      <c r="AC48" s="385"/>
    </row>
    <row r="49" spans="1:29" ht="15.75" thickBot="1">
      <c r="A49" s="427" t="s">
        <v>1710</v>
      </c>
      <c r="B49" s="428"/>
      <c r="C49" s="1084">
        <f>R49</f>
        <v>108751</v>
      </c>
      <c r="D49" s="351"/>
      <c r="E49" s="351"/>
      <c r="F49" s="351"/>
      <c r="G49" s="351"/>
      <c r="H49" s="351"/>
      <c r="I49" s="351"/>
      <c r="J49" s="351"/>
      <c r="K49" s="1766"/>
      <c r="L49" s="2493"/>
      <c r="M49" s="2486"/>
      <c r="N49" s="2486"/>
      <c r="O49" s="2486"/>
      <c r="P49" s="3378" t="str">
        <f>A49</f>
        <v>估价对象XX用房的比较价值（楼面单价，元/平方米）</v>
      </c>
      <c r="Q49" s="3379"/>
      <c r="R49" s="3380">
        <f>IF(F1="售价",ROUND(IF(D48="简单平均",AVERAGE(R48:V48),R48*F48+T48*H48+V48*J48),0),ROUND(IF(D48="简单平均",AVERAGE(R48:V48),R48*F48+T48*H48+V48*J48),1))</f>
        <v>108751</v>
      </c>
      <c r="S49" s="3380"/>
      <c r="T49" s="3380"/>
      <c r="U49" s="3380"/>
      <c r="V49" s="3380"/>
      <c r="W49" s="3380"/>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f>IF(E47&lt;E48,E48/E47-1,E47/E48-1)</f>
        <v>6.4832130226248674E-2</v>
      </c>
      <c r="F52" s="435" t="str">
        <f>IF(OR(E52&gt;=0.3,E52&lt;=-0.3),"超过30%","")</f>
        <v/>
      </c>
      <c r="G52" s="434">
        <f>IF(G47&lt;G48,G48/G47-1,G47/G48-1)</f>
        <v>3.2091888552671533E-2</v>
      </c>
      <c r="H52" s="435" t="str">
        <f>IF(OR(G52&gt;=0.3,G52&lt;=-0.3),"超过30%","")</f>
        <v/>
      </c>
      <c r="I52" s="434">
        <f>IF(I47&lt;I48,I48/I47-1,I47/I48-1)</f>
        <v>9.7277859551713197E-2</v>
      </c>
      <c r="J52" s="435" t="str">
        <f>IF(OR(I52&gt;=0.3,I52&lt;=-0.3),"超过30%","")</f>
        <v/>
      </c>
      <c r="K52" s="2498"/>
      <c r="L52" s="2494"/>
      <c r="M52" s="2486"/>
      <c r="N52" s="2486"/>
      <c r="O52" s="2486"/>
    </row>
    <row r="53" spans="1:29" ht="13.5" customHeight="1">
      <c r="A53" s="2486"/>
      <c r="B53" s="2486"/>
      <c r="C53" s="432" t="s">
        <v>1712</v>
      </c>
      <c r="D53" s="436"/>
      <c r="E53" s="434">
        <f>IF(E48&lt;G48,G48/E48-1,E48/G48-1)</f>
        <v>0.11488049344641471</v>
      </c>
      <c r="F53" s="435" t="str">
        <f>IF(OR(E53&gt;=0.2,E53&lt;=-0.2),"超过20%","")</f>
        <v/>
      </c>
      <c r="G53" s="434">
        <f>IF(G48&lt;I48,I48/G48-1,G48/I48-1)</f>
        <v>0.19490321795235976</v>
      </c>
      <c r="H53" s="435" t="str">
        <f>IF(OR(G53&gt;=0.2,G53&lt;=-0.2),"超过20%","")</f>
        <v/>
      </c>
      <c r="I53" s="434">
        <f>IF(I48&lt;E48,E48/I48-1,I48/E48-1)</f>
        <v>7.1776952755332246E-2</v>
      </c>
      <c r="J53" s="435" t="str">
        <f>IF(OR(I53&gt;=0.2,I53&lt;=-0.2),"超过20%","")</f>
        <v/>
      </c>
      <c r="K53" s="2498"/>
      <c r="L53" s="2494"/>
      <c r="M53" s="2486"/>
      <c r="N53" s="2486"/>
      <c r="O53" s="2486"/>
    </row>
    <row r="54" spans="1:29" s="437" customFormat="1" ht="13.5" customHeight="1">
      <c r="A54" s="2496"/>
      <c r="B54" s="2496"/>
      <c r="C54" s="432" t="s">
        <v>1713</v>
      </c>
      <c r="D54" s="436"/>
      <c r="E54" s="434">
        <f>IF(E47&lt;G47,G47/E47-1,E47/G47-1)</f>
        <v>8.0601421885306834E-2</v>
      </c>
      <c r="F54" s="435" t="str">
        <f>IF(OR(E54&gt;=0.3,E54&lt;=-0.3),"超过30%","")</f>
        <v/>
      </c>
      <c r="G54" s="434">
        <f>IF(G47&lt;I47,I47/G47-1,G47/I47-1)</f>
        <v>0.12391761860387196</v>
      </c>
      <c r="H54" s="435" t="str">
        <f>IF(OR(G54&gt;=0.3,G54&lt;=-0.3),"超过30%","")</f>
        <v/>
      </c>
      <c r="I54" s="434">
        <f>IF(I47&lt;E47,E47/I47-1,I47/E47-1)</f>
        <v>4.0085267186667384E-2</v>
      </c>
      <c r="J54" s="435" t="str">
        <f>IF(OR(I54&gt;=0.3,I54&lt;=-0.3),"超过30%","")</f>
        <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7"/>
      <c r="L57" s="888"/>
      <c r="M57" s="886"/>
      <c r="N57" s="886"/>
      <c r="O57" s="886"/>
      <c r="P57" s="1769"/>
      <c r="Q57" s="439"/>
    </row>
    <row r="58" spans="1:29" s="442" customFormat="1" ht="15">
      <c r="A58" s="440" t="s">
        <v>1715</v>
      </c>
      <c r="B58" s="441"/>
      <c r="C58" s="1104" t="str">
        <f>YEAR(C7)&amp;"-"&amp;MONTH(C7)</f>
        <v>2024-1</v>
      </c>
      <c r="D58" s="1103">
        <f>EDATE(C58,-1)</f>
        <v>45261</v>
      </c>
      <c r="E58" s="1103">
        <f>EDATE(D58,-1)</f>
        <v>45231</v>
      </c>
      <c r="F58" s="1103">
        <f t="shared" ref="F58:O58" si="19">EDATE(E58,-1)</f>
        <v>45200</v>
      </c>
      <c r="G58" s="1103">
        <f t="shared" si="19"/>
        <v>45170</v>
      </c>
      <c r="H58" s="1103">
        <f t="shared" si="19"/>
        <v>45139</v>
      </c>
      <c r="I58" s="1103">
        <f t="shared" si="19"/>
        <v>45108</v>
      </c>
      <c r="J58" s="1103">
        <f t="shared" si="19"/>
        <v>45078</v>
      </c>
      <c r="K58" s="1103">
        <f t="shared" si="19"/>
        <v>45047</v>
      </c>
      <c r="L58" s="1103">
        <f t="shared" si="19"/>
        <v>45017</v>
      </c>
      <c r="M58" s="1103">
        <f t="shared" si="19"/>
        <v>44986</v>
      </c>
      <c r="N58" s="1103">
        <f t="shared" si="19"/>
        <v>44958</v>
      </c>
      <c r="O58" s="1103">
        <f t="shared" si="19"/>
        <v>44927</v>
      </c>
      <c r="P58" s="3153">
        <f t="shared" ref="P58" si="20">EDATE(O58,-1)</f>
        <v>44896</v>
      </c>
      <c r="Q58" s="3153">
        <f t="shared" ref="Q58" si="21">EDATE(P58,-1)</f>
        <v>44866</v>
      </c>
      <c r="R58" s="3153">
        <f t="shared" ref="R58" si="22">EDATE(Q58,-1)</f>
        <v>44835</v>
      </c>
    </row>
    <row r="59" spans="1:29" s="102" customFormat="1" ht="15">
      <c r="A59" s="443"/>
      <c r="B59" s="1770"/>
      <c r="C59" s="1101">
        <v>100</v>
      </c>
      <c r="D59" s="445">
        <v>100</v>
      </c>
      <c r="E59" s="446">
        <v>100</v>
      </c>
      <c r="F59" s="446">
        <v>100</v>
      </c>
      <c r="G59" s="446">
        <v>100</v>
      </c>
      <c r="H59" s="446">
        <v>100</v>
      </c>
      <c r="I59" s="446">
        <v>100</v>
      </c>
      <c r="J59" s="446">
        <v>100</v>
      </c>
      <c r="K59" s="446">
        <v>99</v>
      </c>
      <c r="L59" s="446">
        <v>99</v>
      </c>
      <c r="M59" s="447">
        <v>99</v>
      </c>
      <c r="N59" s="446">
        <v>99</v>
      </c>
      <c r="O59" s="446">
        <v>99</v>
      </c>
      <c r="P59" s="446">
        <v>99</v>
      </c>
      <c r="Q59" s="102">
        <v>99</v>
      </c>
      <c r="R59" s="102">
        <v>99</v>
      </c>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1717</v>
      </c>
      <c r="B61" s="444"/>
      <c r="C61" s="456" t="s">
        <v>1718</v>
      </c>
      <c r="D61" s="31"/>
      <c r="E61" s="31"/>
      <c r="F61" s="31"/>
      <c r="G61" s="31"/>
      <c r="H61" s="31"/>
      <c r="I61" s="31"/>
      <c r="J61" s="31"/>
      <c r="K61" s="31"/>
      <c r="L61" s="457"/>
      <c r="M61" s="458"/>
      <c r="N61" s="878"/>
      <c r="O61" s="878"/>
      <c r="P61" s="1772"/>
      <c r="Q61" s="439"/>
    </row>
    <row r="62" spans="1:29" s="102" customFormat="1" ht="15.75" thickBot="1">
      <c r="A62" s="455"/>
      <c r="B62" s="444"/>
      <c r="C62" s="445">
        <v>100</v>
      </c>
      <c r="D62" s="446"/>
      <c r="E62" s="446"/>
      <c r="F62" s="446"/>
      <c r="G62" s="446"/>
      <c r="H62" s="446"/>
      <c r="I62" s="446"/>
      <c r="J62" s="446"/>
      <c r="K62" s="446"/>
      <c r="L62" s="446"/>
      <c r="M62" s="448"/>
      <c r="N62" s="878"/>
      <c r="O62" s="878"/>
      <c r="P62" s="1771"/>
      <c r="Q62" s="439"/>
    </row>
    <row r="63" spans="1:29">
      <c r="A63" s="379" t="s">
        <v>1719</v>
      </c>
      <c r="B63" s="460" t="s">
        <v>1685</v>
      </c>
      <c r="C63" s="461" t="str">
        <f>C9</f>
        <v>住宅</v>
      </c>
      <c r="D63" s="462"/>
      <c r="E63" s="462"/>
      <c r="F63" s="462"/>
      <c r="G63" s="462"/>
      <c r="H63" s="462"/>
      <c r="I63" s="462"/>
      <c r="J63" s="462"/>
      <c r="K63" s="463"/>
      <c r="L63" s="464"/>
      <c r="M63" s="465"/>
      <c r="N63" s="879"/>
      <c r="O63" s="879"/>
      <c r="P63" s="1773"/>
      <c r="Q63" s="439"/>
    </row>
    <row r="64" spans="1:29" ht="15.75" thickBot="1">
      <c r="A64" s="367"/>
      <c r="B64" s="466"/>
      <c r="C64" s="467">
        <v>100</v>
      </c>
      <c r="D64" s="467"/>
      <c r="E64" s="467"/>
      <c r="F64" s="467"/>
      <c r="G64" s="467"/>
      <c r="H64" s="467"/>
      <c r="I64" s="467"/>
      <c r="J64" s="467"/>
      <c r="K64" s="467"/>
      <c r="L64" s="467"/>
      <c r="M64" s="468"/>
      <c r="N64" s="880"/>
      <c r="O64" s="880"/>
      <c r="P64" s="1773"/>
      <c r="Q64" s="439"/>
    </row>
    <row r="65" spans="1:17" ht="27.75" thickTop="1">
      <c r="A65" s="367"/>
      <c r="B65" s="469" t="s">
        <v>1688</v>
      </c>
      <c r="C65" s="513"/>
      <c r="D65" s="513"/>
      <c r="E65" s="513"/>
      <c r="F65" s="513"/>
      <c r="G65" s="513"/>
      <c r="H65" s="513"/>
      <c r="I65" s="513"/>
      <c r="J65" s="513"/>
      <c r="K65" s="513"/>
      <c r="L65" s="513"/>
      <c r="M65" s="513"/>
      <c r="N65" s="880"/>
      <c r="O65" s="880"/>
      <c r="P65" s="1773"/>
      <c r="Q65" s="439"/>
    </row>
    <row r="66" spans="1:17" ht="15.75" thickBot="1">
      <c r="A66" s="367"/>
      <c r="B66" s="474"/>
      <c r="C66" s="467"/>
      <c r="D66" s="467"/>
      <c r="E66" s="467"/>
      <c r="F66" s="467"/>
      <c r="G66" s="467"/>
      <c r="H66" s="467"/>
      <c r="I66" s="467"/>
      <c r="J66" s="467"/>
      <c r="K66" s="467"/>
      <c r="L66" s="467"/>
      <c r="M66" s="468"/>
      <c r="N66" s="880"/>
      <c r="O66" s="880"/>
      <c r="P66" s="1773"/>
      <c r="Q66" s="439"/>
    </row>
    <row r="67" spans="1:17" ht="15.75" thickTop="1">
      <c r="A67" s="367"/>
      <c r="B67" s="477" t="s">
        <v>1689</v>
      </c>
      <c r="C67" s="478" t="str">
        <f>C68&amp;"（含）"&amp;"-"&amp;D68</f>
        <v>0（含）-1</v>
      </c>
      <c r="D67" s="478" t="str">
        <f t="shared" ref="D67:L67" si="23">D68&amp;"（含）"&amp;"-"&amp;E68</f>
        <v>1（含）-2</v>
      </c>
      <c r="E67" s="478" t="str">
        <f t="shared" si="23"/>
        <v>2（含）-3</v>
      </c>
      <c r="F67" s="478" t="str">
        <f t="shared" si="23"/>
        <v>3（含）-</v>
      </c>
      <c r="G67" s="478" t="str">
        <f t="shared" si="23"/>
        <v>（含）-</v>
      </c>
      <c r="H67" s="478" t="str">
        <f t="shared" si="23"/>
        <v>（含）-</v>
      </c>
      <c r="I67" s="478" t="str">
        <f t="shared" si="23"/>
        <v>（含）-</v>
      </c>
      <c r="J67" s="478" t="str">
        <f t="shared" si="23"/>
        <v>（含）-</v>
      </c>
      <c r="K67" s="478" t="str">
        <f>K68&amp;"（含）"&amp;"-"&amp;L68</f>
        <v>（含）-</v>
      </c>
      <c r="L67" s="478" t="str">
        <f t="shared" si="23"/>
        <v>（含）-</v>
      </c>
      <c r="M67" s="387" t="str">
        <f>M68&amp;"（含）"&amp;"-"&amp;P68</f>
        <v>（含）-</v>
      </c>
      <c r="N67" s="880"/>
      <c r="O67" s="880"/>
      <c r="P67" s="1773"/>
      <c r="Q67" s="439"/>
    </row>
    <row r="68" spans="1:17" ht="15">
      <c r="A68" s="367"/>
      <c r="B68" s="479"/>
      <c r="C68" s="480">
        <v>0</v>
      </c>
      <c r="D68" s="480">
        <v>1</v>
      </c>
      <c r="E68" s="480">
        <v>2</v>
      </c>
      <c r="F68" s="480">
        <v>3</v>
      </c>
      <c r="G68" s="480"/>
      <c r="H68" s="480"/>
      <c r="I68" s="480"/>
      <c r="J68" s="480"/>
      <c r="K68" s="481"/>
      <c r="L68" s="482"/>
      <c r="M68" s="483"/>
      <c r="N68" s="879"/>
      <c r="O68" s="879"/>
      <c r="P68" s="1773"/>
      <c r="Q68" s="439"/>
    </row>
    <row r="69" spans="1:17" ht="15.75" thickBot="1">
      <c r="A69" s="367"/>
      <c r="B69" s="466"/>
      <c r="C69" s="475">
        <v>100</v>
      </c>
      <c r="D69" s="475">
        <f t="shared" ref="D69:M69" si="24">C69-$K11</f>
        <v>100</v>
      </c>
      <c r="E69" s="475">
        <f t="shared" si="24"/>
        <v>100</v>
      </c>
      <c r="F69" s="475">
        <f t="shared" si="24"/>
        <v>100</v>
      </c>
      <c r="G69" s="475">
        <f t="shared" si="24"/>
        <v>100</v>
      </c>
      <c r="H69" s="475">
        <f t="shared" si="24"/>
        <v>100</v>
      </c>
      <c r="I69" s="475">
        <f t="shared" si="24"/>
        <v>100</v>
      </c>
      <c r="J69" s="475">
        <f t="shared" si="24"/>
        <v>100</v>
      </c>
      <c r="K69" s="475">
        <f t="shared" si="24"/>
        <v>100</v>
      </c>
      <c r="L69" s="475">
        <f t="shared" si="24"/>
        <v>100</v>
      </c>
      <c r="M69" s="476">
        <f t="shared" si="24"/>
        <v>100</v>
      </c>
      <c r="N69" s="880"/>
      <c r="O69" s="880"/>
      <c r="P69" s="1773"/>
      <c r="Q69" s="439"/>
    </row>
    <row r="70" spans="1:17" s="408" customFormat="1" ht="15.75" thickTop="1">
      <c r="A70" s="484"/>
      <c r="B70" s="469" t="str">
        <f>B12</f>
        <v>房屋性质</v>
      </c>
      <c r="C70" s="3154" t="s">
        <v>3482</v>
      </c>
      <c r="D70" s="3154" t="s">
        <v>3483</v>
      </c>
      <c r="E70" s="485"/>
      <c r="F70" s="485"/>
      <c r="G70" s="485"/>
      <c r="H70" s="486"/>
      <c r="I70" s="486"/>
      <c r="J70" s="486"/>
      <c r="K70" s="486"/>
      <c r="L70" s="487"/>
      <c r="M70" s="488"/>
      <c r="N70" s="881"/>
      <c r="O70" s="881"/>
      <c r="P70" s="1774"/>
      <c r="Q70" s="490"/>
    </row>
    <row r="71" spans="1:17" s="408" customFormat="1" ht="15.75" thickBot="1">
      <c r="A71" s="484"/>
      <c r="B71" s="474"/>
      <c r="C71" s="491">
        <v>100</v>
      </c>
      <c r="D71" s="467">
        <v>95</v>
      </c>
      <c r="E71" s="467"/>
      <c r="F71" s="467"/>
      <c r="G71" s="467"/>
      <c r="H71" s="467"/>
      <c r="I71" s="467"/>
      <c r="J71" s="467"/>
      <c r="K71" s="467"/>
      <c r="L71" s="467"/>
      <c r="M71" s="468"/>
      <c r="N71" s="880"/>
      <c r="O71" s="880"/>
      <c r="P71" s="1774"/>
      <c r="Q71" s="490"/>
    </row>
    <row r="72" spans="1:17" s="408" customFormat="1" ht="15.75" thickTop="1">
      <c r="A72" s="484"/>
      <c r="B72" s="469">
        <f>B13</f>
        <v>111</v>
      </c>
      <c r="C72" s="485"/>
      <c r="D72" s="485"/>
      <c r="E72" s="485"/>
      <c r="F72" s="485"/>
      <c r="G72" s="485"/>
      <c r="H72" s="486"/>
      <c r="I72" s="486"/>
      <c r="J72" s="486"/>
      <c r="K72" s="486"/>
      <c r="L72" s="487"/>
      <c r="M72" s="488"/>
      <c r="N72" s="881"/>
      <c r="O72" s="881"/>
      <c r="P72" s="1775"/>
      <c r="Q72" s="492"/>
    </row>
    <row r="73" spans="1:17" s="408" customFormat="1" ht="15.75" thickBot="1">
      <c r="A73" s="484"/>
      <c r="B73" s="474"/>
      <c r="C73" s="491"/>
      <c r="D73" s="491"/>
      <c r="E73" s="491"/>
      <c r="F73" s="491"/>
      <c r="G73" s="491"/>
      <c r="H73" s="493"/>
      <c r="I73" s="493"/>
      <c r="J73" s="493"/>
      <c r="K73" s="493"/>
      <c r="L73" s="493"/>
      <c r="M73" s="494"/>
      <c r="N73" s="881"/>
      <c r="O73" s="881"/>
      <c r="P73" s="1774"/>
      <c r="Q73" s="490"/>
    </row>
    <row r="74" spans="1:17" s="408" customFormat="1" ht="15.75" thickTop="1">
      <c r="A74" s="484"/>
      <c r="B74" s="477">
        <f>B14</f>
        <v>111</v>
      </c>
      <c r="C74" s="485"/>
      <c r="D74" s="485"/>
      <c r="E74" s="485"/>
      <c r="F74" s="485"/>
      <c r="G74" s="31"/>
      <c r="H74" s="495"/>
      <c r="I74" s="495"/>
      <c r="J74" s="495"/>
      <c r="K74" s="495"/>
      <c r="L74" s="496"/>
      <c r="M74" s="497"/>
      <c r="N74" s="881"/>
      <c r="O74" s="881"/>
      <c r="P74" s="1776"/>
      <c r="Q74" s="490"/>
    </row>
    <row r="75" spans="1:17" s="408" customFormat="1" ht="15.75" thickBot="1">
      <c r="A75" s="499"/>
      <c r="B75" s="500"/>
      <c r="C75" s="501"/>
      <c r="D75" s="501"/>
      <c r="E75" s="501"/>
      <c r="F75" s="501"/>
      <c r="G75" s="501"/>
      <c r="H75" s="502"/>
      <c r="I75" s="502"/>
      <c r="J75" s="502"/>
      <c r="K75" s="502"/>
      <c r="L75" s="502"/>
      <c r="M75" s="503"/>
      <c r="N75" s="881"/>
      <c r="O75" s="881"/>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3"/>
      <c r="Q82" s="439"/>
    </row>
    <row r="83" spans="1:17" ht="15.75" thickBot="1">
      <c r="A83" s="367"/>
      <c r="B83" s="477"/>
      <c r="C83" s="581">
        <v>100</v>
      </c>
      <c r="D83" s="581">
        <f>C83-$K21</f>
        <v>100</v>
      </c>
      <c r="E83" s="581">
        <f t="shared" ref="E83:G83" si="25">D83-$K21</f>
        <v>100</v>
      </c>
      <c r="F83" s="581">
        <f t="shared" si="25"/>
        <v>100</v>
      </c>
      <c r="G83" s="581">
        <f t="shared" si="25"/>
        <v>100</v>
      </c>
      <c r="H83" s="581"/>
      <c r="I83" s="581"/>
      <c r="J83" s="581"/>
      <c r="K83" s="581"/>
      <c r="L83" s="581"/>
      <c r="M83" s="389"/>
      <c r="N83" s="880"/>
      <c r="O83" s="880"/>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3"/>
      <c r="Q85" s="439"/>
    </row>
    <row r="86" spans="1:17" s="102" customFormat="1" ht="15.75" thickTop="1">
      <c r="A86" s="370"/>
      <c r="B86" s="469" t="s">
        <v>1734</v>
      </c>
      <c r="C86" s="485"/>
      <c r="D86" s="485"/>
      <c r="E86" s="485"/>
      <c r="F86" s="485"/>
      <c r="G86" s="485"/>
      <c r="H86" s="485"/>
      <c r="I86" s="485"/>
      <c r="J86" s="485"/>
      <c r="K86" s="485"/>
      <c r="L86" s="510"/>
      <c r="M86" s="511"/>
      <c r="N86" s="878"/>
      <c r="O86" s="878"/>
      <c r="P86" s="1773"/>
      <c r="Q86" s="439"/>
    </row>
    <row r="87" spans="1:17" s="102" customFormat="1" ht="15.75" thickBot="1">
      <c r="A87" s="370"/>
      <c r="B87" s="474"/>
      <c r="C87" s="512">
        <v>100</v>
      </c>
      <c r="D87" s="475">
        <f t="shared" ref="D87:M87" si="26">$C$87-($C$86-D86)*$K$25</f>
        <v>100</v>
      </c>
      <c r="E87" s="475">
        <f t="shared" si="26"/>
        <v>100</v>
      </c>
      <c r="F87" s="475">
        <f t="shared" si="26"/>
        <v>100</v>
      </c>
      <c r="G87" s="475">
        <f t="shared" si="26"/>
        <v>100</v>
      </c>
      <c r="H87" s="475">
        <f t="shared" si="26"/>
        <v>100</v>
      </c>
      <c r="I87" s="475">
        <f t="shared" si="26"/>
        <v>100</v>
      </c>
      <c r="J87" s="475">
        <f t="shared" si="26"/>
        <v>100</v>
      </c>
      <c r="K87" s="475">
        <f t="shared" si="26"/>
        <v>100</v>
      </c>
      <c r="L87" s="475">
        <f t="shared" si="26"/>
        <v>100</v>
      </c>
      <c r="M87" s="475">
        <f t="shared" si="26"/>
        <v>100</v>
      </c>
      <c r="N87" s="880"/>
      <c r="O87" s="880"/>
      <c r="P87" s="1773"/>
      <c r="Q87" s="439"/>
    </row>
    <row r="88" spans="1:17" s="102" customFormat="1" ht="15.75" thickTop="1">
      <c r="A88" s="370"/>
      <c r="B88" s="469" t="s">
        <v>1735</v>
      </c>
      <c r="C88" s="3154" t="s">
        <v>3462</v>
      </c>
      <c r="D88" s="3154" t="s">
        <v>3464</v>
      </c>
      <c r="E88" s="485"/>
      <c r="F88" s="1778"/>
      <c r="G88" s="485"/>
      <c r="H88" s="485"/>
      <c r="I88" s="485"/>
      <c r="J88" s="485"/>
      <c r="K88" s="485"/>
      <c r="L88" s="485"/>
      <c r="M88" s="511"/>
      <c r="N88" s="878"/>
      <c r="O88" s="878"/>
      <c r="P88" s="1773"/>
      <c r="Q88" s="439"/>
    </row>
    <row r="89" spans="1:17" s="102" customFormat="1" ht="15.75" thickBot="1">
      <c r="A89" s="370"/>
      <c r="B89" s="474"/>
      <c r="C89" s="512">
        <v>100</v>
      </c>
      <c r="D89" s="475">
        <f t="shared" ref="D89:M89" si="27">C89-$K26</f>
        <v>98</v>
      </c>
      <c r="E89" s="475">
        <f t="shared" si="27"/>
        <v>96</v>
      </c>
      <c r="F89" s="475">
        <f t="shared" si="27"/>
        <v>94</v>
      </c>
      <c r="G89" s="475">
        <f t="shared" si="27"/>
        <v>92</v>
      </c>
      <c r="H89" s="475">
        <f t="shared" si="27"/>
        <v>90</v>
      </c>
      <c r="I89" s="475">
        <f t="shared" si="27"/>
        <v>88</v>
      </c>
      <c r="J89" s="475">
        <f t="shared" si="27"/>
        <v>86</v>
      </c>
      <c r="K89" s="475">
        <f t="shared" si="27"/>
        <v>84</v>
      </c>
      <c r="L89" s="475">
        <f t="shared" si="27"/>
        <v>82</v>
      </c>
      <c r="M89" s="475">
        <f t="shared" si="27"/>
        <v>80</v>
      </c>
      <c r="N89" s="880"/>
      <c r="O89" s="880"/>
      <c r="P89" s="1773"/>
      <c r="Q89" s="439"/>
    </row>
    <row r="90" spans="1:17" s="408" customFormat="1" ht="15.75" thickTop="1">
      <c r="A90" s="484"/>
      <c r="B90" s="469" t="str">
        <f>B27</f>
        <v>楼层</v>
      </c>
      <c r="C90" s="3157" t="s">
        <v>3448</v>
      </c>
      <c r="D90" s="3157" t="s">
        <v>3451</v>
      </c>
      <c r="E90" s="3157" t="s">
        <v>3450</v>
      </c>
      <c r="F90" s="3157" t="s">
        <v>3449</v>
      </c>
      <c r="G90" s="485"/>
      <c r="H90" s="486"/>
      <c r="I90" s="486"/>
      <c r="J90" s="486"/>
      <c r="K90" s="486"/>
      <c r="L90" s="487"/>
      <c r="M90" s="488"/>
      <c r="N90" s="881"/>
      <c r="O90" s="881"/>
      <c r="P90" s="1774"/>
      <c r="Q90" s="490"/>
    </row>
    <row r="91" spans="1:17" s="408" customFormat="1" ht="15.75" thickBot="1">
      <c r="A91" s="484"/>
      <c r="B91" s="474"/>
      <c r="C91" s="491">
        <f>101.5*C92</f>
        <v>203</v>
      </c>
      <c r="D91" s="491">
        <f>C92*99</f>
        <v>198</v>
      </c>
      <c r="E91" s="491">
        <f>C92*102</f>
        <v>204</v>
      </c>
      <c r="F91" s="491">
        <f>C92*98</f>
        <v>196</v>
      </c>
      <c r="G91" s="491"/>
      <c r="H91" s="493"/>
      <c r="I91" s="493"/>
      <c r="J91" s="493"/>
      <c r="K91" s="493"/>
      <c r="L91" s="493"/>
      <c r="M91" s="494"/>
      <c r="N91" s="881"/>
      <c r="O91" s="881"/>
      <c r="P91" s="1774"/>
      <c r="Q91" s="490"/>
    </row>
    <row r="92" spans="1:17" ht="15.75" thickTop="1">
      <c r="A92" s="367"/>
      <c r="B92" s="469">
        <f>B28</f>
        <v>111</v>
      </c>
      <c r="C92" s="485">
        <v>2</v>
      </c>
      <c r="D92" s="485"/>
      <c r="E92" s="485"/>
      <c r="F92" s="485"/>
      <c r="G92" s="513"/>
      <c r="H92" s="513"/>
      <c r="I92" s="513"/>
      <c r="J92" s="513"/>
      <c r="K92" s="514"/>
      <c r="L92" s="515"/>
      <c r="M92" s="516"/>
      <c r="N92" s="879"/>
      <c r="O92" s="879"/>
      <c r="P92" s="1773"/>
      <c r="Q92" s="439"/>
    </row>
    <row r="93" spans="1:17" ht="15.75" thickBot="1">
      <c r="A93" s="367"/>
      <c r="B93" s="474"/>
      <c r="C93" s="491"/>
      <c r="D93" s="467"/>
      <c r="E93" s="467"/>
      <c r="F93" s="467"/>
      <c r="G93" s="467"/>
      <c r="H93" s="467"/>
      <c r="I93" s="467"/>
      <c r="J93" s="467"/>
      <c r="K93" s="467"/>
      <c r="L93" s="467"/>
      <c r="M93" s="468"/>
      <c r="N93" s="880"/>
      <c r="O93" s="880"/>
      <c r="P93" s="1773"/>
      <c r="Q93" s="439"/>
    </row>
    <row r="94" spans="1:17" ht="15.75" thickTop="1">
      <c r="A94" s="367"/>
      <c r="B94" s="469">
        <f>B29</f>
        <v>111</v>
      </c>
      <c r="C94" s="485"/>
      <c r="D94" s="485"/>
      <c r="E94" s="485"/>
      <c r="F94" s="485"/>
      <c r="G94" s="513"/>
      <c r="H94" s="513"/>
      <c r="I94" s="513"/>
      <c r="J94" s="513"/>
      <c r="K94" s="514"/>
      <c r="L94" s="515"/>
      <c r="M94" s="516"/>
      <c r="N94" s="879"/>
      <c r="O94" s="879"/>
      <c r="P94" s="1773"/>
      <c r="Q94" s="439"/>
    </row>
    <row r="95" spans="1:17" ht="15.75" thickBot="1">
      <c r="A95" s="367"/>
      <c r="B95" s="474"/>
      <c r="C95" s="491"/>
      <c r="D95" s="491"/>
      <c r="E95" s="491"/>
      <c r="F95" s="491"/>
      <c r="G95" s="467"/>
      <c r="H95" s="467"/>
      <c r="I95" s="467"/>
      <c r="J95" s="467"/>
      <c r="K95" s="467"/>
      <c r="L95" s="467"/>
      <c r="M95" s="468"/>
      <c r="N95" s="880"/>
      <c r="O95" s="880"/>
      <c r="P95" s="1773"/>
      <c r="Q95" s="439"/>
    </row>
    <row r="96" spans="1:17" ht="15.75" thickTop="1">
      <c r="A96" s="367"/>
      <c r="B96" s="469">
        <f>B30</f>
        <v>111</v>
      </c>
      <c r="C96" s="485"/>
      <c r="D96" s="485"/>
      <c r="E96" s="485"/>
      <c r="F96" s="485"/>
      <c r="G96" s="513"/>
      <c r="H96" s="513"/>
      <c r="I96" s="513"/>
      <c r="J96" s="513"/>
      <c r="K96" s="514"/>
      <c r="L96" s="515"/>
      <c r="M96" s="516"/>
      <c r="N96" s="879"/>
      <c r="O96" s="879"/>
      <c r="P96" s="1773"/>
      <c r="Q96" s="439"/>
    </row>
    <row r="97" spans="1:17" ht="15.75" thickBot="1">
      <c r="A97" s="367"/>
      <c r="B97" s="474"/>
      <c r="C97" s="501"/>
      <c r="D97" s="501"/>
      <c r="E97" s="501"/>
      <c r="F97" s="501"/>
      <c r="G97" s="467"/>
      <c r="H97" s="467"/>
      <c r="I97" s="467"/>
      <c r="J97" s="467"/>
      <c r="K97" s="467"/>
      <c r="L97" s="467"/>
      <c r="M97" s="468"/>
      <c r="N97" s="880"/>
      <c r="O97" s="880"/>
      <c r="P97" s="1773"/>
      <c r="Q97" s="439"/>
    </row>
    <row r="98" spans="1:17" ht="15.75" thickTop="1">
      <c r="A98" s="367"/>
      <c r="B98" s="477">
        <f>B31</f>
        <v>111</v>
      </c>
      <c r="C98" s="517"/>
      <c r="D98" s="517"/>
      <c r="E98" s="517"/>
      <c r="F98" s="517"/>
      <c r="G98" s="517"/>
      <c r="H98" s="517"/>
      <c r="I98" s="517"/>
      <c r="J98" s="517"/>
      <c r="K98" s="518"/>
      <c r="L98" s="519"/>
      <c r="M98" s="520"/>
      <c r="N98" s="879"/>
      <c r="O98" s="879"/>
      <c r="P98" s="1773"/>
      <c r="Q98" s="439"/>
    </row>
    <row r="99" spans="1:17" ht="15.75" thickBot="1">
      <c r="A99" s="375"/>
      <c r="B99" s="500"/>
      <c r="C99" s="521"/>
      <c r="D99" s="521"/>
      <c r="E99" s="521"/>
      <c r="F99" s="521"/>
      <c r="G99" s="521"/>
      <c r="H99" s="521"/>
      <c r="I99" s="521"/>
      <c r="J99" s="521"/>
      <c r="K99" s="521"/>
      <c r="L99" s="521"/>
      <c r="M99" s="522"/>
      <c r="N99" s="880"/>
      <c r="O99" s="880"/>
      <c r="P99" s="1773"/>
      <c r="Q99" s="439"/>
    </row>
    <row r="100" spans="1:17">
      <c r="A100" s="379" t="s">
        <v>1694</v>
      </c>
      <c r="B100" s="460" t="s">
        <v>1736</v>
      </c>
      <c r="C100" s="462"/>
      <c r="D100" s="462"/>
      <c r="E100" s="462"/>
      <c r="F100" s="462"/>
      <c r="G100" s="462"/>
      <c r="H100" s="462"/>
      <c r="I100" s="462"/>
      <c r="J100" s="462"/>
      <c r="K100" s="463"/>
      <c r="L100" s="464"/>
      <c r="M100" s="465"/>
      <c r="N100" s="879"/>
      <c r="O100" s="879"/>
      <c r="P100" s="1773"/>
      <c r="Q100" s="439"/>
    </row>
    <row r="101" spans="1:17" ht="15.75" thickBot="1">
      <c r="A101" s="367"/>
      <c r="B101" s="474"/>
      <c r="C101" s="475">
        <v>100</v>
      </c>
      <c r="D101" s="475">
        <f t="shared" ref="D101:M101" si="28">C101-$K32</f>
        <v>100</v>
      </c>
      <c r="E101" s="475">
        <f t="shared" si="28"/>
        <v>100</v>
      </c>
      <c r="F101" s="475">
        <f t="shared" si="28"/>
        <v>100</v>
      </c>
      <c r="G101" s="475">
        <f t="shared" si="28"/>
        <v>100</v>
      </c>
      <c r="H101" s="475">
        <f t="shared" si="28"/>
        <v>100</v>
      </c>
      <c r="I101" s="475">
        <f t="shared" si="28"/>
        <v>100</v>
      </c>
      <c r="J101" s="475">
        <f t="shared" si="28"/>
        <v>100</v>
      </c>
      <c r="K101" s="475">
        <f t="shared" si="28"/>
        <v>100</v>
      </c>
      <c r="L101" s="475">
        <f t="shared" si="28"/>
        <v>100</v>
      </c>
      <c r="M101" s="475">
        <f t="shared" si="28"/>
        <v>100</v>
      </c>
      <c r="N101" s="880"/>
      <c r="O101" s="880"/>
      <c r="P101" s="1773"/>
      <c r="Q101" s="439"/>
    </row>
    <row r="102" spans="1:17" ht="15.75" thickTop="1">
      <c r="A102" s="367"/>
      <c r="B102" s="469" t="s">
        <v>1737</v>
      </c>
      <c r="C102" s="509" t="str">
        <f>C103&amp;"(含)"&amp;"-"&amp;D103</f>
        <v>0(含)-50</v>
      </c>
      <c r="D102" s="509" t="str">
        <f t="shared" ref="D102:L102" si="29">D103&amp;"(含)"&amp;"-"&amp;E103</f>
        <v>50(含)-100</v>
      </c>
      <c r="E102" s="509" t="str">
        <f t="shared" si="29"/>
        <v>100(含)-</v>
      </c>
      <c r="F102" s="509" t="str">
        <f t="shared" si="29"/>
        <v>(含)-</v>
      </c>
      <c r="G102" s="509" t="str">
        <f t="shared" si="29"/>
        <v>(含)-</v>
      </c>
      <c r="H102" s="509" t="str">
        <f t="shared" si="29"/>
        <v>(含)-</v>
      </c>
      <c r="I102" s="509" t="str">
        <f t="shared" si="29"/>
        <v>(含)-</v>
      </c>
      <c r="J102" s="509" t="str">
        <f t="shared" si="29"/>
        <v>(含)-</v>
      </c>
      <c r="K102" s="509" t="str">
        <f>K103&amp;"(含)"&amp;"-"&amp;L103</f>
        <v>(含)-</v>
      </c>
      <c r="L102" s="509" t="str">
        <f t="shared" si="29"/>
        <v>(含)-</v>
      </c>
      <c r="M102" s="509" t="str">
        <f>M103&amp;"(含)"&amp;"-"&amp;P103</f>
        <v>(含)-</v>
      </c>
      <c r="N102" s="878"/>
      <c r="O102" s="878"/>
      <c r="P102" s="1773"/>
      <c r="Q102" s="439"/>
    </row>
    <row r="103" spans="1:17" s="408" customFormat="1">
      <c r="A103" s="406"/>
      <c r="B103" s="523"/>
      <c r="C103" s="6">
        <v>0</v>
      </c>
      <c r="D103" s="6">
        <v>50</v>
      </c>
      <c r="E103" s="6">
        <v>100</v>
      </c>
      <c r="F103" s="6"/>
      <c r="G103" s="6"/>
      <c r="H103" s="6"/>
      <c r="I103" s="6"/>
      <c r="J103" s="524"/>
      <c r="K103" s="524"/>
      <c r="L103" s="525"/>
      <c r="M103" s="526"/>
      <c r="N103" s="881"/>
      <c r="O103" s="881"/>
      <c r="P103" s="1774"/>
      <c r="Q103" s="490"/>
    </row>
    <row r="104" spans="1:17" s="408" customFormat="1" ht="15.75" thickBot="1">
      <c r="A104" s="484"/>
      <c r="B104" s="474"/>
      <c r="C104" s="491">
        <v>100</v>
      </c>
      <c r="D104" s="467">
        <v>99</v>
      </c>
      <c r="E104" s="467">
        <v>98</v>
      </c>
      <c r="F104" s="467"/>
      <c r="G104" s="467"/>
      <c r="H104" s="467"/>
      <c r="I104" s="467"/>
      <c r="J104" s="467"/>
      <c r="K104" s="467"/>
      <c r="L104" s="467"/>
      <c r="M104" s="467"/>
      <c r="N104" s="880"/>
      <c r="O104" s="880"/>
      <c r="P104" s="1774"/>
      <c r="Q104" s="490"/>
    </row>
    <row r="105" spans="1:17" ht="15" thickTop="1">
      <c r="A105" s="409"/>
      <c r="B105" s="469" t="s">
        <v>1738</v>
      </c>
      <c r="C105" s="485"/>
      <c r="D105" s="485"/>
      <c r="E105" s="513"/>
      <c r="F105" s="513"/>
      <c r="G105" s="513"/>
      <c r="H105" s="513"/>
      <c r="I105" s="513"/>
      <c r="J105" s="513"/>
      <c r="K105" s="514"/>
      <c r="L105" s="515"/>
      <c r="M105" s="516"/>
      <c r="N105" s="879"/>
      <c r="O105" s="879"/>
      <c r="P105" s="1773"/>
      <c r="Q105" s="439"/>
    </row>
    <row r="106" spans="1:17" ht="15.75" thickBot="1">
      <c r="A106" s="367"/>
      <c r="B106" s="474"/>
      <c r="C106" s="475">
        <v>100</v>
      </c>
      <c r="D106" s="475">
        <f t="shared" ref="D106:M106" si="30">C106-$K34</f>
        <v>100</v>
      </c>
      <c r="E106" s="475">
        <f t="shared" si="30"/>
        <v>100</v>
      </c>
      <c r="F106" s="475">
        <f t="shared" si="30"/>
        <v>100</v>
      </c>
      <c r="G106" s="475">
        <f t="shared" si="30"/>
        <v>100</v>
      </c>
      <c r="H106" s="475">
        <f t="shared" si="30"/>
        <v>100</v>
      </c>
      <c r="I106" s="475">
        <f t="shared" si="30"/>
        <v>100</v>
      </c>
      <c r="J106" s="475">
        <f t="shared" si="30"/>
        <v>100</v>
      </c>
      <c r="K106" s="475">
        <f t="shared" si="30"/>
        <v>100</v>
      </c>
      <c r="L106" s="475">
        <f t="shared" si="30"/>
        <v>100</v>
      </c>
      <c r="M106" s="475">
        <f t="shared" si="30"/>
        <v>100</v>
      </c>
      <c r="N106" s="880"/>
      <c r="O106" s="880"/>
      <c r="P106" s="1773"/>
      <c r="Q106" s="439"/>
    </row>
    <row r="107" spans="1:17" ht="15" thickTop="1">
      <c r="A107" s="409"/>
      <c r="B107" s="469" t="s">
        <v>1739</v>
      </c>
      <c r="C107" s="513"/>
      <c r="D107" s="513"/>
      <c r="E107" s="513"/>
      <c r="F107" s="513"/>
      <c r="G107" s="513"/>
      <c r="H107" s="513"/>
      <c r="I107" s="513"/>
      <c r="J107" s="513"/>
      <c r="K107" s="514"/>
      <c r="L107" s="515"/>
      <c r="M107" s="516"/>
      <c r="N107" s="879"/>
      <c r="O107" s="879"/>
      <c r="P107" s="1773"/>
      <c r="Q107" s="439"/>
    </row>
    <row r="108" spans="1:17" ht="15.75" thickBot="1">
      <c r="A108" s="367"/>
      <c r="B108" s="474"/>
      <c r="C108" s="475">
        <v>100</v>
      </c>
      <c r="D108" s="475">
        <f t="shared" ref="D108:M108" si="31">C108-$K35</f>
        <v>100</v>
      </c>
      <c r="E108" s="475">
        <f t="shared" si="31"/>
        <v>100</v>
      </c>
      <c r="F108" s="475">
        <f t="shared" si="31"/>
        <v>100</v>
      </c>
      <c r="G108" s="475">
        <f t="shared" si="31"/>
        <v>100</v>
      </c>
      <c r="H108" s="475">
        <f t="shared" si="31"/>
        <v>100</v>
      </c>
      <c r="I108" s="475">
        <f t="shared" si="31"/>
        <v>100</v>
      </c>
      <c r="J108" s="475">
        <f t="shared" si="31"/>
        <v>100</v>
      </c>
      <c r="K108" s="475">
        <f t="shared" si="31"/>
        <v>100</v>
      </c>
      <c r="L108" s="475">
        <f t="shared" si="31"/>
        <v>100</v>
      </c>
      <c r="M108" s="475">
        <f t="shared" si="31"/>
        <v>100</v>
      </c>
      <c r="N108" s="880"/>
      <c r="O108" s="880"/>
      <c r="P108" s="1773"/>
      <c r="Q108" s="439"/>
    </row>
    <row r="109" spans="1:17" ht="15" thickTop="1">
      <c r="A109" s="409"/>
      <c r="B109" s="469" t="s">
        <v>1740</v>
      </c>
      <c r="C109" s="485"/>
      <c r="D109" s="485"/>
      <c r="E109" s="485"/>
      <c r="F109" s="513"/>
      <c r="G109" s="513"/>
      <c r="H109" s="513"/>
      <c r="I109" s="513"/>
      <c r="J109" s="513"/>
      <c r="K109" s="514"/>
      <c r="L109" s="515"/>
      <c r="M109" s="516"/>
      <c r="N109" s="879"/>
      <c r="O109" s="879"/>
      <c r="P109" s="1773"/>
      <c r="Q109" s="439"/>
    </row>
    <row r="110" spans="1:17" ht="15.75" thickBot="1">
      <c r="A110" s="367"/>
      <c r="B110" s="474"/>
      <c r="C110" s="475">
        <v>100</v>
      </c>
      <c r="D110" s="475">
        <f t="shared" ref="D110:M110" si="32">C110-$K36</f>
        <v>100</v>
      </c>
      <c r="E110" s="475">
        <f t="shared" si="32"/>
        <v>100</v>
      </c>
      <c r="F110" s="475">
        <f t="shared" si="32"/>
        <v>100</v>
      </c>
      <c r="G110" s="475">
        <f t="shared" si="32"/>
        <v>100</v>
      </c>
      <c r="H110" s="475">
        <f t="shared" si="32"/>
        <v>100</v>
      </c>
      <c r="I110" s="475">
        <f t="shared" si="32"/>
        <v>100</v>
      </c>
      <c r="J110" s="475">
        <f t="shared" si="32"/>
        <v>100</v>
      </c>
      <c r="K110" s="475">
        <f t="shared" si="32"/>
        <v>100</v>
      </c>
      <c r="L110" s="475">
        <f t="shared" si="32"/>
        <v>100</v>
      </c>
      <c r="M110" s="475">
        <f t="shared" si="32"/>
        <v>100</v>
      </c>
      <c r="N110" s="880"/>
      <c r="O110" s="880"/>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4"/>
      <c r="Q113" s="490"/>
    </row>
    <row r="114" spans="1:17" ht="15" thickTop="1">
      <c r="A114" s="409"/>
      <c r="B114" s="469" t="s">
        <v>1741</v>
      </c>
      <c r="C114" s="485"/>
      <c r="D114" s="485"/>
      <c r="E114" s="513"/>
      <c r="F114" s="513"/>
      <c r="G114" s="513"/>
      <c r="H114" s="513"/>
      <c r="I114" s="513"/>
      <c r="J114" s="513"/>
      <c r="K114" s="514"/>
      <c r="L114" s="515"/>
      <c r="M114" s="516"/>
      <c r="N114" s="879"/>
      <c r="O114" s="879"/>
      <c r="P114" s="1773"/>
      <c r="Q114" s="439"/>
    </row>
    <row r="115" spans="1:17" ht="15.75" thickBot="1">
      <c r="A115" s="367"/>
      <c r="B115" s="474"/>
      <c r="C115" s="475">
        <v>100</v>
      </c>
      <c r="D115" s="475">
        <f t="shared" ref="D115:M115" si="33">C115-$K38</f>
        <v>100</v>
      </c>
      <c r="E115" s="475">
        <f t="shared" si="33"/>
        <v>100</v>
      </c>
      <c r="F115" s="475">
        <f t="shared" si="33"/>
        <v>100</v>
      </c>
      <c r="G115" s="475">
        <f t="shared" si="33"/>
        <v>100</v>
      </c>
      <c r="H115" s="475">
        <f t="shared" si="33"/>
        <v>100</v>
      </c>
      <c r="I115" s="475">
        <f t="shared" si="33"/>
        <v>100</v>
      </c>
      <c r="J115" s="475">
        <f t="shared" si="33"/>
        <v>100</v>
      </c>
      <c r="K115" s="475">
        <f t="shared" si="33"/>
        <v>100</v>
      </c>
      <c r="L115" s="475">
        <f t="shared" si="33"/>
        <v>100</v>
      </c>
      <c r="M115" s="475">
        <f t="shared" si="33"/>
        <v>100</v>
      </c>
      <c r="N115" s="880"/>
      <c r="O115" s="880"/>
      <c r="P115" s="1773"/>
      <c r="Q115" s="439"/>
    </row>
    <row r="116" spans="1:17" ht="15" thickTop="1">
      <c r="A116" s="409"/>
      <c r="B116" s="469" t="s">
        <v>1742</v>
      </c>
      <c r="C116" s="485"/>
      <c r="D116" s="485"/>
      <c r="E116" s="485"/>
      <c r="F116" s="485"/>
      <c r="G116" s="485"/>
      <c r="H116" s="513"/>
      <c r="I116" s="513"/>
      <c r="J116" s="513"/>
      <c r="K116" s="514"/>
      <c r="L116" s="515"/>
      <c r="M116" s="516"/>
      <c r="N116" s="879"/>
      <c r="O116" s="879"/>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3"/>
      <c r="Q117" s="439"/>
    </row>
    <row r="118" spans="1:17" ht="15" thickTop="1">
      <c r="A118" s="409"/>
      <c r="B118" s="469" t="s">
        <v>1743</v>
      </c>
      <c r="C118" s="513"/>
      <c r="D118" s="513"/>
      <c r="E118" s="513"/>
      <c r="F118" s="513"/>
      <c r="G118" s="513"/>
      <c r="H118" s="513"/>
      <c r="I118" s="513"/>
      <c r="J118" s="513"/>
      <c r="K118" s="514"/>
      <c r="L118" s="515"/>
      <c r="M118" s="516"/>
      <c r="N118" s="879"/>
      <c r="O118" s="879"/>
      <c r="P118" s="1773"/>
      <c r="Q118" s="439"/>
    </row>
    <row r="119" spans="1:17" ht="15.75" thickBot="1">
      <c r="A119" s="367"/>
      <c r="B119" s="474"/>
      <c r="C119" s="475">
        <v>100</v>
      </c>
      <c r="D119" s="475">
        <f t="shared" ref="D119:M119" si="34">C119-$K40</f>
        <v>100</v>
      </c>
      <c r="E119" s="475">
        <f t="shared" si="34"/>
        <v>100</v>
      </c>
      <c r="F119" s="475">
        <f t="shared" si="34"/>
        <v>100</v>
      </c>
      <c r="G119" s="475">
        <f t="shared" si="34"/>
        <v>100</v>
      </c>
      <c r="H119" s="475">
        <f t="shared" si="34"/>
        <v>100</v>
      </c>
      <c r="I119" s="475">
        <f t="shared" si="34"/>
        <v>100</v>
      </c>
      <c r="J119" s="475">
        <f t="shared" si="34"/>
        <v>100</v>
      </c>
      <c r="K119" s="475">
        <f t="shared" si="34"/>
        <v>100</v>
      </c>
      <c r="L119" s="475">
        <f t="shared" si="34"/>
        <v>100</v>
      </c>
      <c r="M119" s="475">
        <f t="shared" si="34"/>
        <v>100</v>
      </c>
      <c r="N119" s="880"/>
      <c r="O119" s="880"/>
      <c r="P119" s="1773"/>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4"/>
      <c r="Q120" s="490"/>
    </row>
    <row r="121" spans="1:17" s="408" customFormat="1" ht="15.75" thickBot="1">
      <c r="A121" s="484"/>
      <c r="B121" s="466"/>
      <c r="C121" s="491"/>
      <c r="D121" s="467"/>
      <c r="E121" s="467"/>
      <c r="F121" s="467"/>
      <c r="G121" s="467"/>
      <c r="H121" s="467"/>
      <c r="I121" s="467"/>
      <c r="J121" s="467"/>
      <c r="K121" s="467"/>
      <c r="L121" s="467"/>
      <c r="M121" s="467"/>
      <c r="N121" s="881"/>
      <c r="O121" s="881"/>
      <c r="P121" s="1774"/>
      <c r="Q121" s="490"/>
    </row>
    <row r="122" spans="1:17" ht="15" thickTop="1">
      <c r="A122" s="409"/>
      <c r="B122" s="469" t="s">
        <v>1744</v>
      </c>
      <c r="C122" s="3154" t="s">
        <v>3480</v>
      </c>
      <c r="D122" s="485"/>
      <c r="E122" s="485"/>
      <c r="F122" s="513"/>
      <c r="G122" s="513"/>
      <c r="H122" s="513"/>
      <c r="I122" s="513"/>
      <c r="J122" s="513"/>
      <c r="K122" s="514"/>
      <c r="L122" s="515"/>
      <c r="M122" s="516"/>
      <c r="N122" s="879"/>
      <c r="O122" s="879"/>
      <c r="P122" s="1773"/>
      <c r="Q122" s="439"/>
    </row>
    <row r="123" spans="1:17" ht="15.75" thickBot="1">
      <c r="A123" s="367"/>
      <c r="B123" s="474"/>
      <c r="C123" s="475">
        <v>100</v>
      </c>
      <c r="D123" s="475">
        <f t="shared" ref="D123:M123" si="35">C123-$K42</f>
        <v>100</v>
      </c>
      <c r="E123" s="475">
        <f t="shared" si="35"/>
        <v>100</v>
      </c>
      <c r="F123" s="475">
        <f t="shared" si="35"/>
        <v>100</v>
      </c>
      <c r="G123" s="475">
        <f t="shared" si="35"/>
        <v>100</v>
      </c>
      <c r="H123" s="475">
        <f t="shared" si="35"/>
        <v>100</v>
      </c>
      <c r="I123" s="475">
        <f t="shared" si="35"/>
        <v>100</v>
      </c>
      <c r="J123" s="475">
        <f t="shared" si="35"/>
        <v>100</v>
      </c>
      <c r="K123" s="475">
        <f t="shared" si="35"/>
        <v>100</v>
      </c>
      <c r="L123" s="475">
        <f t="shared" si="35"/>
        <v>100</v>
      </c>
      <c r="M123" s="475">
        <f t="shared" si="35"/>
        <v>100</v>
      </c>
      <c r="N123" s="880"/>
      <c r="O123" s="880"/>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3"/>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4"/>
      <c r="Q126" s="490"/>
    </row>
    <row r="127" spans="1:17" s="408" customFormat="1" ht="15.75" thickBot="1">
      <c r="A127" s="484"/>
      <c r="B127" s="474"/>
      <c r="C127" s="491"/>
      <c r="D127" s="467"/>
      <c r="E127" s="467"/>
      <c r="F127" s="467"/>
      <c r="G127" s="491"/>
      <c r="H127" s="493"/>
      <c r="I127" s="493"/>
      <c r="J127" s="493"/>
      <c r="K127" s="493"/>
      <c r="L127" s="493"/>
      <c r="M127" s="494"/>
      <c r="N127" s="881"/>
      <c r="O127" s="881"/>
      <c r="P127" s="1774"/>
      <c r="Q127" s="490"/>
    </row>
    <row r="128" spans="1:17" ht="15" thickTop="1">
      <c r="A128" s="409"/>
      <c r="B128" s="469">
        <f>B45</f>
        <v>111</v>
      </c>
      <c r="C128" s="485"/>
      <c r="D128" s="485"/>
      <c r="E128" s="485"/>
      <c r="F128" s="485"/>
      <c r="G128" s="513"/>
      <c r="H128" s="513"/>
      <c r="I128" s="513"/>
      <c r="J128" s="513"/>
      <c r="K128" s="514"/>
      <c r="L128" s="515"/>
      <c r="M128" s="516"/>
      <c r="N128" s="879"/>
      <c r="O128" s="879"/>
      <c r="P128" s="1773"/>
      <c r="Q128" s="439"/>
    </row>
    <row r="129" spans="1:17" ht="15.75" thickBot="1">
      <c r="A129" s="367"/>
      <c r="B129" s="474"/>
      <c r="C129" s="491"/>
      <c r="D129" s="491"/>
      <c r="E129" s="491"/>
      <c r="F129" s="491"/>
      <c r="G129" s="467"/>
      <c r="H129" s="467"/>
      <c r="I129" s="467"/>
      <c r="J129" s="467"/>
      <c r="K129" s="467"/>
      <c r="L129" s="467"/>
      <c r="M129" s="468"/>
      <c r="N129" s="880"/>
      <c r="O129" s="880"/>
      <c r="P129" s="1773"/>
      <c r="Q129" s="439"/>
    </row>
    <row r="130" spans="1:17" ht="15" thickTop="1">
      <c r="A130" s="409"/>
      <c r="B130" s="477">
        <f>B46</f>
        <v>111</v>
      </c>
      <c r="C130" s="485"/>
      <c r="D130" s="485"/>
      <c r="E130" s="485"/>
      <c r="F130" s="485"/>
      <c r="G130" s="517"/>
      <c r="H130" s="517"/>
      <c r="I130" s="517"/>
      <c r="J130" s="517"/>
      <c r="K130" s="31"/>
      <c r="L130" s="457"/>
      <c r="M130" s="520"/>
      <c r="N130" s="879"/>
      <c r="O130" s="879"/>
      <c r="P130" s="1773"/>
      <c r="Q130" s="439"/>
    </row>
    <row r="131" spans="1:17" ht="15.75" thickBot="1">
      <c r="A131" s="375"/>
      <c r="B131" s="500"/>
      <c r="C131" s="501"/>
      <c r="D131" s="501"/>
      <c r="E131" s="501"/>
      <c r="F131" s="501"/>
      <c r="G131" s="521"/>
      <c r="H131" s="521"/>
      <c r="I131" s="521"/>
      <c r="J131" s="521"/>
      <c r="K131" s="521"/>
      <c r="L131" s="521"/>
      <c r="M131" s="522"/>
      <c r="N131" s="880"/>
      <c r="O131" s="880"/>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4">
        <v>6</v>
      </c>
      <c r="C139" s="815">
        <v>96</v>
      </c>
      <c r="D139" s="1790" t="s">
        <v>1755</v>
      </c>
      <c r="E139" s="816">
        <v>100</v>
      </c>
      <c r="F139" s="817">
        <v>102.5</v>
      </c>
      <c r="G139" s="1790" t="s">
        <v>1755</v>
      </c>
      <c r="H139" s="818">
        <v>105</v>
      </c>
      <c r="I139" s="1791" t="s">
        <v>1756</v>
      </c>
      <c r="J139" s="815">
        <v>20</v>
      </c>
      <c r="K139" s="819">
        <f>C145/(J139-2)</f>
        <v>4.0555555555555553E-3</v>
      </c>
    </row>
    <row r="140" spans="1:17" ht="15">
      <c r="B140" s="820">
        <v>5</v>
      </c>
      <c r="C140" s="821">
        <v>100</v>
      </c>
      <c r="D140" s="821"/>
      <c r="E140" s="822"/>
      <c r="F140" s="823">
        <v>102</v>
      </c>
      <c r="G140" s="821"/>
      <c r="H140" s="824"/>
      <c r="I140" s="1792" t="s">
        <v>1757</v>
      </c>
      <c r="J140" s="263">
        <f>ROUNDUP((J139-1)/2,0)</f>
        <v>10</v>
      </c>
      <c r="K140" s="825">
        <v>100</v>
      </c>
    </row>
    <row r="141" spans="1:17" ht="15">
      <c r="B141" s="820">
        <v>4</v>
      </c>
      <c r="C141" s="821">
        <v>102</v>
      </c>
      <c r="D141" s="821"/>
      <c r="E141" s="822"/>
      <c r="F141" s="823">
        <v>101.5</v>
      </c>
      <c r="G141" s="821"/>
      <c r="H141" s="824"/>
      <c r="I141" s="1792" t="s">
        <v>1758</v>
      </c>
      <c r="J141" s="263">
        <v>1</v>
      </c>
      <c r="K141" s="826">
        <f>ROUND(100+(J141-J140)*K139*100,1)</f>
        <v>96.4</v>
      </c>
    </row>
    <row r="142" spans="1:17" ht="15">
      <c r="B142" s="820">
        <v>3</v>
      </c>
      <c r="C142" s="821">
        <v>103</v>
      </c>
      <c r="D142" s="821"/>
      <c r="E142" s="822"/>
      <c r="F142" s="823">
        <v>101</v>
      </c>
      <c r="G142" s="821"/>
      <c r="H142" s="824"/>
      <c r="I142" s="1792" t="s">
        <v>1759</v>
      </c>
      <c r="J142" s="263">
        <f>J139</f>
        <v>20</v>
      </c>
      <c r="K142" s="827">
        <v>95</v>
      </c>
    </row>
    <row r="143" spans="1:17" ht="15">
      <c r="B143" s="820">
        <v>2</v>
      </c>
      <c r="C143" s="821">
        <v>100</v>
      </c>
      <c r="D143" s="821"/>
      <c r="E143" s="822"/>
      <c r="F143" s="823">
        <v>100.5</v>
      </c>
      <c r="G143" s="821"/>
      <c r="H143" s="824"/>
      <c r="I143" s="1792" t="s">
        <v>1760</v>
      </c>
      <c r="J143" s="821">
        <v>15</v>
      </c>
      <c r="K143" s="826">
        <f>ROUND(100+(J143-J140)*K139*100,1)</f>
        <v>102</v>
      </c>
    </row>
    <row r="144" spans="1:17" ht="15">
      <c r="B144" s="820">
        <v>1</v>
      </c>
      <c r="C144" s="821">
        <v>98</v>
      </c>
      <c r="D144" s="1793" t="s">
        <v>1761</v>
      </c>
      <c r="E144" s="822">
        <v>102</v>
      </c>
      <c r="F144" s="828">
        <v>100</v>
      </c>
      <c r="G144" s="1793" t="s">
        <v>1761</v>
      </c>
      <c r="H144" s="824">
        <v>105</v>
      </c>
      <c r="I144" s="1792" t="s">
        <v>1760</v>
      </c>
      <c r="J144" s="821">
        <v>18</v>
      </c>
      <c r="K144" s="826">
        <f>ROUND(100+(J144-J140)*K139*100,1)</f>
        <v>103.2</v>
      </c>
    </row>
    <row r="145" spans="2:11" ht="15.75" thickBot="1">
      <c r="B145" s="1794" t="s">
        <v>1762</v>
      </c>
      <c r="C145" s="829">
        <f>ROUND(MAX(C139:C144)/MIN(C139:C144)-1,3)</f>
        <v>7.2999999999999995E-2</v>
      </c>
      <c r="D145" s="830"/>
      <c r="E145" s="830"/>
      <c r="F145" s="1795" t="s">
        <v>1763</v>
      </c>
      <c r="G145" s="1796"/>
      <c r="H145" s="1797"/>
      <c r="I145" s="1798" t="s">
        <v>1760</v>
      </c>
      <c r="J145" s="831">
        <v>8</v>
      </c>
      <c r="K145" s="832">
        <f>ROUND(100+(J145-J140)*K139*100,1)</f>
        <v>99.2</v>
      </c>
    </row>
    <row r="147" spans="2:11">
      <c r="B147" s="1779" t="s">
        <v>1764</v>
      </c>
    </row>
    <row r="148" spans="2:11">
      <c r="B148" s="177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M9" sqref="M9"/>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1766</v>
      </c>
      <c r="C1" s="1154" t="s">
        <v>1662</v>
      </c>
      <c r="D1" s="1141"/>
      <c r="E1" s="3123"/>
      <c r="F1" s="1734"/>
      <c r="G1" s="1151" t="s">
        <v>1767</v>
      </c>
      <c r="H1" s="1150"/>
      <c r="I1" s="1150"/>
      <c r="J1" s="1150"/>
      <c r="K1" s="1152"/>
      <c r="L1" s="1153"/>
      <c r="M1" s="1154"/>
      <c r="N1" s="1154"/>
      <c r="O1" s="1154"/>
      <c r="P1" s="1799"/>
      <c r="Q1" s="1800"/>
      <c r="R1" s="1800"/>
      <c r="S1" s="1800"/>
      <c r="T1" s="1800"/>
      <c r="U1" s="1800"/>
      <c r="V1" s="1800"/>
      <c r="W1" s="1800"/>
      <c r="X1" s="1800"/>
      <c r="Y1" s="1800"/>
      <c r="Z1" s="1800"/>
      <c r="AA1" s="1800"/>
      <c r="AB1" s="1800"/>
      <c r="AC1" s="1801"/>
    </row>
    <row r="2" spans="1:29" s="342" customFormat="1" ht="28.5" customHeight="1" thickTop="1">
      <c r="A2" s="1137"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2"/>
      <c r="M2" s="2503"/>
      <c r="N2" s="2503"/>
      <c r="O2" s="2503"/>
      <c r="P2" s="1802"/>
      <c r="Q2" s="859"/>
      <c r="R2" s="859"/>
      <c r="S2" s="859"/>
      <c r="T2" s="859"/>
      <c r="U2" s="859"/>
      <c r="V2" s="859"/>
      <c r="W2" s="859"/>
      <c r="X2" s="859"/>
      <c r="Y2" s="859"/>
      <c r="Z2" s="859"/>
      <c r="AA2" s="859"/>
      <c r="AB2" s="859"/>
      <c r="AC2" s="1803"/>
    </row>
    <row r="3" spans="1:29" s="342" customFormat="1" ht="28.5" customHeight="1" thickBot="1">
      <c r="A3" s="195" t="s">
        <v>1464</v>
      </c>
      <c r="B3" s="536">
        <f>IF(C2="——",C49,ROUND(B2*10000/D3,0))</f>
        <v>0</v>
      </c>
      <c r="C3" s="344" t="s">
        <v>1768</v>
      </c>
      <c r="D3" s="343">
        <f>IF(D1="",'数据-汇总表'!E3,SUMIF('数据-汇总表'!$C19:$C33,D1,'数据-汇总表'!$E19:$E33))</f>
        <v>44.28</v>
      </c>
      <c r="E3" s="1803"/>
      <c r="F3" s="856"/>
      <c r="G3" s="855"/>
      <c r="H3" s="855"/>
      <c r="I3" s="855"/>
      <c r="J3" s="855"/>
      <c r="K3" s="857"/>
      <c r="L3" s="2502"/>
      <c r="M3" s="2503"/>
      <c r="N3" s="2503"/>
      <c r="O3" s="2503"/>
      <c r="P3" s="1802"/>
      <c r="Q3" s="859"/>
      <c r="R3" s="859"/>
      <c r="S3" s="859"/>
      <c r="T3" s="859"/>
      <c r="U3" s="859"/>
      <c r="V3" s="859"/>
      <c r="W3" s="859"/>
      <c r="X3" s="859"/>
      <c r="Y3" s="859"/>
      <c r="Z3" s="859"/>
      <c r="AA3" s="859"/>
      <c r="AB3" s="859"/>
      <c r="AC3" s="1803"/>
    </row>
    <row r="4" spans="1:29" ht="15">
      <c r="A4" s="345" t="s">
        <v>1769</v>
      </c>
      <c r="B4" s="346"/>
      <c r="C4" s="3396" t="s">
        <v>1770</v>
      </c>
      <c r="D4" s="3397"/>
      <c r="E4" s="3398" t="s">
        <v>1771</v>
      </c>
      <c r="F4" s="3399"/>
      <c r="G4" s="3396" t="s">
        <v>1772</v>
      </c>
      <c r="H4" s="3397"/>
      <c r="I4" s="3396" t="s">
        <v>1773</v>
      </c>
      <c r="J4" s="3397"/>
      <c r="K4" s="537" t="s">
        <v>1774</v>
      </c>
      <c r="L4" s="2485"/>
      <c r="M4" s="2486"/>
      <c r="N4" s="2486"/>
      <c r="O4" s="2486"/>
      <c r="P4" s="3400" t="s">
        <v>1775</v>
      </c>
      <c r="Q4" s="3401"/>
      <c r="R4" s="3406" t="s">
        <v>1771</v>
      </c>
      <c r="S4" s="3407"/>
      <c r="T4" s="3406" t="s">
        <v>1772</v>
      </c>
      <c r="U4" s="3407"/>
      <c r="V4" s="3382" t="s">
        <v>1773</v>
      </c>
      <c r="W4" s="3382"/>
      <c r="X4" s="1264"/>
      <c r="Y4" s="3406" t="s">
        <v>1775</v>
      </c>
      <c r="Z4" s="3407"/>
      <c r="AA4" s="3393" t="s">
        <v>1771</v>
      </c>
      <c r="AB4" s="3382" t="s">
        <v>1772</v>
      </c>
      <c r="AC4" s="3393" t="s">
        <v>1773</v>
      </c>
    </row>
    <row r="5" spans="1:29" ht="15">
      <c r="A5" s="348"/>
      <c r="B5" s="349"/>
      <c r="C5" s="3421" t="s">
        <v>1673</v>
      </c>
      <c r="D5" s="3422"/>
      <c r="E5" s="3423" t="s">
        <v>1674</v>
      </c>
      <c r="F5" s="3415"/>
      <c r="G5" s="3421" t="s">
        <v>1675</v>
      </c>
      <c r="H5" s="3422"/>
      <c r="I5" s="3421" t="s">
        <v>1676</v>
      </c>
      <c r="J5" s="3422"/>
      <c r="K5" s="537"/>
      <c r="L5" s="2485"/>
      <c r="M5" s="2486"/>
      <c r="N5" s="2486"/>
      <c r="O5" s="2486"/>
      <c r="P5" s="3402"/>
      <c r="Q5" s="3403"/>
      <c r="R5" s="3408"/>
      <c r="S5" s="3409"/>
      <c r="T5" s="3408"/>
      <c r="U5" s="3409"/>
      <c r="V5" s="3382"/>
      <c r="W5" s="3382"/>
      <c r="X5" s="1264"/>
      <c r="Y5" s="3408"/>
      <c r="Z5" s="3409"/>
      <c r="AA5" s="3394"/>
      <c r="AB5" s="3382"/>
      <c r="AC5" s="3394"/>
    </row>
    <row r="6" spans="1:29" ht="15.75" thickBot="1">
      <c r="A6" s="350"/>
      <c r="B6" s="351"/>
      <c r="C6" s="3412" t="s">
        <v>1677</v>
      </c>
      <c r="D6" s="3413"/>
      <c r="E6" s="3419" t="s">
        <v>1677</v>
      </c>
      <c r="F6" s="3420"/>
      <c r="G6" s="3412" t="s">
        <v>1677</v>
      </c>
      <c r="H6" s="3413"/>
      <c r="I6" s="3412" t="s">
        <v>1677</v>
      </c>
      <c r="J6" s="3413"/>
      <c r="K6" s="537" t="s">
        <v>1678</v>
      </c>
      <c r="L6" s="2485"/>
      <c r="M6" s="2486"/>
      <c r="N6" s="2486"/>
      <c r="O6" s="2486"/>
      <c r="P6" s="3404"/>
      <c r="Q6" s="3405"/>
      <c r="R6" s="3408"/>
      <c r="S6" s="3409"/>
      <c r="T6" s="3410"/>
      <c r="U6" s="3411"/>
      <c r="V6" s="3382"/>
      <c r="W6" s="3382"/>
      <c r="X6" s="1264"/>
      <c r="Y6" s="3410"/>
      <c r="Z6" s="3411"/>
      <c r="AA6" s="3395"/>
      <c r="AB6" s="3382"/>
      <c r="AC6" s="3395"/>
    </row>
    <row r="7" spans="1:29" s="102" customFormat="1" ht="15.75" thickBot="1">
      <c r="A7" s="352" t="s">
        <v>1679</v>
      </c>
      <c r="B7" s="353"/>
      <c r="C7" s="354">
        <f>'数据-取费表'!B2</f>
        <v>45301</v>
      </c>
      <c r="D7" s="355">
        <v>100</v>
      </c>
      <c r="E7" s="356"/>
      <c r="F7" s="357">
        <f>SUMIF(58:58,YEAR(E7)&amp;"-"&amp;MONTH(E7),59:59)</f>
        <v>0</v>
      </c>
      <c r="G7" s="356"/>
      <c r="H7" s="355">
        <f>SUMIF(58:58,YEAR(G7)&amp;"-"&amp;MONTH(G7),59:59)</f>
        <v>0</v>
      </c>
      <c r="I7" s="356"/>
      <c r="J7" s="355">
        <f>SUMIF(58:58,YEAR(I7)&amp;"-"&amp;MONTH(I7),59:59)</f>
        <v>0</v>
      </c>
      <c r="K7" s="38"/>
      <c r="L7" s="2487"/>
      <c r="M7" s="2438"/>
      <c r="N7" s="2438"/>
      <c r="O7" s="2438"/>
      <c r="P7" s="3416" t="s">
        <v>1680</v>
      </c>
      <c r="Q7" s="3418"/>
      <c r="R7" s="664" t="s">
        <v>14</v>
      </c>
      <c r="S7" s="665">
        <f t="shared" ref="S7:S15" si="0">F7</f>
        <v>0</v>
      </c>
      <c r="T7" s="664" t="s">
        <v>14</v>
      </c>
      <c r="U7" s="665">
        <f t="shared" ref="U7:U15" si="1">H7</f>
        <v>0</v>
      </c>
      <c r="V7" s="664" t="s">
        <v>14</v>
      </c>
      <c r="W7" s="665">
        <f t="shared" ref="W7:W15" si="2">J7</f>
        <v>0</v>
      </c>
      <c r="X7" s="666"/>
      <c r="Y7" s="3416" t="s">
        <v>1680</v>
      </c>
      <c r="Z7" s="3417"/>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7"/>
      <c r="M8" s="2438"/>
      <c r="N8" s="2438"/>
      <c r="O8" s="2438"/>
      <c r="P8" s="3416" t="s">
        <v>1683</v>
      </c>
      <c r="Q8" s="3417"/>
      <c r="R8" s="664" t="s">
        <v>14</v>
      </c>
      <c r="S8" s="665">
        <f t="shared" si="0"/>
        <v>100</v>
      </c>
      <c r="T8" s="664" t="s">
        <v>14</v>
      </c>
      <c r="U8" s="665">
        <f t="shared" si="1"/>
        <v>100</v>
      </c>
      <c r="V8" s="664" t="s">
        <v>14</v>
      </c>
      <c r="W8" s="665">
        <f t="shared" si="2"/>
        <v>100</v>
      </c>
      <c r="X8" s="666"/>
      <c r="Y8" s="3416" t="s">
        <v>1683</v>
      </c>
      <c r="Z8" s="3417"/>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392" t="s">
        <v>1686</v>
      </c>
      <c r="Q9" s="530" t="str">
        <f t="shared" ref="Q9:Q15" si="6">B9</f>
        <v>用途</v>
      </c>
      <c r="R9" s="664" t="s">
        <v>14</v>
      </c>
      <c r="S9" s="665">
        <f t="shared" si="0"/>
        <v>100</v>
      </c>
      <c r="T9" s="664" t="s">
        <v>14</v>
      </c>
      <c r="U9" s="665">
        <f t="shared" si="1"/>
        <v>100</v>
      </c>
      <c r="V9" s="664" t="s">
        <v>14</v>
      </c>
      <c r="W9" s="665">
        <f t="shared" si="2"/>
        <v>100</v>
      </c>
      <c r="X9" s="666"/>
      <c r="Y9" s="3256"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92"/>
      <c r="Q10" s="530" t="str">
        <f t="shared" si="6"/>
        <v>土地使用年限（年）</v>
      </c>
      <c r="R10" s="664" t="s">
        <v>14</v>
      </c>
      <c r="S10" s="665">
        <f t="shared" si="0"/>
        <v>100</v>
      </c>
      <c r="T10" s="664" t="s">
        <v>14</v>
      </c>
      <c r="U10" s="665">
        <f t="shared" si="1"/>
        <v>100</v>
      </c>
      <c r="V10" s="664" t="s">
        <v>14</v>
      </c>
      <c r="W10" s="665">
        <f t="shared" si="2"/>
        <v>100</v>
      </c>
      <c r="X10" s="666"/>
      <c r="Y10" s="3256"/>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392"/>
      <c r="Q11" s="530" t="str">
        <f t="shared" si="6"/>
        <v>容积率</v>
      </c>
      <c r="R11" s="664" t="s">
        <v>14</v>
      </c>
      <c r="S11" s="665" t="e">
        <f t="shared" si="0"/>
        <v>#N/A</v>
      </c>
      <c r="T11" s="664" t="s">
        <v>14</v>
      </c>
      <c r="U11" s="665" t="e">
        <f t="shared" si="1"/>
        <v>#N/A</v>
      </c>
      <c r="V11" s="664" t="s">
        <v>14</v>
      </c>
      <c r="W11" s="665" t="e">
        <f t="shared" si="2"/>
        <v>#N/A</v>
      </c>
      <c r="X11" s="666"/>
      <c r="Y11" s="3256"/>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392"/>
      <c r="Q12" s="530">
        <f t="shared" si="6"/>
        <v>111</v>
      </c>
      <c r="R12" s="664" t="s">
        <v>14</v>
      </c>
      <c r="S12" s="665">
        <f t="shared" si="0"/>
        <v>100</v>
      </c>
      <c r="T12" s="664" t="s">
        <v>14</v>
      </c>
      <c r="U12" s="665">
        <f t="shared" si="1"/>
        <v>100</v>
      </c>
      <c r="V12" s="664" t="s">
        <v>14</v>
      </c>
      <c r="W12" s="665">
        <f t="shared" si="2"/>
        <v>100</v>
      </c>
      <c r="X12" s="666"/>
      <c r="Y12" s="325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92"/>
      <c r="Q13" s="530">
        <f t="shared" si="6"/>
        <v>111</v>
      </c>
      <c r="R13" s="664" t="s">
        <v>14</v>
      </c>
      <c r="S13" s="665">
        <f t="shared" si="0"/>
        <v>100</v>
      </c>
      <c r="T13" s="664" t="s">
        <v>14</v>
      </c>
      <c r="U13" s="665">
        <f t="shared" si="1"/>
        <v>100</v>
      </c>
      <c r="V13" s="664" t="s">
        <v>14</v>
      </c>
      <c r="W13" s="665">
        <f t="shared" si="2"/>
        <v>100</v>
      </c>
      <c r="X13" s="666"/>
      <c r="Y13" s="3256"/>
      <c r="Z13" s="50">
        <f t="shared" si="7"/>
        <v>111</v>
      </c>
      <c r="AA13" s="50">
        <f t="shared" si="3"/>
        <v>1</v>
      </c>
      <c r="AB13" s="50">
        <f t="shared" si="4"/>
        <v>1</v>
      </c>
      <c r="AC13" s="50">
        <f t="shared" si="5"/>
        <v>1</v>
      </c>
    </row>
    <row r="14" spans="1:29" ht="15.75" thickBot="1">
      <c r="A14" s="375"/>
      <c r="B14" s="1747">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92"/>
      <c r="Q14" s="530">
        <f t="shared" si="6"/>
        <v>111</v>
      </c>
      <c r="R14" s="664" t="s">
        <v>14</v>
      </c>
      <c r="S14" s="665">
        <f t="shared" si="0"/>
        <v>100</v>
      </c>
      <c r="T14" s="664" t="s">
        <v>14</v>
      </c>
      <c r="U14" s="665">
        <f t="shared" si="1"/>
        <v>100</v>
      </c>
      <c r="V14" s="664" t="s">
        <v>14</v>
      </c>
      <c r="W14" s="665">
        <f t="shared" si="2"/>
        <v>100</v>
      </c>
      <c r="X14" s="666"/>
      <c r="Y14" s="3256"/>
      <c r="Z14" s="50">
        <f t="shared" si="7"/>
        <v>111</v>
      </c>
      <c r="AA14" s="50">
        <f t="shared" si="3"/>
        <v>1</v>
      </c>
      <c r="AB14" s="50">
        <f t="shared" si="4"/>
        <v>1</v>
      </c>
      <c r="AC14" s="50">
        <f t="shared" si="5"/>
        <v>1</v>
      </c>
    </row>
    <row r="15" spans="1:29" ht="71.25">
      <c r="A15" s="379" t="s">
        <v>1690</v>
      </c>
      <c r="B15" s="58" t="s">
        <v>1777</v>
      </c>
      <c r="C15" s="1748"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390" t="s">
        <v>1691</v>
      </c>
      <c r="Q15" s="1262" t="str">
        <f t="shared" si="6"/>
        <v>商业繁华度</v>
      </c>
      <c r="R15" s="667" t="s">
        <v>14</v>
      </c>
      <c r="S15" s="668">
        <f t="shared" si="0"/>
        <v>100</v>
      </c>
      <c r="T15" s="667" t="s">
        <v>14</v>
      </c>
      <c r="U15" s="668">
        <f t="shared" si="1"/>
        <v>100</v>
      </c>
      <c r="V15" s="667" t="s">
        <v>14</v>
      </c>
      <c r="W15" s="668">
        <f t="shared" si="2"/>
        <v>100</v>
      </c>
      <c r="X15" s="1264"/>
      <c r="Y15" s="3383"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1"/>
      <c r="M16" s="2486"/>
      <c r="N16" s="2486"/>
      <c r="O16" s="2486"/>
      <c r="P16" s="3391"/>
      <c r="Q16" s="1262"/>
      <c r="R16" s="667"/>
      <c r="S16" s="668"/>
      <c r="T16" s="667"/>
      <c r="U16" s="668"/>
      <c r="V16" s="667"/>
      <c r="W16" s="668"/>
      <c r="X16" s="1264"/>
      <c r="Y16" s="3384"/>
      <c r="Z16" s="1263"/>
      <c r="AA16" s="1263">
        <v>1</v>
      </c>
      <c r="AB16" s="1263">
        <v>1</v>
      </c>
      <c r="AC16" s="1263">
        <v>1</v>
      </c>
    </row>
    <row r="17" spans="1:29" ht="85.5">
      <c r="A17" s="367"/>
      <c r="B17" s="390" t="s">
        <v>1259</v>
      </c>
      <c r="C17" s="1752"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391"/>
      <c r="Q17" s="1262" t="str">
        <f>B17</f>
        <v>交通便捷度</v>
      </c>
      <c r="R17" s="667" t="s">
        <v>14</v>
      </c>
      <c r="S17" s="668">
        <f>F17</f>
        <v>100</v>
      </c>
      <c r="T17" s="667" t="s">
        <v>14</v>
      </c>
      <c r="U17" s="668">
        <f>H17</f>
        <v>100</v>
      </c>
      <c r="V17" s="667" t="s">
        <v>14</v>
      </c>
      <c r="W17" s="668">
        <f>J17</f>
        <v>100</v>
      </c>
      <c r="X17" s="1264"/>
      <c r="Y17" s="3384"/>
      <c r="Z17" s="1263" t="str">
        <f>Q17</f>
        <v>交通便捷度</v>
      </c>
      <c r="AA17" s="1263">
        <f t="shared" si="3"/>
        <v>1</v>
      </c>
      <c r="AB17" s="1263">
        <f t="shared" si="4"/>
        <v>1</v>
      </c>
      <c r="AC17" s="1263">
        <f t="shared" si="5"/>
        <v>1</v>
      </c>
    </row>
    <row r="18" spans="1:29" ht="15">
      <c r="A18" s="367"/>
      <c r="B18" s="395"/>
      <c r="C18" s="1753"/>
      <c r="D18" s="389"/>
      <c r="E18" s="1755"/>
      <c r="F18" s="392"/>
      <c r="G18" s="1754"/>
      <c r="H18" s="387"/>
      <c r="I18" s="1755"/>
      <c r="J18" s="387"/>
      <c r="K18" s="541"/>
      <c r="L18" s="2491"/>
      <c r="M18" s="2486"/>
      <c r="N18" s="2486"/>
      <c r="O18" s="2486"/>
      <c r="P18" s="3391"/>
      <c r="Q18" s="1262"/>
      <c r="R18" s="667"/>
      <c r="S18" s="668"/>
      <c r="T18" s="667"/>
      <c r="U18" s="668"/>
      <c r="V18" s="667"/>
      <c r="W18" s="668"/>
      <c r="X18" s="1264"/>
      <c r="Y18" s="3384"/>
      <c r="Z18" s="1263"/>
      <c r="AA18" s="1263">
        <v>1</v>
      </c>
      <c r="AB18" s="1263">
        <v>1</v>
      </c>
      <c r="AC18" s="1263">
        <v>1</v>
      </c>
    </row>
    <row r="19" spans="1:29" ht="42.75">
      <c r="A19" s="367"/>
      <c r="B19" s="390" t="s">
        <v>1778</v>
      </c>
      <c r="C19" s="1752"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391"/>
      <c r="Q19" s="1262" t="str">
        <f>B19</f>
        <v>公共配套设施</v>
      </c>
      <c r="R19" s="667" t="s">
        <v>14</v>
      </c>
      <c r="S19" s="668">
        <f>F19</f>
        <v>100</v>
      </c>
      <c r="T19" s="667" t="s">
        <v>14</v>
      </c>
      <c r="U19" s="668">
        <f>H19</f>
        <v>100</v>
      </c>
      <c r="V19" s="667" t="s">
        <v>14</v>
      </c>
      <c r="W19" s="668">
        <f>J19</f>
        <v>100</v>
      </c>
      <c r="X19" s="1264"/>
      <c r="Y19" s="3384"/>
      <c r="Z19" s="1263" t="str">
        <f>Q19</f>
        <v>公共配套设施</v>
      </c>
      <c r="AA19" s="1263">
        <f t="shared" si="3"/>
        <v>1</v>
      </c>
      <c r="AB19" s="1263">
        <f t="shared" si="4"/>
        <v>1</v>
      </c>
      <c r="AC19" s="1263">
        <f t="shared" si="5"/>
        <v>1</v>
      </c>
    </row>
    <row r="20" spans="1:29" ht="15">
      <c r="A20" s="367"/>
      <c r="B20" s="395"/>
      <c r="C20" s="386"/>
      <c r="D20" s="387"/>
      <c r="E20" s="1750"/>
      <c r="F20" s="388"/>
      <c r="G20" s="1749"/>
      <c r="H20" s="387"/>
      <c r="I20" s="1750"/>
      <c r="J20" s="387"/>
      <c r="K20" s="541"/>
      <c r="L20" s="2491"/>
      <c r="M20" s="2486"/>
      <c r="N20" s="2486"/>
      <c r="O20" s="2486"/>
      <c r="P20" s="3391"/>
      <c r="Q20" s="1262"/>
      <c r="R20" s="667"/>
      <c r="S20" s="668"/>
      <c r="T20" s="667"/>
      <c r="U20" s="668"/>
      <c r="V20" s="667"/>
      <c r="W20" s="668"/>
      <c r="X20" s="1264"/>
      <c r="Y20" s="3384"/>
      <c r="Z20" s="1263"/>
      <c r="AA20" s="1263">
        <v>1</v>
      </c>
      <c r="AB20" s="1263">
        <v>1</v>
      </c>
      <c r="AC20" s="1263">
        <v>1</v>
      </c>
    </row>
    <row r="21" spans="1:29" ht="28.5">
      <c r="A21" s="367"/>
      <c r="B21" s="586" t="s">
        <v>1779</v>
      </c>
      <c r="C21" s="1752"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391"/>
      <c r="Q21" s="1262" t="str">
        <f>B21</f>
        <v>基础设施水平</v>
      </c>
      <c r="R21" s="667" t="s">
        <v>14</v>
      </c>
      <c r="S21" s="668">
        <f>F21</f>
        <v>100</v>
      </c>
      <c r="T21" s="667" t="s">
        <v>14</v>
      </c>
      <c r="U21" s="668">
        <f>H21</f>
        <v>100</v>
      </c>
      <c r="V21" s="667" t="s">
        <v>14</v>
      </c>
      <c r="W21" s="668">
        <f>J21</f>
        <v>100</v>
      </c>
      <c r="X21" s="1264"/>
      <c r="Y21" s="3384"/>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8"/>
      <c r="G22" s="386"/>
      <c r="H22" s="387"/>
      <c r="I22" s="386"/>
      <c r="J22" s="387"/>
      <c r="K22" s="1064"/>
      <c r="L22" s="2491"/>
      <c r="M22" s="2486"/>
      <c r="N22" s="2486"/>
      <c r="O22" s="2486"/>
      <c r="P22" s="3391"/>
      <c r="Q22" s="1262"/>
      <c r="R22" s="667"/>
      <c r="S22" s="668"/>
      <c r="T22" s="667"/>
      <c r="U22" s="668"/>
      <c r="V22" s="667"/>
      <c r="W22" s="668"/>
      <c r="X22" s="1264"/>
      <c r="Y22" s="3384"/>
      <c r="Z22" s="1263"/>
      <c r="AA22" s="1263">
        <v>1</v>
      </c>
      <c r="AB22" s="1263">
        <v>1</v>
      </c>
      <c r="AC22" s="1263">
        <v>1</v>
      </c>
    </row>
    <row r="23" spans="1:29" ht="57">
      <c r="A23" s="367"/>
      <c r="B23" s="390" t="s">
        <v>1261</v>
      </c>
      <c r="C23" s="1804"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391"/>
      <c r="Q23" s="1262" t="str">
        <f>B23</f>
        <v>自然及人文环境</v>
      </c>
      <c r="R23" s="667" t="s">
        <v>14</v>
      </c>
      <c r="S23" s="668">
        <f>F23</f>
        <v>100</v>
      </c>
      <c r="T23" s="667" t="s">
        <v>14</v>
      </c>
      <c r="U23" s="668">
        <f>H23</f>
        <v>100</v>
      </c>
      <c r="V23" s="667" t="s">
        <v>14</v>
      </c>
      <c r="W23" s="668">
        <f>J23</f>
        <v>100</v>
      </c>
      <c r="X23" s="1264"/>
      <c r="Y23" s="3384"/>
      <c r="Z23" s="1263" t="str">
        <f>Q23</f>
        <v>自然及人文环境</v>
      </c>
      <c r="AA23" s="1263">
        <f t="shared" si="3"/>
        <v>1</v>
      </c>
      <c r="AB23" s="1263">
        <f t="shared" si="4"/>
        <v>1</v>
      </c>
      <c r="AC23" s="1263">
        <f t="shared" si="5"/>
        <v>1</v>
      </c>
    </row>
    <row r="24" spans="1:29" ht="15">
      <c r="A24" s="367"/>
      <c r="B24" s="395"/>
      <c r="C24" s="386"/>
      <c r="D24" s="387"/>
      <c r="E24" s="1750"/>
      <c r="F24" s="388"/>
      <c r="G24" s="1749"/>
      <c r="H24" s="387"/>
      <c r="I24" s="1750"/>
      <c r="J24" s="387"/>
      <c r="K24" s="541"/>
      <c r="L24" s="2491"/>
      <c r="M24" s="2486"/>
      <c r="N24" s="2486"/>
      <c r="O24" s="2486"/>
      <c r="P24" s="3391"/>
      <c r="Q24" s="1262"/>
      <c r="R24" s="667"/>
      <c r="S24" s="668"/>
      <c r="T24" s="667"/>
      <c r="U24" s="668"/>
      <c r="V24" s="667"/>
      <c r="W24" s="668"/>
      <c r="X24" s="1264"/>
      <c r="Y24" s="3384"/>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391"/>
      <c r="Q25" s="1262" t="str">
        <f t="shared" ref="Q25:Q46" si="11">B25</f>
        <v>临街状况</v>
      </c>
      <c r="R25" s="667" t="s">
        <v>14</v>
      </c>
      <c r="S25" s="668">
        <f>F25</f>
        <v>100</v>
      </c>
      <c r="T25" s="667" t="s">
        <v>14</v>
      </c>
      <c r="U25" s="668">
        <f>H25</f>
        <v>100</v>
      </c>
      <c r="V25" s="667" t="s">
        <v>14</v>
      </c>
      <c r="W25" s="668">
        <f>J25</f>
        <v>100</v>
      </c>
      <c r="X25" s="1264"/>
      <c r="Y25" s="3384"/>
      <c r="Z25" s="1263" t="str">
        <f>Q25</f>
        <v>临街状况</v>
      </c>
      <c r="AA25" s="1263">
        <f t="shared" si="3"/>
        <v>1</v>
      </c>
      <c r="AB25" s="1263">
        <f t="shared" si="4"/>
        <v>1</v>
      </c>
      <c r="AC25" s="1263">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391"/>
      <c r="Q26" s="1262" t="str">
        <f t="shared" si="11"/>
        <v>平面位置/可视性</v>
      </c>
      <c r="R26" s="667" t="s">
        <v>14</v>
      </c>
      <c r="S26" s="668">
        <f>F26</f>
        <v>100</v>
      </c>
      <c r="T26" s="667" t="s">
        <v>14</v>
      </c>
      <c r="U26" s="668">
        <f>H26</f>
        <v>100</v>
      </c>
      <c r="V26" s="667" t="s">
        <v>14</v>
      </c>
      <c r="W26" s="668">
        <f>J26</f>
        <v>100</v>
      </c>
      <c r="X26" s="1264"/>
      <c r="Y26" s="3384"/>
      <c r="Z26" s="1263" t="str">
        <f>Q26</f>
        <v>平面位置/可视性</v>
      </c>
      <c r="AA26" s="1263">
        <f t="shared" si="3"/>
        <v>1</v>
      </c>
      <c r="AB26" s="1263">
        <f t="shared" si="4"/>
        <v>1</v>
      </c>
      <c r="AC26" s="1263">
        <f t="shared" si="5"/>
        <v>1</v>
      </c>
    </row>
    <row r="27" spans="1:29" s="102" customFormat="1" ht="15">
      <c r="A27" s="370"/>
      <c r="B27" s="390" t="s">
        <v>1782</v>
      </c>
      <c r="C27" s="1805"/>
      <c r="D27" s="401">
        <v>100</v>
      </c>
      <c r="E27" s="1805"/>
      <c r="F27" s="395">
        <f>SUMIF(90:90,E27,91:91)-SUMIF(90:90,C27,91:91)+100</f>
        <v>100</v>
      </c>
      <c r="G27" s="1805"/>
      <c r="H27" s="401">
        <f>SUMIF(90:90,G27,91:91)-SUMIF(90:90,C27,91:91)+100</f>
        <v>100</v>
      </c>
      <c r="I27" s="1805"/>
      <c r="J27" s="401">
        <f>SUMIF(90:90,I27,91:91)-SUMIF(90:90,C27,91:91)+100</f>
        <v>100</v>
      </c>
      <c r="K27" s="538"/>
      <c r="L27" s="2487"/>
      <c r="M27" s="2438"/>
      <c r="N27" s="2438"/>
      <c r="O27" s="2438"/>
      <c r="P27" s="3391"/>
      <c r="Q27" s="530" t="str">
        <f t="shared" si="11"/>
        <v>人流量</v>
      </c>
      <c r="R27" s="664" t="s">
        <v>14</v>
      </c>
      <c r="S27" s="665">
        <f>F27</f>
        <v>100</v>
      </c>
      <c r="T27" s="664" t="s">
        <v>14</v>
      </c>
      <c r="U27" s="665">
        <f>H27</f>
        <v>100</v>
      </c>
      <c r="V27" s="664" t="s">
        <v>14</v>
      </c>
      <c r="W27" s="665">
        <f>J27</f>
        <v>100</v>
      </c>
      <c r="X27" s="666"/>
      <c r="Y27" s="3384"/>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391"/>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384"/>
      <c r="Z28" s="1263" t="str">
        <f t="shared" ref="Z28:Z46" si="15">Q28</f>
        <v>楼层</v>
      </c>
      <c r="AA28" s="1263">
        <f t="shared" si="3"/>
        <v>1</v>
      </c>
      <c r="AB28" s="1263">
        <f t="shared" si="4"/>
        <v>1</v>
      </c>
      <c r="AC28" s="1263">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391"/>
      <c r="Q29" s="1262">
        <f t="shared" si="11"/>
        <v>111</v>
      </c>
      <c r="R29" s="667" t="s">
        <v>14</v>
      </c>
      <c r="S29" s="668">
        <f t="shared" si="12"/>
        <v>100</v>
      </c>
      <c r="T29" s="667" t="s">
        <v>14</v>
      </c>
      <c r="U29" s="668">
        <f t="shared" si="13"/>
        <v>100</v>
      </c>
      <c r="V29" s="667" t="s">
        <v>14</v>
      </c>
      <c r="W29" s="668">
        <f t="shared" si="14"/>
        <v>100</v>
      </c>
      <c r="X29" s="1264"/>
      <c r="Y29" s="3384"/>
      <c r="Z29" s="1263">
        <f t="shared" si="15"/>
        <v>111</v>
      </c>
      <c r="AA29" s="1263">
        <f t="shared" si="3"/>
        <v>1</v>
      </c>
      <c r="AB29" s="1263">
        <f t="shared" si="4"/>
        <v>1</v>
      </c>
      <c r="AC29" s="1263">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391"/>
      <c r="Q30" s="1262">
        <f t="shared" si="11"/>
        <v>111</v>
      </c>
      <c r="R30" s="667" t="s">
        <v>14</v>
      </c>
      <c r="S30" s="668">
        <f t="shared" si="12"/>
        <v>100</v>
      </c>
      <c r="T30" s="667" t="s">
        <v>14</v>
      </c>
      <c r="U30" s="668">
        <f t="shared" si="13"/>
        <v>100</v>
      </c>
      <c r="V30" s="667" t="s">
        <v>14</v>
      </c>
      <c r="W30" s="668">
        <f t="shared" si="14"/>
        <v>100</v>
      </c>
      <c r="X30" s="1264"/>
      <c r="Y30" s="3384"/>
      <c r="Z30" s="1263">
        <f t="shared" si="15"/>
        <v>111</v>
      </c>
      <c r="AA30" s="1263">
        <f t="shared" si="3"/>
        <v>1</v>
      </c>
      <c r="AB30" s="1263">
        <f t="shared" si="4"/>
        <v>1</v>
      </c>
      <c r="AC30" s="1263">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391"/>
      <c r="Q31" s="1262">
        <f t="shared" si="11"/>
        <v>111</v>
      </c>
      <c r="R31" s="667" t="s">
        <v>14</v>
      </c>
      <c r="S31" s="668">
        <f t="shared" si="12"/>
        <v>100</v>
      </c>
      <c r="T31" s="667" t="s">
        <v>14</v>
      </c>
      <c r="U31" s="668">
        <f t="shared" si="13"/>
        <v>100</v>
      </c>
      <c r="V31" s="667" t="s">
        <v>14</v>
      </c>
      <c r="W31" s="668">
        <f t="shared" si="14"/>
        <v>100</v>
      </c>
      <c r="X31" s="1264"/>
      <c r="Y31" s="3384"/>
      <c r="Z31" s="1263">
        <f t="shared" si="15"/>
        <v>111</v>
      </c>
      <c r="AA31" s="1263">
        <f t="shared" si="3"/>
        <v>1</v>
      </c>
      <c r="AB31" s="1263">
        <f t="shared" si="4"/>
        <v>1</v>
      </c>
      <c r="AC31" s="1263">
        <f t="shared" si="5"/>
        <v>1</v>
      </c>
    </row>
    <row r="32" spans="1:29" ht="15">
      <c r="A32" s="379" t="s">
        <v>1694</v>
      </c>
      <c r="B32" s="60" t="s">
        <v>1784</v>
      </c>
      <c r="C32" s="1762"/>
      <c r="D32" s="405">
        <v>100</v>
      </c>
      <c r="E32" s="1762"/>
      <c r="F32" s="400">
        <f>SUMIF(100:100,E32,101:101)-SUMIF(100:100,C32,101:101)+100</f>
        <v>100</v>
      </c>
      <c r="G32" s="1762"/>
      <c r="H32" s="374">
        <f>SUMIF(100:100,G32,101:101)-SUMIF(100:100,C32,101:101)+100</f>
        <v>100</v>
      </c>
      <c r="I32" s="1762"/>
      <c r="J32" s="405">
        <f>SUMIF(100:100,I32,101:101)-SUMIF(100:100,C32,101:101)+100</f>
        <v>100</v>
      </c>
      <c r="K32" s="538"/>
      <c r="L32" s="2491"/>
      <c r="M32" s="2486"/>
      <c r="N32" s="2486"/>
      <c r="O32" s="2486"/>
      <c r="P32" s="3385" t="s">
        <v>1696</v>
      </c>
      <c r="Q32" s="1262" t="str">
        <f t="shared" si="11"/>
        <v>商业类型</v>
      </c>
      <c r="R32" s="667" t="s">
        <v>14</v>
      </c>
      <c r="S32" s="668">
        <f t="shared" si="12"/>
        <v>100</v>
      </c>
      <c r="T32" s="667" t="s">
        <v>14</v>
      </c>
      <c r="U32" s="668">
        <f t="shared" si="13"/>
        <v>100</v>
      </c>
      <c r="V32" s="667" t="s">
        <v>14</v>
      </c>
      <c r="W32" s="668">
        <f t="shared" si="14"/>
        <v>100</v>
      </c>
      <c r="X32" s="1264"/>
      <c r="Y32" s="3388"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386"/>
      <c r="Q33" s="531" t="str">
        <f t="shared" si="11"/>
        <v>项目建筑规模</v>
      </c>
      <c r="R33" s="669" t="s">
        <v>14</v>
      </c>
      <c r="S33" s="670" t="e">
        <f t="shared" si="12"/>
        <v>#N/A</v>
      </c>
      <c r="T33" s="669" t="s">
        <v>14</v>
      </c>
      <c r="U33" s="670" t="e">
        <f t="shared" si="13"/>
        <v>#N/A</v>
      </c>
      <c r="V33" s="669" t="s">
        <v>14</v>
      </c>
      <c r="W33" s="670" t="e">
        <f t="shared" si="14"/>
        <v>#N/A</v>
      </c>
      <c r="X33" s="671"/>
      <c r="Y33" s="3388"/>
      <c r="Z33" s="672"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386"/>
      <c r="Q34" s="1262" t="str">
        <f t="shared" si="11"/>
        <v>建筑结构</v>
      </c>
      <c r="R34" s="667" t="s">
        <v>14</v>
      </c>
      <c r="S34" s="668">
        <f t="shared" si="12"/>
        <v>100</v>
      </c>
      <c r="T34" s="667" t="s">
        <v>14</v>
      </c>
      <c r="U34" s="668">
        <f t="shared" si="13"/>
        <v>100</v>
      </c>
      <c r="V34" s="667" t="s">
        <v>14</v>
      </c>
      <c r="W34" s="668">
        <f t="shared" si="14"/>
        <v>100</v>
      </c>
      <c r="X34" s="1264"/>
      <c r="Y34" s="3388"/>
      <c r="Z34" s="1263" t="str">
        <f t="shared" si="15"/>
        <v>建筑结构</v>
      </c>
      <c r="AA34" s="1263">
        <f t="shared" si="3"/>
        <v>1</v>
      </c>
      <c r="AB34" s="1263">
        <f t="shared" si="4"/>
        <v>1</v>
      </c>
      <c r="AC34" s="1263">
        <f t="shared" si="5"/>
        <v>1</v>
      </c>
    </row>
    <row r="35" spans="1:29" ht="15">
      <c r="A35" s="409"/>
      <c r="B35" s="364" t="s">
        <v>1785</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538"/>
      <c r="L35" s="2491"/>
      <c r="M35" s="2486"/>
      <c r="N35" s="2486"/>
      <c r="O35" s="2486"/>
      <c r="P35" s="3386"/>
      <c r="Q35" s="1262" t="str">
        <f t="shared" si="11"/>
        <v>公共部分装修</v>
      </c>
      <c r="R35" s="667" t="s">
        <v>14</v>
      </c>
      <c r="S35" s="668">
        <f t="shared" si="12"/>
        <v>100</v>
      </c>
      <c r="T35" s="667" t="s">
        <v>14</v>
      </c>
      <c r="U35" s="668">
        <f t="shared" si="13"/>
        <v>100</v>
      </c>
      <c r="V35" s="667" t="s">
        <v>14</v>
      </c>
      <c r="W35" s="668">
        <f t="shared" si="14"/>
        <v>100</v>
      </c>
      <c r="X35" s="1264"/>
      <c r="Y35" s="3388"/>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386"/>
      <c r="Q36" s="1262" t="str">
        <f t="shared" si="11"/>
        <v>成新度</v>
      </c>
      <c r="R36" s="667" t="s">
        <v>14</v>
      </c>
      <c r="S36" s="668" t="e">
        <f t="shared" si="12"/>
        <v>#N/A</v>
      </c>
      <c r="T36" s="667" t="s">
        <v>14</v>
      </c>
      <c r="U36" s="668" t="e">
        <f t="shared" si="13"/>
        <v>#N/A</v>
      </c>
      <c r="V36" s="667" t="s">
        <v>14</v>
      </c>
      <c r="W36" s="668" t="e">
        <f t="shared" si="14"/>
        <v>#N/A</v>
      </c>
      <c r="X36" s="1264"/>
      <c r="Y36" s="3388"/>
      <c r="Z36" s="1263" t="str">
        <f t="shared" si="15"/>
        <v>成新度</v>
      </c>
      <c r="AA36" s="1263" t="e">
        <f t="shared" si="3"/>
        <v>#N/A</v>
      </c>
      <c r="AB36" s="1263" t="e">
        <f t="shared" si="4"/>
        <v>#N/A</v>
      </c>
      <c r="AC36" s="1263" t="e">
        <f t="shared" si="5"/>
        <v>#N/A</v>
      </c>
    </row>
    <row r="37" spans="1:29" s="102" customFormat="1" ht="15">
      <c r="A37" s="410"/>
      <c r="B37" s="364" t="s">
        <v>1787</v>
      </c>
      <c r="C37" s="1758"/>
      <c r="D37" s="119">
        <v>100</v>
      </c>
      <c r="E37" s="1758"/>
      <c r="F37" s="400">
        <f>SUMIF(112:112,E37,113:113)-SUMIF(112:112,C37,113:113)+100</f>
        <v>100</v>
      </c>
      <c r="G37" s="1758"/>
      <c r="H37" s="374">
        <f>SUMIF(112:112,G37,113:113)-SUMIF(112:112,C37,113:113)+100</f>
        <v>100</v>
      </c>
      <c r="I37" s="1758"/>
      <c r="J37" s="374">
        <f>SUMIF(112:112,I37,113:113)-SUMIF(112:112,C37,113:113)+100</f>
        <v>100</v>
      </c>
      <c r="K37" s="538"/>
      <c r="L37" s="2487"/>
      <c r="M37" s="2438"/>
      <c r="N37" s="2438"/>
      <c r="O37" s="2438"/>
      <c r="P37" s="3386"/>
      <c r="Q37" s="530" t="str">
        <f t="shared" si="11"/>
        <v>市政基础设施</v>
      </c>
      <c r="R37" s="664" t="s">
        <v>14</v>
      </c>
      <c r="S37" s="665">
        <f t="shared" si="12"/>
        <v>100</v>
      </c>
      <c r="T37" s="664" t="s">
        <v>14</v>
      </c>
      <c r="U37" s="665">
        <f t="shared" si="13"/>
        <v>100</v>
      </c>
      <c r="V37" s="664" t="s">
        <v>14</v>
      </c>
      <c r="W37" s="665">
        <f t="shared" si="14"/>
        <v>100</v>
      </c>
      <c r="X37" s="666"/>
      <c r="Y37" s="3388"/>
      <c r="Z37" s="50" t="str">
        <f t="shared" si="15"/>
        <v>市政基础设施</v>
      </c>
      <c r="AA37" s="50">
        <f t="shared" si="3"/>
        <v>1</v>
      </c>
      <c r="AB37" s="50">
        <f t="shared" si="4"/>
        <v>1</v>
      </c>
      <c r="AC37" s="50">
        <f t="shared" si="5"/>
        <v>1</v>
      </c>
    </row>
    <row r="38" spans="1:29" ht="15">
      <c r="A38" s="409"/>
      <c r="B38" s="364" t="s">
        <v>1788</v>
      </c>
      <c r="C38" s="1758"/>
      <c r="D38" s="374">
        <v>100</v>
      </c>
      <c r="E38" s="1758"/>
      <c r="F38" s="400">
        <f>SUMIF(114:114,E38,115:115)-SUMIF(114:114,C38,115:115)+100</f>
        <v>100</v>
      </c>
      <c r="G38" s="1758"/>
      <c r="H38" s="374">
        <f>SUMIF(114:114,G38,115:115)-SUMIF(114:114,C38,115:115)+100</f>
        <v>100</v>
      </c>
      <c r="I38" s="1758"/>
      <c r="J38" s="374">
        <f>SUMIF(114:114,I38,115:115)-SUMIF(114:114,C38,115:115)+100</f>
        <v>100</v>
      </c>
      <c r="K38" s="538"/>
      <c r="L38" s="2491"/>
      <c r="M38" s="2486"/>
      <c r="N38" s="2486"/>
      <c r="O38" s="2486"/>
      <c r="P38" s="3386" t="s">
        <v>1696</v>
      </c>
      <c r="Q38" s="1262" t="str">
        <f t="shared" si="11"/>
        <v>业态</v>
      </c>
      <c r="R38" s="667" t="s">
        <v>14</v>
      </c>
      <c r="S38" s="668">
        <f t="shared" si="12"/>
        <v>100</v>
      </c>
      <c r="T38" s="667" t="s">
        <v>14</v>
      </c>
      <c r="U38" s="668">
        <f t="shared" si="13"/>
        <v>100</v>
      </c>
      <c r="V38" s="667" t="s">
        <v>14</v>
      </c>
      <c r="W38" s="668">
        <f t="shared" si="14"/>
        <v>100</v>
      </c>
      <c r="X38" s="1264"/>
      <c r="Y38" s="3388" t="s">
        <v>1696</v>
      </c>
      <c r="Z38" s="1263" t="str">
        <f t="shared" si="15"/>
        <v>业态</v>
      </c>
      <c r="AA38" s="1263">
        <f t="shared" si="3"/>
        <v>1</v>
      </c>
      <c r="AB38" s="1263">
        <f t="shared" si="4"/>
        <v>1</v>
      </c>
      <c r="AC38" s="1263">
        <f t="shared" si="5"/>
        <v>1</v>
      </c>
    </row>
    <row r="39" spans="1:29" ht="15">
      <c r="A39" s="409"/>
      <c r="B39" s="364" t="s">
        <v>1789</v>
      </c>
      <c r="C39" s="1758"/>
      <c r="D39" s="374">
        <v>100</v>
      </c>
      <c r="E39" s="1758"/>
      <c r="F39" s="400">
        <f>SUMIF(116:116,E39,117:117)-SUMIF(116:116,C39,117:117)+100</f>
        <v>100</v>
      </c>
      <c r="G39" s="1758"/>
      <c r="H39" s="374">
        <f>SUMIF(116:116,G39,117:117)-SUMIF(116:116,C39,117:117)+100</f>
        <v>100</v>
      </c>
      <c r="I39" s="1758"/>
      <c r="J39" s="374">
        <f>SUMIF(116:116,I39,117:117)-SUMIF(116:116,C39,117:117)+100</f>
        <v>100</v>
      </c>
      <c r="K39" s="538"/>
      <c r="L39" s="2491"/>
      <c r="M39" s="2486"/>
      <c r="N39" s="2486"/>
      <c r="O39" s="2486"/>
      <c r="P39" s="3386"/>
      <c r="Q39" s="1262" t="str">
        <f t="shared" si="11"/>
        <v>层高</v>
      </c>
      <c r="R39" s="667" t="s">
        <v>14</v>
      </c>
      <c r="S39" s="668">
        <f t="shared" si="12"/>
        <v>100</v>
      </c>
      <c r="T39" s="667" t="s">
        <v>14</v>
      </c>
      <c r="U39" s="668">
        <f t="shared" si="13"/>
        <v>100</v>
      </c>
      <c r="V39" s="667" t="s">
        <v>14</v>
      </c>
      <c r="W39" s="668">
        <f t="shared" si="14"/>
        <v>100</v>
      </c>
      <c r="X39" s="1264"/>
      <c r="Y39" s="3388"/>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386"/>
      <c r="Q40" s="1262" t="str">
        <f t="shared" si="11"/>
        <v>单套建筑面积</v>
      </c>
      <c r="R40" s="667" t="s">
        <v>14</v>
      </c>
      <c r="S40" s="668">
        <f t="shared" si="12"/>
        <v>100</v>
      </c>
      <c r="T40" s="667" t="s">
        <v>14</v>
      </c>
      <c r="U40" s="668">
        <f t="shared" si="13"/>
        <v>100</v>
      </c>
      <c r="V40" s="667" t="s">
        <v>14</v>
      </c>
      <c r="W40" s="668">
        <f t="shared" si="14"/>
        <v>100</v>
      </c>
      <c r="X40" s="1264"/>
      <c r="Y40" s="3388"/>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386"/>
      <c r="Q41" s="531" t="str">
        <f t="shared" si="11"/>
        <v>进深比</v>
      </c>
      <c r="R41" s="669" t="s">
        <v>14</v>
      </c>
      <c r="S41" s="670">
        <f t="shared" si="12"/>
        <v>100</v>
      </c>
      <c r="T41" s="669" t="s">
        <v>14</v>
      </c>
      <c r="U41" s="670">
        <f t="shared" si="13"/>
        <v>100</v>
      </c>
      <c r="V41" s="669" t="s">
        <v>14</v>
      </c>
      <c r="W41" s="670">
        <f t="shared" si="14"/>
        <v>100</v>
      </c>
      <c r="X41" s="671"/>
      <c r="Y41" s="3388"/>
      <c r="Z41" s="672" t="str">
        <f t="shared" si="15"/>
        <v>进深比</v>
      </c>
      <c r="AA41" s="1263">
        <f t="shared" si="3"/>
        <v>1</v>
      </c>
      <c r="AB41" s="1263">
        <f t="shared" si="4"/>
        <v>1</v>
      </c>
      <c r="AC41" s="1263">
        <f t="shared" si="5"/>
        <v>1</v>
      </c>
    </row>
    <row r="42" spans="1:29" ht="15">
      <c r="A42" s="409"/>
      <c r="B42" s="364" t="s">
        <v>1792</v>
      </c>
      <c r="C42" s="1758"/>
      <c r="D42" s="374">
        <v>100</v>
      </c>
      <c r="E42" s="1758"/>
      <c r="F42" s="400">
        <f>SUMIF(122:122,E42,123:123)-SUMIF(122:122,C42,123:123)+100</f>
        <v>100</v>
      </c>
      <c r="G42" s="1758"/>
      <c r="H42" s="374">
        <f>SUMIF(122:122,G42,123:123)-SUMIF(122:122,C42,123:123)+100</f>
        <v>100</v>
      </c>
      <c r="I42" s="1758"/>
      <c r="J42" s="374">
        <f>SUMIF(122:122,I42,123:123)-SUMIF(122:122,C42,123:123)+100</f>
        <v>100</v>
      </c>
      <c r="K42" s="538"/>
      <c r="L42" s="2491"/>
      <c r="M42" s="2486"/>
      <c r="N42" s="2486"/>
      <c r="O42" s="2486"/>
      <c r="P42" s="3386"/>
      <c r="Q42" s="1262" t="str">
        <f t="shared" si="11"/>
        <v>内部装修</v>
      </c>
      <c r="R42" s="667" t="s">
        <v>14</v>
      </c>
      <c r="S42" s="668">
        <f t="shared" si="12"/>
        <v>100</v>
      </c>
      <c r="T42" s="667" t="s">
        <v>14</v>
      </c>
      <c r="U42" s="668">
        <f t="shared" si="13"/>
        <v>100</v>
      </c>
      <c r="V42" s="667" t="s">
        <v>14</v>
      </c>
      <c r="W42" s="668">
        <f t="shared" si="14"/>
        <v>100</v>
      </c>
      <c r="X42" s="1264"/>
      <c r="Y42" s="3388"/>
      <c r="Z42" s="1263" t="str">
        <f t="shared" si="15"/>
        <v>内部装修</v>
      </c>
      <c r="AA42" s="1263">
        <f t="shared" si="3"/>
        <v>1</v>
      </c>
      <c r="AB42" s="1263">
        <f t="shared" si="4"/>
        <v>1</v>
      </c>
      <c r="AC42" s="1263">
        <f t="shared" si="5"/>
        <v>1</v>
      </c>
    </row>
    <row r="43" spans="1:29" ht="15">
      <c r="A43" s="409"/>
      <c r="B43" s="364" t="s">
        <v>1707</v>
      </c>
      <c r="C43" s="1758"/>
      <c r="D43" s="374">
        <v>100</v>
      </c>
      <c r="E43" s="1758"/>
      <c r="F43" s="400">
        <f>SUMIF(124:124,E43,125:125)-SUMIF(124:124,C43,125:125)+100</f>
        <v>100</v>
      </c>
      <c r="G43" s="1758"/>
      <c r="H43" s="374">
        <f>SUMIF(124:124,G43,125:125)-SUMIF(124:124,C43,125:125)+100</f>
        <v>100</v>
      </c>
      <c r="I43" s="1758"/>
      <c r="J43" s="374">
        <f>SUMIF(124:124,I43,125:125)-SUMIF(124:124,C43,125:125)+100</f>
        <v>100</v>
      </c>
      <c r="K43" s="538"/>
      <c r="L43" s="2491"/>
      <c r="M43" s="2486"/>
      <c r="N43" s="2486"/>
      <c r="O43" s="2486"/>
      <c r="P43" s="3386"/>
      <c r="Q43" s="1262" t="str">
        <f t="shared" si="11"/>
        <v>内部装修维护情况</v>
      </c>
      <c r="R43" s="667" t="s">
        <v>14</v>
      </c>
      <c r="S43" s="668">
        <f t="shared" si="12"/>
        <v>100</v>
      </c>
      <c r="T43" s="667" t="s">
        <v>14</v>
      </c>
      <c r="U43" s="668">
        <f t="shared" si="13"/>
        <v>100</v>
      </c>
      <c r="V43" s="667" t="s">
        <v>14</v>
      </c>
      <c r="W43" s="668">
        <f t="shared" si="14"/>
        <v>100</v>
      </c>
      <c r="X43" s="1264"/>
      <c r="Y43" s="3388"/>
      <c r="Z43" s="1263" t="str">
        <f t="shared" si="15"/>
        <v>内部装修维护情况</v>
      </c>
      <c r="AA43" s="1263">
        <f t="shared" si="3"/>
        <v>1</v>
      </c>
      <c r="AB43" s="1263">
        <f t="shared" si="4"/>
        <v>1</v>
      </c>
      <c r="AC43" s="1263">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386"/>
      <c r="Q44" s="530">
        <f t="shared" si="11"/>
        <v>111</v>
      </c>
      <c r="R44" s="664" t="s">
        <v>14</v>
      </c>
      <c r="S44" s="665">
        <f t="shared" si="12"/>
        <v>100</v>
      </c>
      <c r="T44" s="664" t="s">
        <v>14</v>
      </c>
      <c r="U44" s="665">
        <f t="shared" si="13"/>
        <v>100</v>
      </c>
      <c r="V44" s="664" t="s">
        <v>14</v>
      </c>
      <c r="W44" s="665">
        <f t="shared" si="14"/>
        <v>100</v>
      </c>
      <c r="X44" s="666"/>
      <c r="Y44" s="3388"/>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86"/>
      <c r="Q45" s="1262">
        <f t="shared" si="11"/>
        <v>111</v>
      </c>
      <c r="R45" s="667" t="s">
        <v>14</v>
      </c>
      <c r="S45" s="668">
        <f t="shared" si="12"/>
        <v>100</v>
      </c>
      <c r="T45" s="667" t="s">
        <v>14</v>
      </c>
      <c r="U45" s="668">
        <f t="shared" si="13"/>
        <v>100</v>
      </c>
      <c r="V45" s="667" t="s">
        <v>14</v>
      </c>
      <c r="W45" s="668">
        <f t="shared" si="14"/>
        <v>100</v>
      </c>
      <c r="X45" s="1264"/>
      <c r="Y45" s="3388"/>
      <c r="Z45" s="1263">
        <f t="shared" si="15"/>
        <v>111</v>
      </c>
      <c r="AA45" s="1263">
        <f t="shared" si="3"/>
        <v>1</v>
      </c>
      <c r="AB45" s="1263">
        <f t="shared" si="4"/>
        <v>1</v>
      </c>
      <c r="AC45" s="1263">
        <f t="shared" si="5"/>
        <v>1</v>
      </c>
    </row>
    <row r="46" spans="1:29" ht="15.75" thickBot="1">
      <c r="A46" s="415"/>
      <c r="B46" s="1747">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87"/>
      <c r="Q46" s="1262">
        <f t="shared" si="11"/>
        <v>111</v>
      </c>
      <c r="R46" s="667" t="s">
        <v>14</v>
      </c>
      <c r="S46" s="668">
        <f t="shared" si="12"/>
        <v>100</v>
      </c>
      <c r="T46" s="667" t="s">
        <v>14</v>
      </c>
      <c r="U46" s="668">
        <f t="shared" si="13"/>
        <v>100</v>
      </c>
      <c r="V46" s="667" t="s">
        <v>14</v>
      </c>
      <c r="W46" s="668">
        <f t="shared" si="14"/>
        <v>100</v>
      </c>
      <c r="X46" s="1264"/>
      <c r="Y46" s="3389"/>
      <c r="Z46" s="1263">
        <f t="shared" si="15"/>
        <v>111</v>
      </c>
      <c r="AA46" s="1263">
        <f t="shared" si="3"/>
        <v>1</v>
      </c>
      <c r="AB46" s="1263">
        <f t="shared" si="4"/>
        <v>1</v>
      </c>
      <c r="AC46" s="1263">
        <f t="shared" si="5"/>
        <v>1</v>
      </c>
    </row>
    <row r="47" spans="1:29" ht="15">
      <c r="A47" s="416" t="s">
        <v>1708</v>
      </c>
      <c r="B47" s="417"/>
      <c r="C47" s="1081" t="s">
        <v>0</v>
      </c>
      <c r="D47" s="418"/>
      <c r="E47" s="419"/>
      <c r="F47" s="420"/>
      <c r="G47" s="421"/>
      <c r="H47" s="422"/>
      <c r="I47" s="419"/>
      <c r="J47" s="422"/>
      <c r="K47" s="674"/>
      <c r="L47" s="2493"/>
      <c r="M47" s="2486"/>
      <c r="N47" s="2486"/>
      <c r="O47" s="2486"/>
      <c r="P47" s="3381" t="str">
        <f>A47</f>
        <v>成交单价（元/平方米）</v>
      </c>
      <c r="Q47" s="3381"/>
      <c r="R47" s="3382">
        <f>E47</f>
        <v>0</v>
      </c>
      <c r="S47" s="3382"/>
      <c r="T47" s="3382">
        <f>G47</f>
        <v>0</v>
      </c>
      <c r="U47" s="3382"/>
      <c r="V47" s="3382">
        <f>I47</f>
        <v>0</v>
      </c>
      <c r="W47" s="3382"/>
      <c r="X47" s="385"/>
      <c r="Y47" s="673"/>
      <c r="Z47" s="385"/>
      <c r="AA47" s="385"/>
      <c r="AB47" s="385"/>
      <c r="AC47" s="385"/>
    </row>
    <row r="48" spans="1:29" ht="15.75" thickBot="1">
      <c r="A48" s="423" t="s">
        <v>1793</v>
      </c>
      <c r="B48" s="424"/>
      <c r="C48" s="1082" t="e">
        <f>R49</f>
        <v>#DIV/0!</v>
      </c>
      <c r="D48" s="2139" t="s">
        <v>2138</v>
      </c>
      <c r="E48" s="1083" t="e">
        <f>R48</f>
        <v>#DIV/0!</v>
      </c>
      <c r="F48" s="2140"/>
      <c r="G48" s="1082" t="e">
        <f>T48</f>
        <v>#DIV/0!</v>
      </c>
      <c r="H48" s="2140"/>
      <c r="I48" s="1083" t="e">
        <f>V48</f>
        <v>#DIV/0!</v>
      </c>
      <c r="J48" s="2140"/>
      <c r="K48" s="2142">
        <f>F48+H48+J48</f>
        <v>0</v>
      </c>
      <c r="L48" s="2493"/>
      <c r="M48" s="2486"/>
      <c r="N48" s="2486"/>
      <c r="O48" s="2486"/>
      <c r="P48" s="3381" t="str">
        <f>A48</f>
        <v>比较价值（元/平方米）</v>
      </c>
      <c r="Q48" s="3381"/>
      <c r="R48" s="3382" t="e">
        <f>IF(F1="售价",ROUND(PRODUCT(R47,AA7:AA46),0),ROUND(PRODUCT(R47,AA7:AA46),1))</f>
        <v>#DIV/0!</v>
      </c>
      <c r="S48" s="3382"/>
      <c r="T48" s="3382" t="e">
        <f>IF(F1="售价",ROUND(PRODUCT(T47,AB7:AB46),0),ROUND(PRODUCT(T47,AB7:AB46),1))</f>
        <v>#DIV/0!</v>
      </c>
      <c r="U48" s="3382"/>
      <c r="V48" s="3382" t="e">
        <f>IF(F1="售价",ROUND(PRODUCT(V47,AC7:AC46),0),ROUND(PRODUCT(V47,AC7:AC46),1))</f>
        <v>#DIV/0!</v>
      </c>
      <c r="W48" s="3382"/>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3"/>
      <c r="M49" s="2486"/>
      <c r="N49" s="2486"/>
      <c r="O49" s="2486"/>
      <c r="P49" s="3378" t="str">
        <f>A49</f>
        <v>估价对象XX用房的比较价值（楼面单价，元/平方米）</v>
      </c>
      <c r="Q49" s="3379"/>
      <c r="R49" s="3380" t="e">
        <f>IF(F1="售价",ROUND(IF(D48="简单平均",AVERAGE(R48:V48),R48*F48+T48*H48+V48*J48),0),ROUND(IF(D48="简单平均",AVERAGE(R48:V48),R48*F48+T48*H48+V48*J48),1))</f>
        <v>#DIV/0!</v>
      </c>
      <c r="S49" s="3380"/>
      <c r="T49" s="3380"/>
      <c r="U49" s="3380"/>
      <c r="V49" s="3380"/>
      <c r="W49" s="3380"/>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5">
      <c r="A58" s="440" t="s">
        <v>1679</v>
      </c>
      <c r="B58" s="441"/>
      <c r="C58" s="1102" t="str">
        <f>YEAR(C7)&amp;"-"&amp;MONTH(C7)</f>
        <v>2024-1</v>
      </c>
      <c r="D58" s="1103">
        <f>EDATE(C58,-1)</f>
        <v>45261</v>
      </c>
      <c r="E58" s="1103">
        <f t="shared" ref="E58:N58" si="16">EDATE(D58,-1)</f>
        <v>45231</v>
      </c>
      <c r="F58" s="1103">
        <f t="shared" si="16"/>
        <v>45200</v>
      </c>
      <c r="G58" s="1103">
        <f t="shared" si="16"/>
        <v>45170</v>
      </c>
      <c r="H58" s="1103">
        <f t="shared" si="16"/>
        <v>45139</v>
      </c>
      <c r="I58" s="1103">
        <f t="shared" si="16"/>
        <v>45108</v>
      </c>
      <c r="J58" s="1103">
        <f t="shared" si="16"/>
        <v>45078</v>
      </c>
      <c r="K58" s="1103">
        <f t="shared" si="16"/>
        <v>45047</v>
      </c>
      <c r="L58" s="1103">
        <f t="shared" si="16"/>
        <v>45017</v>
      </c>
      <c r="M58" s="1103">
        <f t="shared" si="16"/>
        <v>44986</v>
      </c>
      <c r="N58" s="1103">
        <f t="shared" si="16"/>
        <v>44958</v>
      </c>
      <c r="O58" s="1103">
        <f>EDATE(N58,-1)</f>
        <v>44927</v>
      </c>
      <c r="P58" s="2508"/>
      <c r="Q58" s="2509"/>
      <c r="R58" s="2509"/>
      <c r="S58" s="2509"/>
      <c r="T58" s="2509"/>
      <c r="U58" s="2509"/>
      <c r="V58" s="2509"/>
      <c r="W58" s="2509"/>
      <c r="X58" s="2509"/>
      <c r="Y58" s="2509"/>
      <c r="Z58" s="2509"/>
      <c r="AA58" s="2509"/>
      <c r="AB58" s="2509"/>
      <c r="AC58" s="2509"/>
    </row>
    <row r="59" spans="1:29" s="102" customFormat="1" ht="15">
      <c r="A59" s="443"/>
      <c r="B59" s="444"/>
      <c r="C59" s="1101">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1"/>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485"/>
      <c r="D86" s="485"/>
      <c r="E86" s="485"/>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485"/>
      <c r="D88" s="485"/>
      <c r="E88" s="485"/>
      <c r="F88" s="1778"/>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c r="D89" s="467"/>
      <c r="E89" s="467"/>
      <c r="F89" s="467"/>
      <c r="G89" s="467"/>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M9" sqref="M9"/>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6" t="s">
        <v>1810</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44.28</v>
      </c>
      <c r="E3" s="1803"/>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5">
      <c r="A4" s="345" t="s">
        <v>1769</v>
      </c>
      <c r="B4" s="346"/>
      <c r="C4" s="3396" t="s">
        <v>1770</v>
      </c>
      <c r="D4" s="3397"/>
      <c r="E4" s="3398" t="s">
        <v>1771</v>
      </c>
      <c r="F4" s="3399"/>
      <c r="G4" s="3396" t="s">
        <v>1772</v>
      </c>
      <c r="H4" s="3397"/>
      <c r="I4" s="3396" t="s">
        <v>1773</v>
      </c>
      <c r="J4" s="3397"/>
      <c r="K4" s="537" t="s">
        <v>1774</v>
      </c>
      <c r="L4" s="2485"/>
      <c r="M4" s="2486"/>
      <c r="N4" s="2486"/>
      <c r="O4" s="2486"/>
      <c r="P4" s="3430" t="s">
        <v>1775</v>
      </c>
      <c r="Q4" s="3431"/>
      <c r="R4" s="3434" t="s">
        <v>1771</v>
      </c>
      <c r="S4" s="3435"/>
      <c r="T4" s="3434" t="s">
        <v>1772</v>
      </c>
      <c r="U4" s="3435"/>
      <c r="V4" s="3436" t="s">
        <v>1773</v>
      </c>
      <c r="W4" s="3436"/>
      <c r="X4" s="1807"/>
      <c r="Y4" s="3434" t="s">
        <v>1775</v>
      </c>
      <c r="Z4" s="3435"/>
      <c r="AA4" s="3438" t="s">
        <v>1771</v>
      </c>
      <c r="AB4" s="3438" t="s">
        <v>1772</v>
      </c>
      <c r="AC4" s="3427" t="s">
        <v>1773</v>
      </c>
    </row>
    <row r="5" spans="1:29" ht="15">
      <c r="A5" s="348"/>
      <c r="B5" s="349"/>
      <c r="C5" s="3421" t="s">
        <v>1673</v>
      </c>
      <c r="D5" s="3422"/>
      <c r="E5" s="3423" t="s">
        <v>1674</v>
      </c>
      <c r="F5" s="3415"/>
      <c r="G5" s="3421" t="s">
        <v>1675</v>
      </c>
      <c r="H5" s="3422"/>
      <c r="I5" s="3421" t="s">
        <v>1676</v>
      </c>
      <c r="J5" s="3422"/>
      <c r="K5" s="537"/>
      <c r="L5" s="2485"/>
      <c r="M5" s="2486"/>
      <c r="N5" s="2486"/>
      <c r="O5" s="2486"/>
      <c r="P5" s="3432"/>
      <c r="Q5" s="3403"/>
      <c r="R5" s="3408"/>
      <c r="S5" s="3409"/>
      <c r="T5" s="3408"/>
      <c r="U5" s="3409"/>
      <c r="V5" s="3382"/>
      <c r="W5" s="3382"/>
      <c r="X5" s="1264"/>
      <c r="Y5" s="3408"/>
      <c r="Z5" s="3409"/>
      <c r="AA5" s="3394"/>
      <c r="AB5" s="3394"/>
      <c r="AC5" s="3428"/>
    </row>
    <row r="6" spans="1:29" ht="15.75" thickBot="1">
      <c r="A6" s="350"/>
      <c r="B6" s="351"/>
      <c r="C6" s="3412" t="s">
        <v>1677</v>
      </c>
      <c r="D6" s="3413"/>
      <c r="E6" s="3419" t="s">
        <v>1677</v>
      </c>
      <c r="F6" s="3420"/>
      <c r="G6" s="3412" t="s">
        <v>1677</v>
      </c>
      <c r="H6" s="3413"/>
      <c r="I6" s="3412" t="s">
        <v>1677</v>
      </c>
      <c r="J6" s="3413"/>
      <c r="K6" s="537" t="s">
        <v>1678</v>
      </c>
      <c r="L6" s="2485"/>
      <c r="M6" s="2486"/>
      <c r="N6" s="2486"/>
      <c r="O6" s="2486"/>
      <c r="P6" s="3433"/>
      <c r="Q6" s="3405"/>
      <c r="R6" s="3408"/>
      <c r="S6" s="3409"/>
      <c r="T6" s="3410"/>
      <c r="U6" s="3411"/>
      <c r="V6" s="3382"/>
      <c r="W6" s="3382"/>
      <c r="X6" s="1264"/>
      <c r="Y6" s="3410"/>
      <c r="Z6" s="3411"/>
      <c r="AA6" s="3395"/>
      <c r="AB6" s="3395"/>
      <c r="AC6" s="3429"/>
    </row>
    <row r="7" spans="1:29" s="102" customFormat="1" ht="15.75" thickBot="1">
      <c r="A7" s="352" t="s">
        <v>1679</v>
      </c>
      <c r="B7" s="353"/>
      <c r="C7" s="354">
        <f>'数据-取费表'!B2</f>
        <v>45301</v>
      </c>
      <c r="D7" s="355">
        <v>100</v>
      </c>
      <c r="E7" s="356"/>
      <c r="F7" s="357">
        <f>SUMIF(59:59,YEAR(E7)&amp;"-"&amp;MONTH(E7),60:60)</f>
        <v>0</v>
      </c>
      <c r="G7" s="356"/>
      <c r="H7" s="355">
        <f>SUMIF(59:59,YEAR(G7)&amp;"-"&amp;MONTH(G7),60:60)</f>
        <v>0</v>
      </c>
      <c r="I7" s="356"/>
      <c r="J7" s="355">
        <f>SUMIF(59:59,YEAR(I7)&amp;"-"&amp;MONTH(I7),60:60)</f>
        <v>0</v>
      </c>
      <c r="K7" s="38"/>
      <c r="L7" s="2487"/>
      <c r="M7" s="2438"/>
      <c r="N7" s="2438"/>
      <c r="O7" s="2438"/>
      <c r="P7" s="3437" t="s">
        <v>1680</v>
      </c>
      <c r="Q7" s="3418"/>
      <c r="R7" s="664" t="s">
        <v>14</v>
      </c>
      <c r="S7" s="665">
        <f t="shared" ref="S7:S15" si="0">F7</f>
        <v>0</v>
      </c>
      <c r="T7" s="664" t="s">
        <v>14</v>
      </c>
      <c r="U7" s="665">
        <f t="shared" ref="U7:U15" si="1">H7</f>
        <v>0</v>
      </c>
      <c r="V7" s="664" t="s">
        <v>14</v>
      </c>
      <c r="W7" s="665">
        <f t="shared" ref="W7:W15" si="2">J7</f>
        <v>0</v>
      </c>
      <c r="X7" s="666"/>
      <c r="Y7" s="3416" t="s">
        <v>1680</v>
      </c>
      <c r="Z7" s="3417"/>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8"/>
      <c r="N8" s="2438"/>
      <c r="O8" s="2438"/>
      <c r="P8" s="3437" t="s">
        <v>1683</v>
      </c>
      <c r="Q8" s="3417"/>
      <c r="R8" s="664" t="s">
        <v>14</v>
      </c>
      <c r="S8" s="665">
        <f t="shared" si="0"/>
        <v>100</v>
      </c>
      <c r="T8" s="664" t="s">
        <v>14</v>
      </c>
      <c r="U8" s="665">
        <f t="shared" si="1"/>
        <v>100</v>
      </c>
      <c r="V8" s="664" t="s">
        <v>14</v>
      </c>
      <c r="W8" s="665">
        <f t="shared" si="2"/>
        <v>100</v>
      </c>
      <c r="X8" s="666"/>
      <c r="Y8" s="3416" t="s">
        <v>1683</v>
      </c>
      <c r="Z8" s="3417"/>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392" t="s">
        <v>1686</v>
      </c>
      <c r="Q9" s="530" t="str">
        <f t="shared" ref="Q9:Q15" si="6">B9</f>
        <v>用途</v>
      </c>
      <c r="R9" s="664" t="s">
        <v>14</v>
      </c>
      <c r="S9" s="665">
        <f t="shared" si="0"/>
        <v>100</v>
      </c>
      <c r="T9" s="664" t="s">
        <v>14</v>
      </c>
      <c r="U9" s="665">
        <f t="shared" si="1"/>
        <v>100</v>
      </c>
      <c r="V9" s="664" t="s">
        <v>14</v>
      </c>
      <c r="W9" s="665">
        <f t="shared" si="2"/>
        <v>100</v>
      </c>
      <c r="X9" s="666"/>
      <c r="Y9" s="3256" t="s">
        <v>1687</v>
      </c>
      <c r="Z9" s="50" t="str">
        <f t="shared" ref="Z9:Z15" si="7">Q9</f>
        <v>用途</v>
      </c>
      <c r="AA9" s="50">
        <f t="shared" si="3"/>
        <v>1</v>
      </c>
      <c r="AB9" s="50">
        <f t="shared" si="4"/>
        <v>1</v>
      </c>
      <c r="AC9" s="802">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92"/>
      <c r="Q10" s="530" t="str">
        <f t="shared" si="6"/>
        <v>土地使用年限（年）</v>
      </c>
      <c r="R10" s="664" t="s">
        <v>14</v>
      </c>
      <c r="S10" s="665">
        <f t="shared" si="0"/>
        <v>100</v>
      </c>
      <c r="T10" s="664" t="s">
        <v>14</v>
      </c>
      <c r="U10" s="665">
        <f t="shared" si="1"/>
        <v>100</v>
      </c>
      <c r="V10" s="664" t="s">
        <v>14</v>
      </c>
      <c r="W10" s="665">
        <f t="shared" si="2"/>
        <v>100</v>
      </c>
      <c r="X10" s="666"/>
      <c r="Y10" s="3256"/>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92"/>
      <c r="Q11" s="530" t="str">
        <f t="shared" si="6"/>
        <v>容积率</v>
      </c>
      <c r="R11" s="664" t="s">
        <v>14</v>
      </c>
      <c r="S11" s="665">
        <f t="shared" si="0"/>
        <v>100</v>
      </c>
      <c r="T11" s="664" t="s">
        <v>14</v>
      </c>
      <c r="U11" s="665">
        <f t="shared" si="1"/>
        <v>100</v>
      </c>
      <c r="V11" s="664" t="s">
        <v>14</v>
      </c>
      <c r="W11" s="665">
        <f t="shared" si="2"/>
        <v>100</v>
      </c>
      <c r="X11" s="666"/>
      <c r="Y11" s="3256"/>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8"/>
      <c r="H12" s="119">
        <f>SUMIF(71:71,G12,72:72)-SUMIF(71:71,C12,72:72)+100</f>
        <v>100</v>
      </c>
      <c r="I12" s="371"/>
      <c r="J12" s="119">
        <f>SUMIF(71:71,I12,72:72)-SUMIF(71:71,C12,72:72)+100</f>
        <v>100</v>
      </c>
      <c r="K12" s="539"/>
      <c r="L12" s="2487"/>
      <c r="M12" s="2438"/>
      <c r="N12" s="2438"/>
      <c r="O12" s="2438"/>
      <c r="P12" s="3392"/>
      <c r="Q12" s="530">
        <f t="shared" si="6"/>
        <v>111</v>
      </c>
      <c r="R12" s="664" t="s">
        <v>14</v>
      </c>
      <c r="S12" s="665">
        <f t="shared" si="0"/>
        <v>100</v>
      </c>
      <c r="T12" s="664" t="s">
        <v>14</v>
      </c>
      <c r="U12" s="665">
        <f t="shared" si="1"/>
        <v>100</v>
      </c>
      <c r="V12" s="664" t="s">
        <v>14</v>
      </c>
      <c r="W12" s="665">
        <f t="shared" si="2"/>
        <v>100</v>
      </c>
      <c r="X12" s="666"/>
      <c r="Y12" s="3256"/>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8"/>
      <c r="H13" s="374">
        <f>SUMIF(73:73,G13,74:74)-SUMIF(73:73,C13,74:74)+100</f>
        <v>100</v>
      </c>
      <c r="I13" s="371"/>
      <c r="J13" s="374">
        <f>SUMIF(73:73,I13,74:74)-SUMIF(73:73,C13,74:74)+100</f>
        <v>100</v>
      </c>
      <c r="K13" s="539"/>
      <c r="L13" s="2491"/>
      <c r="M13" s="2486"/>
      <c r="N13" s="2486"/>
      <c r="O13" s="2486"/>
      <c r="P13" s="3392"/>
      <c r="Q13" s="530">
        <f t="shared" si="6"/>
        <v>111</v>
      </c>
      <c r="R13" s="664" t="s">
        <v>14</v>
      </c>
      <c r="S13" s="665">
        <f t="shared" si="0"/>
        <v>100</v>
      </c>
      <c r="T13" s="664" t="s">
        <v>14</v>
      </c>
      <c r="U13" s="665">
        <f t="shared" si="1"/>
        <v>100</v>
      </c>
      <c r="V13" s="664" t="s">
        <v>14</v>
      </c>
      <c r="W13" s="665">
        <f t="shared" si="2"/>
        <v>100</v>
      </c>
      <c r="X13" s="666"/>
      <c r="Y13" s="3256"/>
      <c r="Z13" s="50">
        <f t="shared" si="7"/>
        <v>111</v>
      </c>
      <c r="AA13" s="50">
        <f t="shared" si="3"/>
        <v>1</v>
      </c>
      <c r="AB13" s="50">
        <f t="shared" si="4"/>
        <v>1</v>
      </c>
      <c r="AC13" s="802">
        <f t="shared" si="5"/>
        <v>1</v>
      </c>
    </row>
    <row r="14" spans="1:29" ht="15.75" thickBot="1">
      <c r="A14" s="375"/>
      <c r="B14" s="1747">
        <v>111</v>
      </c>
      <c r="C14" s="376"/>
      <c r="D14" s="377">
        <v>100</v>
      </c>
      <c r="E14" s="553"/>
      <c r="F14" s="377">
        <f>SUMIF(75:75,E14,76:76)-SUMIF(75:75,C14,76:76)+100</f>
        <v>100</v>
      </c>
      <c r="G14" s="1808"/>
      <c r="H14" s="377">
        <f>SUMIF(75:75,G14,76:76)-SUMIF(75:75,C14,76:76)+100</f>
        <v>100</v>
      </c>
      <c r="I14" s="371"/>
      <c r="J14" s="377">
        <f>SUMIF(75:75,I14,76:76)-SUMIF(75:75,C14,76:76)+100</f>
        <v>100</v>
      </c>
      <c r="K14" s="539"/>
      <c r="L14" s="2491"/>
      <c r="M14" s="2486"/>
      <c r="N14" s="2486"/>
      <c r="O14" s="2486"/>
      <c r="P14" s="3392"/>
      <c r="Q14" s="530">
        <f t="shared" si="6"/>
        <v>111</v>
      </c>
      <c r="R14" s="664" t="s">
        <v>14</v>
      </c>
      <c r="S14" s="665">
        <f t="shared" si="0"/>
        <v>100</v>
      </c>
      <c r="T14" s="664" t="s">
        <v>14</v>
      </c>
      <c r="U14" s="665">
        <f t="shared" si="1"/>
        <v>100</v>
      </c>
      <c r="V14" s="664" t="s">
        <v>14</v>
      </c>
      <c r="W14" s="665">
        <f t="shared" si="2"/>
        <v>100</v>
      </c>
      <c r="X14" s="666"/>
      <c r="Y14" s="3256"/>
      <c r="Z14" s="50">
        <f t="shared" si="7"/>
        <v>111</v>
      </c>
      <c r="AA14" s="50">
        <f t="shared" si="3"/>
        <v>1</v>
      </c>
      <c r="AB14" s="50">
        <f t="shared" si="4"/>
        <v>1</v>
      </c>
      <c r="AC14" s="802">
        <f t="shared" si="5"/>
        <v>1</v>
      </c>
    </row>
    <row r="15" spans="1:29" ht="71.25">
      <c r="A15" s="379" t="s">
        <v>1690</v>
      </c>
      <c r="B15" s="554" t="s">
        <v>1811</v>
      </c>
      <c r="C15" s="1809"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390" t="s">
        <v>1691</v>
      </c>
      <c r="Q15" s="1262" t="str">
        <f t="shared" si="6"/>
        <v>办公集聚程度</v>
      </c>
      <c r="R15" s="667" t="s">
        <v>14</v>
      </c>
      <c r="S15" s="668">
        <f t="shared" si="0"/>
        <v>100</v>
      </c>
      <c r="T15" s="667" t="s">
        <v>14</v>
      </c>
      <c r="U15" s="668">
        <f t="shared" si="1"/>
        <v>100</v>
      </c>
      <c r="V15" s="667" t="s">
        <v>14</v>
      </c>
      <c r="W15" s="668">
        <f t="shared" si="2"/>
        <v>100</v>
      </c>
      <c r="X15" s="1264"/>
      <c r="Y15" s="3383" t="s">
        <v>1691</v>
      </c>
      <c r="Z15" s="1263" t="str">
        <f t="shared" si="7"/>
        <v>办公集聚程度</v>
      </c>
      <c r="AA15" s="1263">
        <f t="shared" si="3"/>
        <v>1</v>
      </c>
      <c r="AB15" s="1263">
        <f t="shared" si="4"/>
        <v>1</v>
      </c>
      <c r="AC15" s="1810">
        <f t="shared" si="5"/>
        <v>1</v>
      </c>
    </row>
    <row r="16" spans="1:29" ht="15">
      <c r="A16" s="367"/>
      <c r="B16" s="555"/>
      <c r="C16" s="1756"/>
      <c r="D16" s="387"/>
      <c r="E16" s="386"/>
      <c r="F16" s="387"/>
      <c r="G16" s="1756"/>
      <c r="H16" s="389"/>
      <c r="I16" s="386"/>
      <c r="J16" s="387"/>
      <c r="K16" s="541"/>
      <c r="L16" s="2491"/>
      <c r="M16" s="2486"/>
      <c r="N16" s="2486"/>
      <c r="O16" s="2486"/>
      <c r="P16" s="3391"/>
      <c r="Q16" s="1262"/>
      <c r="R16" s="667"/>
      <c r="S16" s="668"/>
      <c r="T16" s="667"/>
      <c r="U16" s="668"/>
      <c r="V16" s="667"/>
      <c r="W16" s="668"/>
      <c r="X16" s="1264"/>
      <c r="Y16" s="3384"/>
      <c r="Z16" s="1263"/>
      <c r="AA16" s="1263">
        <v>1</v>
      </c>
      <c r="AB16" s="1263">
        <v>1</v>
      </c>
      <c r="AC16" s="1810">
        <v>1</v>
      </c>
    </row>
    <row r="17" spans="1:29" ht="71.25">
      <c r="A17" s="367"/>
      <c r="B17" s="556" t="s">
        <v>1259</v>
      </c>
      <c r="C17" s="1811"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391"/>
      <c r="Q17" s="1262" t="str">
        <f>B17</f>
        <v>交通便捷度</v>
      </c>
      <c r="R17" s="667" t="s">
        <v>14</v>
      </c>
      <c r="S17" s="668">
        <f>F17</f>
        <v>100</v>
      </c>
      <c r="T17" s="667" t="s">
        <v>14</v>
      </c>
      <c r="U17" s="668">
        <f>H17</f>
        <v>100</v>
      </c>
      <c r="V17" s="667" t="s">
        <v>14</v>
      </c>
      <c r="W17" s="668">
        <f>J17</f>
        <v>100</v>
      </c>
      <c r="X17" s="1264"/>
      <c r="Y17" s="3384"/>
      <c r="Z17" s="1263" t="str">
        <f>Q17</f>
        <v>交通便捷度</v>
      </c>
      <c r="AA17" s="1263">
        <f t="shared" si="3"/>
        <v>1</v>
      </c>
      <c r="AB17" s="1263">
        <f t="shared" si="4"/>
        <v>1</v>
      </c>
      <c r="AC17" s="1810">
        <f t="shared" si="5"/>
        <v>1</v>
      </c>
    </row>
    <row r="18" spans="1:29" ht="15">
      <c r="A18" s="367"/>
      <c r="B18" s="401"/>
      <c r="C18" s="1812"/>
      <c r="D18" s="389"/>
      <c r="E18" s="1754"/>
      <c r="F18" s="389"/>
      <c r="G18" s="1755"/>
      <c r="H18" s="387"/>
      <c r="I18" s="1755"/>
      <c r="J18" s="387"/>
      <c r="K18" s="541"/>
      <c r="L18" s="2491"/>
      <c r="M18" s="2486"/>
      <c r="N18" s="2486"/>
      <c r="O18" s="2486"/>
      <c r="P18" s="3391"/>
      <c r="Q18" s="1262"/>
      <c r="R18" s="667"/>
      <c r="S18" s="668"/>
      <c r="T18" s="667"/>
      <c r="U18" s="668"/>
      <c r="V18" s="667"/>
      <c r="W18" s="668"/>
      <c r="X18" s="1264"/>
      <c r="Y18" s="3384"/>
      <c r="Z18" s="1263"/>
      <c r="AA18" s="1263">
        <v>1</v>
      </c>
      <c r="AB18" s="1263">
        <v>1</v>
      </c>
      <c r="AC18" s="1810">
        <v>1</v>
      </c>
    </row>
    <row r="19" spans="1:29" ht="42.75">
      <c r="A19" s="367"/>
      <c r="B19" s="556" t="s">
        <v>1812</v>
      </c>
      <c r="C19" s="1811"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391"/>
      <c r="Q19" s="1262" t="str">
        <f>B19</f>
        <v>公共配套设施</v>
      </c>
      <c r="R19" s="667" t="s">
        <v>14</v>
      </c>
      <c r="S19" s="668">
        <f>F19</f>
        <v>100</v>
      </c>
      <c r="T19" s="667" t="s">
        <v>14</v>
      </c>
      <c r="U19" s="668">
        <f>H19</f>
        <v>100</v>
      </c>
      <c r="V19" s="667" t="s">
        <v>14</v>
      </c>
      <c r="W19" s="668">
        <f>J19</f>
        <v>100</v>
      </c>
      <c r="X19" s="1264"/>
      <c r="Y19" s="3384"/>
      <c r="Z19" s="1263" t="str">
        <f>Q19</f>
        <v>公共配套设施</v>
      </c>
      <c r="AA19" s="1263">
        <f t="shared" si="3"/>
        <v>1</v>
      </c>
      <c r="AB19" s="1263">
        <f t="shared" si="4"/>
        <v>1</v>
      </c>
      <c r="AC19" s="1810">
        <f t="shared" si="5"/>
        <v>1</v>
      </c>
    </row>
    <row r="20" spans="1:29" ht="15">
      <c r="A20" s="367"/>
      <c r="B20" s="401"/>
      <c r="C20" s="1756"/>
      <c r="D20" s="387"/>
      <c r="E20" s="1749"/>
      <c r="F20" s="387"/>
      <c r="G20" s="1750"/>
      <c r="H20" s="387"/>
      <c r="I20" s="1750"/>
      <c r="J20" s="387"/>
      <c r="K20" s="541"/>
      <c r="L20" s="2491"/>
      <c r="M20" s="2486"/>
      <c r="N20" s="2486"/>
      <c r="O20" s="2486"/>
      <c r="P20" s="3391"/>
      <c r="Q20" s="1262"/>
      <c r="R20" s="667"/>
      <c r="S20" s="668"/>
      <c r="T20" s="667"/>
      <c r="U20" s="668"/>
      <c r="V20" s="667"/>
      <c r="W20" s="668"/>
      <c r="X20" s="1264"/>
      <c r="Y20" s="3384"/>
      <c r="Z20" s="1263"/>
      <c r="AA20" s="1263">
        <v>1</v>
      </c>
      <c r="AB20" s="1263">
        <v>1</v>
      </c>
      <c r="AC20" s="1810">
        <v>1</v>
      </c>
    </row>
    <row r="21" spans="1:29" ht="28.5">
      <c r="A21" s="367"/>
      <c r="B21" s="557" t="s">
        <v>1813</v>
      </c>
      <c r="C21" s="1811"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391"/>
      <c r="Q21" s="1262" t="str">
        <f>B21</f>
        <v>基础设施水平</v>
      </c>
      <c r="R21" s="667" t="s">
        <v>14</v>
      </c>
      <c r="S21" s="668">
        <f>F21</f>
        <v>100</v>
      </c>
      <c r="T21" s="667" t="s">
        <v>14</v>
      </c>
      <c r="U21" s="668">
        <f>H21</f>
        <v>100</v>
      </c>
      <c r="V21" s="667" t="s">
        <v>14</v>
      </c>
      <c r="W21" s="668">
        <f>J21</f>
        <v>100</v>
      </c>
      <c r="X21" s="1264"/>
      <c r="Y21" s="3384"/>
      <c r="Z21" s="1263" t="str">
        <f>Q21</f>
        <v>基础设施水平</v>
      </c>
      <c r="AA21" s="1263">
        <f t="shared" ref="AA21" si="8">D21/F21</f>
        <v>1</v>
      </c>
      <c r="AB21" s="1263">
        <f t="shared" ref="AB21" si="9">D21/H21</f>
        <v>1</v>
      </c>
      <c r="AC21" s="1810">
        <f t="shared" ref="AC21" si="10">D21/J21</f>
        <v>1</v>
      </c>
    </row>
    <row r="22" spans="1:29" ht="15">
      <c r="A22" s="367"/>
      <c r="B22" s="557"/>
      <c r="C22" s="1812"/>
      <c r="D22" s="387"/>
      <c r="E22" s="386"/>
      <c r="F22" s="387"/>
      <c r="G22" s="1756"/>
      <c r="H22" s="387"/>
      <c r="I22" s="1756"/>
      <c r="J22" s="387"/>
      <c r="K22" s="1064"/>
      <c r="L22" s="2491"/>
      <c r="M22" s="2486"/>
      <c r="N22" s="2486"/>
      <c r="O22" s="2486"/>
      <c r="P22" s="3391"/>
      <c r="Q22" s="1262"/>
      <c r="R22" s="667"/>
      <c r="S22" s="668"/>
      <c r="T22" s="667"/>
      <c r="U22" s="668"/>
      <c r="V22" s="667"/>
      <c r="W22" s="668"/>
      <c r="X22" s="1264"/>
      <c r="Y22" s="3384"/>
      <c r="Z22" s="1263"/>
      <c r="AA22" s="1263">
        <v>1</v>
      </c>
      <c r="AB22" s="1263">
        <v>1</v>
      </c>
      <c r="AC22" s="1810">
        <v>1</v>
      </c>
    </row>
    <row r="23" spans="1:29" ht="42.75">
      <c r="A23" s="367"/>
      <c r="B23" s="556" t="s">
        <v>1814</v>
      </c>
      <c r="C23" s="1811"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391"/>
      <c r="Q23" s="1262" t="str">
        <f>B23</f>
        <v>环境质量</v>
      </c>
      <c r="R23" s="667" t="s">
        <v>14</v>
      </c>
      <c r="S23" s="668">
        <f>F23</f>
        <v>100</v>
      </c>
      <c r="T23" s="667" t="s">
        <v>14</v>
      </c>
      <c r="U23" s="668">
        <f>H23</f>
        <v>100</v>
      </c>
      <c r="V23" s="667" t="s">
        <v>14</v>
      </c>
      <c r="W23" s="668">
        <f>J23</f>
        <v>100</v>
      </c>
      <c r="X23" s="1264"/>
      <c r="Y23" s="3384"/>
      <c r="Z23" s="1263" t="str">
        <f>Q23</f>
        <v>环境质量</v>
      </c>
      <c r="AA23" s="1263">
        <f t="shared" si="3"/>
        <v>1</v>
      </c>
      <c r="AB23" s="1263">
        <f t="shared" si="4"/>
        <v>1</v>
      </c>
      <c r="AC23" s="1810">
        <f t="shared" si="5"/>
        <v>1</v>
      </c>
    </row>
    <row r="24" spans="1:29" ht="15">
      <c r="A24" s="367"/>
      <c r="B24" s="557"/>
      <c r="C24" s="1756"/>
      <c r="D24" s="387"/>
      <c r="E24" s="1749"/>
      <c r="F24" s="387"/>
      <c r="G24" s="1750"/>
      <c r="H24" s="387"/>
      <c r="I24" s="1750"/>
      <c r="J24" s="387"/>
      <c r="K24" s="541"/>
      <c r="L24" s="2491"/>
      <c r="M24" s="2486"/>
      <c r="N24" s="2486"/>
      <c r="O24" s="2486"/>
      <c r="P24" s="3391"/>
      <c r="Q24" s="1262"/>
      <c r="R24" s="667"/>
      <c r="S24" s="668"/>
      <c r="T24" s="667"/>
      <c r="U24" s="668"/>
      <c r="V24" s="667"/>
      <c r="W24" s="668"/>
      <c r="X24" s="1264"/>
      <c r="Y24" s="3384"/>
      <c r="Z24" s="1263"/>
      <c r="AA24" s="1263">
        <v>1</v>
      </c>
      <c r="AB24" s="1263">
        <v>1</v>
      </c>
      <c r="AC24" s="1810">
        <v>1</v>
      </c>
    </row>
    <row r="25" spans="1:29" ht="27">
      <c r="A25" s="348"/>
      <c r="B25" s="556" t="s">
        <v>1815</v>
      </c>
      <c r="C25" s="1760"/>
      <c r="D25" s="374">
        <v>100</v>
      </c>
      <c r="E25" s="373"/>
      <c r="F25" s="374">
        <f>SUMIF(87:87,E26,88:88)-SUMIF(87:87,C26,88:88)+100</f>
        <v>100</v>
      </c>
      <c r="G25" s="1760"/>
      <c r="H25" s="374">
        <f>SUMIF(87:87,G26,88:88)-SUMIF(87:87,C26,88:88)+100</f>
        <v>100</v>
      </c>
      <c r="I25" s="373"/>
      <c r="J25" s="374">
        <f>SUMIF(87:87,I26,88:88)-SUMIF(87:87,C26,88:88)+100</f>
        <v>100</v>
      </c>
      <c r="K25" s="540"/>
      <c r="L25" s="2491"/>
      <c r="M25" s="2486"/>
      <c r="N25" s="2486"/>
      <c r="O25" s="2486"/>
      <c r="P25" s="3391"/>
      <c r="Q25" s="1262" t="str">
        <f>B25</f>
        <v>毗邻道路的类型与等级</v>
      </c>
      <c r="R25" s="667" t="s">
        <v>14</v>
      </c>
      <c r="S25" s="668">
        <f>F25</f>
        <v>100</v>
      </c>
      <c r="T25" s="667" t="s">
        <v>14</v>
      </c>
      <c r="U25" s="668">
        <f>H25</f>
        <v>100</v>
      </c>
      <c r="V25" s="667" t="s">
        <v>14</v>
      </c>
      <c r="W25" s="668">
        <f>J25</f>
        <v>100</v>
      </c>
      <c r="X25" s="1264"/>
      <c r="Y25" s="3384"/>
      <c r="Z25" s="1263" t="str">
        <f>Q25</f>
        <v>毗邻道路的类型与等级</v>
      </c>
      <c r="AA25" s="1263">
        <f t="shared" si="3"/>
        <v>1</v>
      </c>
      <c r="AB25" s="1263">
        <f t="shared" si="4"/>
        <v>1</v>
      </c>
      <c r="AC25" s="1810">
        <f t="shared" si="5"/>
        <v>1</v>
      </c>
    </row>
    <row r="26" spans="1:29" ht="15">
      <c r="A26" s="348"/>
      <c r="B26" s="401"/>
      <c r="C26" s="558"/>
      <c r="D26" s="374"/>
      <c r="E26" s="542"/>
      <c r="F26" s="374"/>
      <c r="G26" s="558"/>
      <c r="H26" s="374"/>
      <c r="I26" s="542"/>
      <c r="J26" s="374"/>
      <c r="K26" s="541"/>
      <c r="L26" s="2491"/>
      <c r="M26" s="2486"/>
      <c r="N26" s="2486"/>
      <c r="O26" s="2486"/>
      <c r="P26" s="3391"/>
      <c r="Q26" s="1262"/>
      <c r="R26" s="667"/>
      <c r="S26" s="668"/>
      <c r="T26" s="667"/>
      <c r="U26" s="668"/>
      <c r="V26" s="667"/>
      <c r="W26" s="668"/>
      <c r="X26" s="1264"/>
      <c r="Y26" s="3384"/>
      <c r="Z26" s="1263"/>
      <c r="AA26" s="1263">
        <v>1</v>
      </c>
      <c r="AB26" s="1263">
        <v>1</v>
      </c>
      <c r="AC26" s="1810">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391"/>
      <c r="Q27" s="1262" t="str">
        <f t="shared" ref="Q27:Q47" si="11">B27</f>
        <v>楼层</v>
      </c>
      <c r="R27" s="667" t="s">
        <v>14</v>
      </c>
      <c r="S27" s="668">
        <f>F27</f>
        <v>100</v>
      </c>
      <c r="T27" s="667" t="s">
        <v>14</v>
      </c>
      <c r="U27" s="668">
        <f>H27</f>
        <v>100</v>
      </c>
      <c r="V27" s="667" t="s">
        <v>14</v>
      </c>
      <c r="W27" s="668">
        <f>J27</f>
        <v>100</v>
      </c>
      <c r="X27" s="1264"/>
      <c r="Y27" s="3384"/>
      <c r="Z27" s="1263" t="str">
        <f>Q27</f>
        <v>楼层</v>
      </c>
      <c r="AA27" s="1263">
        <f t="shared" si="3"/>
        <v>1</v>
      </c>
      <c r="AB27" s="1263">
        <f t="shared" si="4"/>
        <v>1</v>
      </c>
      <c r="AC27" s="1810">
        <f t="shared" si="5"/>
        <v>1</v>
      </c>
    </row>
    <row r="28" spans="1:29" s="102" customFormat="1" ht="15">
      <c r="A28" s="370"/>
      <c r="B28" s="556" t="s">
        <v>1816</v>
      </c>
      <c r="C28" s="1813"/>
      <c r="D28" s="401">
        <v>100</v>
      </c>
      <c r="E28" s="1805"/>
      <c r="F28" s="401">
        <f>SUMIF(91:91,E28,92:92)-SUMIF(91:91,C28,92:92)+100</f>
        <v>100</v>
      </c>
      <c r="G28" s="1813"/>
      <c r="H28" s="401">
        <f>SUMIF(91:91,G28,92:92)-SUMIF(91:91,C28,92:92)+100</f>
        <v>100</v>
      </c>
      <c r="I28" s="1805"/>
      <c r="J28" s="401">
        <f>SUMIF(91:91,I28,92:92)-SUMIF(91:91,C28,92:92)+100</f>
        <v>100</v>
      </c>
      <c r="K28" s="538"/>
      <c r="L28" s="2487"/>
      <c r="M28" s="2438"/>
      <c r="N28" s="2438"/>
      <c r="O28" s="2438"/>
      <c r="P28" s="3391"/>
      <c r="Q28" s="530" t="str">
        <f t="shared" si="11"/>
        <v>朝向</v>
      </c>
      <c r="R28" s="664" t="s">
        <v>14</v>
      </c>
      <c r="S28" s="665">
        <f>F28</f>
        <v>100</v>
      </c>
      <c r="T28" s="664" t="s">
        <v>14</v>
      </c>
      <c r="U28" s="665">
        <f>H28</f>
        <v>100</v>
      </c>
      <c r="V28" s="664" t="s">
        <v>14</v>
      </c>
      <c r="W28" s="665">
        <f>J28</f>
        <v>100</v>
      </c>
      <c r="X28" s="666"/>
      <c r="Y28" s="3384"/>
      <c r="Z28" s="50" t="str">
        <f>Q28</f>
        <v>朝向</v>
      </c>
      <c r="AA28" s="1263">
        <f>D28/F28</f>
        <v>1</v>
      </c>
      <c r="AB28" s="1263">
        <f>D28/H28</f>
        <v>1</v>
      </c>
      <c r="AC28" s="1810">
        <f>D28/J28</f>
        <v>1</v>
      </c>
    </row>
    <row r="29" spans="1:29" ht="15">
      <c r="A29" s="367"/>
      <c r="B29" s="1099">
        <v>111</v>
      </c>
      <c r="C29" s="1760"/>
      <c r="D29" s="374">
        <v>100</v>
      </c>
      <c r="E29" s="371"/>
      <c r="F29" s="374">
        <f>SUMIF(93:93,E29,94:94)-SUMIF(93:93,C29,94:94)+100</f>
        <v>100</v>
      </c>
      <c r="G29" s="1808"/>
      <c r="H29" s="374">
        <f>SUMIF(93:93,G29,94:94)-SUMIF(93:93,C29,94:94)+100</f>
        <v>100</v>
      </c>
      <c r="I29" s="371"/>
      <c r="J29" s="374">
        <f>SUMIF(93:93,I29,94:94)-SUMIF(93:93,C29,94:94)+100</f>
        <v>100</v>
      </c>
      <c r="K29" s="539"/>
      <c r="L29" s="2491"/>
      <c r="M29" s="2486"/>
      <c r="N29" s="2486"/>
      <c r="O29" s="2486"/>
      <c r="P29" s="3391"/>
      <c r="Q29" s="1262">
        <f t="shared" si="11"/>
        <v>111</v>
      </c>
      <c r="R29" s="667" t="s">
        <v>14</v>
      </c>
      <c r="S29" s="668">
        <f t="shared" ref="S29:S47" si="12">F29</f>
        <v>100</v>
      </c>
      <c r="T29" s="667" t="s">
        <v>14</v>
      </c>
      <c r="U29" s="668">
        <f t="shared" ref="U29:U47" si="13">H29</f>
        <v>100</v>
      </c>
      <c r="V29" s="667" t="s">
        <v>14</v>
      </c>
      <c r="W29" s="668">
        <f t="shared" ref="W29:W47" si="14">J29</f>
        <v>100</v>
      </c>
      <c r="X29" s="1264"/>
      <c r="Y29" s="3384"/>
      <c r="Z29" s="1263">
        <f t="shared" ref="Z29:Z47" si="15">Q29</f>
        <v>111</v>
      </c>
      <c r="AA29" s="1263">
        <f t="shared" si="3"/>
        <v>1</v>
      </c>
      <c r="AB29" s="1263">
        <f t="shared" si="4"/>
        <v>1</v>
      </c>
      <c r="AC29" s="1810">
        <f t="shared" si="5"/>
        <v>1</v>
      </c>
    </row>
    <row r="30" spans="1:29" ht="15">
      <c r="A30" s="367"/>
      <c r="B30" s="1099">
        <v>111</v>
      </c>
      <c r="C30" s="1760"/>
      <c r="D30" s="374">
        <v>100</v>
      </c>
      <c r="E30" s="371"/>
      <c r="F30" s="374">
        <f>SUMIF(95:95,E30,96:96)-SUMIF(95:95,C30,96:96)+100</f>
        <v>100</v>
      </c>
      <c r="G30" s="1808"/>
      <c r="H30" s="374">
        <f>SUMIF(95:95,G30,96:96)-SUMIF(95:95,C30,96:96)+100</f>
        <v>100</v>
      </c>
      <c r="I30" s="371"/>
      <c r="J30" s="374">
        <f>SUMIF(95:95,I30,96:96)-SUMIF(95:95,C30,96:96)+100</f>
        <v>100</v>
      </c>
      <c r="K30" s="539"/>
      <c r="L30" s="2491"/>
      <c r="M30" s="2486"/>
      <c r="N30" s="2486"/>
      <c r="O30" s="2486"/>
      <c r="P30" s="3391"/>
      <c r="Q30" s="1262">
        <f t="shared" si="11"/>
        <v>111</v>
      </c>
      <c r="R30" s="667" t="s">
        <v>14</v>
      </c>
      <c r="S30" s="668">
        <f t="shared" si="12"/>
        <v>100</v>
      </c>
      <c r="T30" s="667" t="s">
        <v>14</v>
      </c>
      <c r="U30" s="668">
        <f t="shared" si="13"/>
        <v>100</v>
      </c>
      <c r="V30" s="667" t="s">
        <v>14</v>
      </c>
      <c r="W30" s="668">
        <f t="shared" si="14"/>
        <v>100</v>
      </c>
      <c r="X30" s="1264"/>
      <c r="Y30" s="3384"/>
      <c r="Z30" s="1263">
        <f t="shared" si="15"/>
        <v>111</v>
      </c>
      <c r="AA30" s="1263">
        <f t="shared" si="3"/>
        <v>1</v>
      </c>
      <c r="AB30" s="1263">
        <f t="shared" si="4"/>
        <v>1</v>
      </c>
      <c r="AC30" s="1810">
        <f t="shared" si="5"/>
        <v>1</v>
      </c>
    </row>
    <row r="31" spans="1:29" ht="15">
      <c r="A31" s="367"/>
      <c r="B31" s="1099">
        <v>111</v>
      </c>
      <c r="C31" s="1760"/>
      <c r="D31" s="374">
        <v>100</v>
      </c>
      <c r="E31" s="371"/>
      <c r="F31" s="374">
        <f>SUMIF(97:97,E31,98:98)-SUMIF(97:97,C31,98:98)+100</f>
        <v>100</v>
      </c>
      <c r="G31" s="1808"/>
      <c r="H31" s="374">
        <f>SUMIF(97:97,G31,98:98)-SUMIF(97:97,C31,98:98)+100</f>
        <v>100</v>
      </c>
      <c r="I31" s="371"/>
      <c r="J31" s="374">
        <f>SUMIF(97:97,I31,98:98)-SUMIF(97:97,C31,98:98)+100</f>
        <v>100</v>
      </c>
      <c r="K31" s="539"/>
      <c r="L31" s="2491"/>
      <c r="M31" s="2486"/>
      <c r="N31" s="2486"/>
      <c r="O31" s="2486"/>
      <c r="P31" s="3391"/>
      <c r="Q31" s="1262">
        <f t="shared" si="11"/>
        <v>111</v>
      </c>
      <c r="R31" s="667" t="s">
        <v>14</v>
      </c>
      <c r="S31" s="668">
        <f t="shared" si="12"/>
        <v>100</v>
      </c>
      <c r="T31" s="667" t="s">
        <v>14</v>
      </c>
      <c r="U31" s="668">
        <f t="shared" si="13"/>
        <v>100</v>
      </c>
      <c r="V31" s="667" t="s">
        <v>14</v>
      </c>
      <c r="W31" s="668">
        <f t="shared" si="14"/>
        <v>100</v>
      </c>
      <c r="X31" s="1264"/>
      <c r="Y31" s="3384"/>
      <c r="Z31" s="1263">
        <f t="shared" si="15"/>
        <v>111</v>
      </c>
      <c r="AA31" s="1263">
        <f t="shared" si="3"/>
        <v>1</v>
      </c>
      <c r="AB31" s="1263">
        <f t="shared" si="4"/>
        <v>1</v>
      </c>
      <c r="AC31" s="1810">
        <f t="shared" si="5"/>
        <v>1</v>
      </c>
    </row>
    <row r="32" spans="1:29" ht="15.75" thickBot="1">
      <c r="A32" s="375"/>
      <c r="B32" s="559">
        <v>111</v>
      </c>
      <c r="C32" s="1761"/>
      <c r="D32" s="377">
        <v>100</v>
      </c>
      <c r="E32" s="553"/>
      <c r="F32" s="377">
        <f>SUMIF(99:99,E32,100:100)-SUMIF(99:99,C32,100:100)+100</f>
        <v>100</v>
      </c>
      <c r="G32" s="1808"/>
      <c r="H32" s="377">
        <f>SUMIF(99:99,G32,100:100)-SUMIF(99:99,C32,100:100)+100</f>
        <v>100</v>
      </c>
      <c r="I32" s="371"/>
      <c r="J32" s="377">
        <f>SUMIF(99:99,I32,100:100)-SUMIF(99:99,C32,100:100)+100</f>
        <v>100</v>
      </c>
      <c r="K32" s="539"/>
      <c r="L32" s="2491"/>
      <c r="M32" s="2486"/>
      <c r="N32" s="2486"/>
      <c r="O32" s="2486"/>
      <c r="P32" s="3391"/>
      <c r="Q32" s="1262">
        <f t="shared" si="11"/>
        <v>111</v>
      </c>
      <c r="R32" s="667" t="s">
        <v>14</v>
      </c>
      <c r="S32" s="668">
        <f t="shared" si="12"/>
        <v>100</v>
      </c>
      <c r="T32" s="667" t="s">
        <v>14</v>
      </c>
      <c r="U32" s="668">
        <f t="shared" si="13"/>
        <v>100</v>
      </c>
      <c r="V32" s="667" t="s">
        <v>14</v>
      </c>
      <c r="W32" s="668">
        <f t="shared" si="14"/>
        <v>100</v>
      </c>
      <c r="X32" s="1264"/>
      <c r="Y32" s="3384"/>
      <c r="Z32" s="1263">
        <f t="shared" si="15"/>
        <v>111</v>
      </c>
      <c r="AA32" s="1263">
        <f t="shared" si="3"/>
        <v>1</v>
      </c>
      <c r="AB32" s="1263">
        <f t="shared" si="4"/>
        <v>1</v>
      </c>
      <c r="AC32" s="1810">
        <f t="shared" si="5"/>
        <v>1</v>
      </c>
    </row>
    <row r="33" spans="1:29" ht="15">
      <c r="A33" s="379" t="s">
        <v>1694</v>
      </c>
      <c r="B33" s="60" t="s">
        <v>1817</v>
      </c>
      <c r="C33" s="1762"/>
      <c r="D33" s="405">
        <v>100</v>
      </c>
      <c r="E33" s="1762"/>
      <c r="F33" s="400">
        <f>SUMIF(101:101,E33,102:102)-SUMIF(101:101,C33,102:102)+100</f>
        <v>100</v>
      </c>
      <c r="G33" s="1762"/>
      <c r="H33" s="374">
        <f>SUMIF(101:101,G33,102:102)-SUMIF(101:101,C33,102:102)+100</f>
        <v>100</v>
      </c>
      <c r="I33" s="1762"/>
      <c r="J33" s="405">
        <f>SUMIF(101:101,I33,102:102)-SUMIF(101:101,C33,102:102)+100</f>
        <v>100</v>
      </c>
      <c r="K33" s="538"/>
      <c r="L33" s="2491"/>
      <c r="M33" s="2486"/>
      <c r="N33" s="2486"/>
      <c r="O33" s="2486"/>
      <c r="P33" s="3385" t="s">
        <v>1696</v>
      </c>
      <c r="Q33" s="1262" t="str">
        <f t="shared" si="11"/>
        <v>建筑类型</v>
      </c>
      <c r="R33" s="667" t="s">
        <v>14</v>
      </c>
      <c r="S33" s="668">
        <f t="shared" si="12"/>
        <v>100</v>
      </c>
      <c r="T33" s="667" t="s">
        <v>14</v>
      </c>
      <c r="U33" s="668">
        <f t="shared" si="13"/>
        <v>100</v>
      </c>
      <c r="V33" s="667" t="s">
        <v>14</v>
      </c>
      <c r="W33" s="668">
        <f t="shared" si="14"/>
        <v>100</v>
      </c>
      <c r="X33" s="1264"/>
      <c r="Y33" s="3388" t="s">
        <v>1696</v>
      </c>
      <c r="Z33" s="1263" t="str">
        <f t="shared" si="15"/>
        <v>建筑类型</v>
      </c>
      <c r="AA33" s="1263">
        <f t="shared" si="3"/>
        <v>1</v>
      </c>
      <c r="AB33" s="1263">
        <f t="shared" si="4"/>
        <v>1</v>
      </c>
      <c r="AC33" s="1810">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386"/>
      <c r="Q34" s="531" t="str">
        <f t="shared" si="11"/>
        <v>项目建筑规模</v>
      </c>
      <c r="R34" s="669" t="s">
        <v>14</v>
      </c>
      <c r="S34" s="670" t="e">
        <f t="shared" si="12"/>
        <v>#N/A</v>
      </c>
      <c r="T34" s="669" t="s">
        <v>14</v>
      </c>
      <c r="U34" s="670" t="e">
        <f t="shared" si="13"/>
        <v>#N/A</v>
      </c>
      <c r="V34" s="669" t="s">
        <v>14</v>
      </c>
      <c r="W34" s="670" t="e">
        <f t="shared" si="14"/>
        <v>#N/A</v>
      </c>
      <c r="X34" s="671"/>
      <c r="Y34" s="3388"/>
      <c r="Z34" s="672" t="str">
        <f t="shared" si="15"/>
        <v>项目建筑规模</v>
      </c>
      <c r="AA34" s="1263" t="e">
        <f t="shared" si="3"/>
        <v>#N/A</v>
      </c>
      <c r="AB34" s="1263" t="e">
        <f t="shared" si="4"/>
        <v>#N/A</v>
      </c>
      <c r="AC34" s="1810"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386"/>
      <c r="Q35" s="1262" t="str">
        <f t="shared" si="11"/>
        <v>建筑结构</v>
      </c>
      <c r="R35" s="667" t="s">
        <v>14</v>
      </c>
      <c r="S35" s="668">
        <f t="shared" si="12"/>
        <v>100</v>
      </c>
      <c r="T35" s="667" t="s">
        <v>14</v>
      </c>
      <c r="U35" s="668">
        <f t="shared" si="13"/>
        <v>100</v>
      </c>
      <c r="V35" s="667" t="s">
        <v>14</v>
      </c>
      <c r="W35" s="668">
        <f t="shared" si="14"/>
        <v>100</v>
      </c>
      <c r="X35" s="1264"/>
      <c r="Y35" s="3388"/>
      <c r="Z35" s="1263" t="str">
        <f t="shared" si="15"/>
        <v>建筑结构</v>
      </c>
      <c r="AA35" s="1263">
        <f t="shared" si="3"/>
        <v>1</v>
      </c>
      <c r="AB35" s="1263">
        <f t="shared" si="4"/>
        <v>1</v>
      </c>
      <c r="AC35" s="1810">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386"/>
      <c r="Q36" s="1262" t="str">
        <f t="shared" si="11"/>
        <v>公共部分装修</v>
      </c>
      <c r="R36" s="667" t="s">
        <v>14</v>
      </c>
      <c r="S36" s="668">
        <f t="shared" si="12"/>
        <v>100</v>
      </c>
      <c r="T36" s="667" t="s">
        <v>14</v>
      </c>
      <c r="U36" s="668">
        <f t="shared" si="13"/>
        <v>100</v>
      </c>
      <c r="V36" s="667" t="s">
        <v>14</v>
      </c>
      <c r="W36" s="668">
        <f t="shared" si="14"/>
        <v>100</v>
      </c>
      <c r="X36" s="1264"/>
      <c r="Y36" s="3388"/>
      <c r="Z36" s="1263" t="str">
        <f t="shared" si="15"/>
        <v>公共部分装修</v>
      </c>
      <c r="AA36" s="1263">
        <f t="shared" si="3"/>
        <v>1</v>
      </c>
      <c r="AB36" s="1263">
        <f t="shared" si="4"/>
        <v>1</v>
      </c>
      <c r="AC36" s="1810">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386"/>
      <c r="Q37" s="1262" t="str">
        <f t="shared" si="11"/>
        <v>成新度</v>
      </c>
      <c r="R37" s="667" t="s">
        <v>14</v>
      </c>
      <c r="S37" s="668" t="e">
        <f t="shared" si="12"/>
        <v>#N/A</v>
      </c>
      <c r="T37" s="667" t="s">
        <v>14</v>
      </c>
      <c r="U37" s="668" t="e">
        <f t="shared" si="13"/>
        <v>#N/A</v>
      </c>
      <c r="V37" s="667" t="s">
        <v>14</v>
      </c>
      <c r="W37" s="668" t="e">
        <f t="shared" si="14"/>
        <v>#N/A</v>
      </c>
      <c r="X37" s="1264"/>
      <c r="Y37" s="3388"/>
      <c r="Z37" s="1263" t="str">
        <f t="shared" si="15"/>
        <v>成新度</v>
      </c>
      <c r="AA37" s="1263" t="e">
        <f t="shared" si="3"/>
        <v>#N/A</v>
      </c>
      <c r="AB37" s="1263" t="e">
        <f t="shared" si="4"/>
        <v>#N/A</v>
      </c>
      <c r="AC37" s="1810"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386"/>
      <c r="Q38" s="530" t="str">
        <f t="shared" si="11"/>
        <v>写字楼等级</v>
      </c>
      <c r="R38" s="664" t="s">
        <v>14</v>
      </c>
      <c r="S38" s="665">
        <f t="shared" si="12"/>
        <v>100</v>
      </c>
      <c r="T38" s="664" t="s">
        <v>14</v>
      </c>
      <c r="U38" s="665">
        <f t="shared" si="13"/>
        <v>100</v>
      </c>
      <c r="V38" s="664" t="s">
        <v>14</v>
      </c>
      <c r="W38" s="665">
        <f t="shared" si="14"/>
        <v>100</v>
      </c>
      <c r="X38" s="666"/>
      <c r="Y38" s="3388"/>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386" t="s">
        <v>1696</v>
      </c>
      <c r="Q39" s="1262" t="str">
        <f t="shared" si="11"/>
        <v>物业管理</v>
      </c>
      <c r="R39" s="667" t="s">
        <v>14</v>
      </c>
      <c r="S39" s="668">
        <f t="shared" si="12"/>
        <v>100</v>
      </c>
      <c r="T39" s="667" t="s">
        <v>14</v>
      </c>
      <c r="U39" s="668">
        <f t="shared" si="13"/>
        <v>100</v>
      </c>
      <c r="V39" s="667" t="s">
        <v>14</v>
      </c>
      <c r="W39" s="668">
        <f t="shared" si="14"/>
        <v>100</v>
      </c>
      <c r="X39" s="1264"/>
      <c r="Y39" s="3388" t="s">
        <v>1696</v>
      </c>
      <c r="Z39" s="1263" t="str">
        <f t="shared" si="15"/>
        <v>物业管理</v>
      </c>
      <c r="AA39" s="1263">
        <f t="shared" si="3"/>
        <v>1</v>
      </c>
      <c r="AB39" s="1263">
        <f t="shared" si="4"/>
        <v>1</v>
      </c>
      <c r="AC39" s="1810">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386"/>
      <c r="Q40" s="1262" t="str">
        <f t="shared" si="11"/>
        <v>市政基础设施</v>
      </c>
      <c r="R40" s="667" t="s">
        <v>14</v>
      </c>
      <c r="S40" s="668">
        <f t="shared" si="12"/>
        <v>100</v>
      </c>
      <c r="T40" s="667" t="s">
        <v>14</v>
      </c>
      <c r="U40" s="668">
        <f t="shared" si="13"/>
        <v>100</v>
      </c>
      <c r="V40" s="667" t="s">
        <v>14</v>
      </c>
      <c r="W40" s="668">
        <f t="shared" si="14"/>
        <v>100</v>
      </c>
      <c r="X40" s="1264"/>
      <c r="Y40" s="3388"/>
      <c r="Z40" s="1263" t="str">
        <f t="shared" si="15"/>
        <v>市政基础设施</v>
      </c>
      <c r="AA40" s="1263">
        <f t="shared" si="3"/>
        <v>1</v>
      </c>
      <c r="AB40" s="1263">
        <f t="shared" si="4"/>
        <v>1</v>
      </c>
      <c r="AC40" s="1810">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386"/>
      <c r="Q41" s="1262" t="str">
        <f t="shared" si="11"/>
        <v>层高</v>
      </c>
      <c r="R41" s="667" t="s">
        <v>14</v>
      </c>
      <c r="S41" s="668">
        <f t="shared" si="12"/>
        <v>100</v>
      </c>
      <c r="T41" s="667" t="s">
        <v>14</v>
      </c>
      <c r="U41" s="668">
        <f t="shared" si="13"/>
        <v>100</v>
      </c>
      <c r="V41" s="667" t="s">
        <v>14</v>
      </c>
      <c r="W41" s="668">
        <f t="shared" si="14"/>
        <v>100</v>
      </c>
      <c r="X41" s="1264"/>
      <c r="Y41" s="3388"/>
      <c r="Z41" s="1263" t="str">
        <f t="shared" si="15"/>
        <v>层高</v>
      </c>
      <c r="AA41" s="1263">
        <f t="shared" si="3"/>
        <v>1</v>
      </c>
      <c r="AB41" s="1263">
        <f t="shared" si="4"/>
        <v>1</v>
      </c>
      <c r="AC41" s="1810">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386"/>
      <c r="Q42" s="531" t="str">
        <f t="shared" si="11"/>
        <v>单套建筑面积</v>
      </c>
      <c r="R42" s="669" t="s">
        <v>14</v>
      </c>
      <c r="S42" s="670">
        <f t="shared" si="12"/>
        <v>100</v>
      </c>
      <c r="T42" s="669" t="s">
        <v>14</v>
      </c>
      <c r="U42" s="670">
        <f t="shared" si="13"/>
        <v>100</v>
      </c>
      <c r="V42" s="669" t="s">
        <v>14</v>
      </c>
      <c r="W42" s="670">
        <f t="shared" si="14"/>
        <v>100</v>
      </c>
      <c r="X42" s="671"/>
      <c r="Y42" s="3388"/>
      <c r="Z42" s="672" t="str">
        <f t="shared" si="15"/>
        <v>单套建筑面积</v>
      </c>
      <c r="AA42" s="1263">
        <f t="shared" si="3"/>
        <v>1</v>
      </c>
      <c r="AB42" s="1263">
        <f t="shared" si="4"/>
        <v>1</v>
      </c>
      <c r="AC42" s="1810">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386"/>
      <c r="Q43" s="1262" t="str">
        <f t="shared" si="11"/>
        <v>内部装修</v>
      </c>
      <c r="R43" s="667" t="s">
        <v>14</v>
      </c>
      <c r="S43" s="668">
        <f t="shared" si="12"/>
        <v>100</v>
      </c>
      <c r="T43" s="667" t="s">
        <v>14</v>
      </c>
      <c r="U43" s="668">
        <f t="shared" si="13"/>
        <v>100</v>
      </c>
      <c r="V43" s="667" t="s">
        <v>14</v>
      </c>
      <c r="W43" s="668">
        <f t="shared" si="14"/>
        <v>100</v>
      </c>
      <c r="X43" s="1264"/>
      <c r="Y43" s="3388"/>
      <c r="Z43" s="1263" t="str">
        <f t="shared" si="15"/>
        <v>内部装修</v>
      </c>
      <c r="AA43" s="1263">
        <f t="shared" si="3"/>
        <v>1</v>
      </c>
      <c r="AB43" s="1263">
        <f t="shared" si="4"/>
        <v>1</v>
      </c>
      <c r="AC43" s="1810">
        <f t="shared" si="5"/>
        <v>1</v>
      </c>
    </row>
    <row r="44" spans="1:29" ht="15">
      <c r="A44" s="409"/>
      <c r="B44" s="364" t="s">
        <v>1707</v>
      </c>
      <c r="C44" s="399"/>
      <c r="D44" s="374">
        <v>100</v>
      </c>
      <c r="E44" s="1758"/>
      <c r="F44" s="400">
        <f>SUMIF(125:125,E44,126:126)-SUMIF(125:125,C44,126:126)+100</f>
        <v>100</v>
      </c>
      <c r="G44" s="1758"/>
      <c r="H44" s="374">
        <f>SUMIF(125:125,G44,126:126)-SUMIF(125:125,C44,126:126)+100</f>
        <v>100</v>
      </c>
      <c r="I44" s="1758"/>
      <c r="J44" s="374">
        <f>SUMIF(125:125,I44,126:126)-SUMIF(125:125,C44,126:126)+100</f>
        <v>100</v>
      </c>
      <c r="K44" s="538"/>
      <c r="L44" s="2491"/>
      <c r="M44" s="2486"/>
      <c r="N44" s="2486"/>
      <c r="O44" s="2486"/>
      <c r="P44" s="3386"/>
      <c r="Q44" s="1262" t="str">
        <f t="shared" si="11"/>
        <v>内部装修维护情况</v>
      </c>
      <c r="R44" s="667" t="s">
        <v>14</v>
      </c>
      <c r="S44" s="668">
        <f t="shared" si="12"/>
        <v>100</v>
      </c>
      <c r="T44" s="667" t="s">
        <v>14</v>
      </c>
      <c r="U44" s="668">
        <f t="shared" si="13"/>
        <v>100</v>
      </c>
      <c r="V44" s="667" t="s">
        <v>14</v>
      </c>
      <c r="W44" s="668">
        <f t="shared" si="14"/>
        <v>100</v>
      </c>
      <c r="X44" s="1264"/>
      <c r="Y44" s="3388"/>
      <c r="Z44" s="1263" t="str">
        <f t="shared" si="15"/>
        <v>内部装修维护情况</v>
      </c>
      <c r="AA44" s="1263">
        <f t="shared" si="3"/>
        <v>1</v>
      </c>
      <c r="AB44" s="1263">
        <f t="shared" si="4"/>
        <v>1</v>
      </c>
      <c r="AC44" s="1810">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386"/>
      <c r="Q45" s="530">
        <f t="shared" si="11"/>
        <v>111</v>
      </c>
      <c r="R45" s="664" t="s">
        <v>14</v>
      </c>
      <c r="S45" s="665">
        <f t="shared" si="12"/>
        <v>100</v>
      </c>
      <c r="T45" s="664" t="s">
        <v>14</v>
      </c>
      <c r="U45" s="665">
        <f t="shared" si="13"/>
        <v>100</v>
      </c>
      <c r="V45" s="664" t="s">
        <v>14</v>
      </c>
      <c r="W45" s="665">
        <f t="shared" si="14"/>
        <v>100</v>
      </c>
      <c r="X45" s="666"/>
      <c r="Y45" s="3388"/>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386"/>
      <c r="Q46" s="1262">
        <f t="shared" si="11"/>
        <v>111</v>
      </c>
      <c r="R46" s="667" t="s">
        <v>14</v>
      </c>
      <c r="S46" s="668">
        <f t="shared" si="12"/>
        <v>100</v>
      </c>
      <c r="T46" s="667" t="s">
        <v>14</v>
      </c>
      <c r="U46" s="668">
        <f t="shared" si="13"/>
        <v>100</v>
      </c>
      <c r="V46" s="667" t="s">
        <v>14</v>
      </c>
      <c r="W46" s="668">
        <f t="shared" si="14"/>
        <v>100</v>
      </c>
      <c r="X46" s="1264"/>
      <c r="Y46" s="3388"/>
      <c r="Z46" s="1263">
        <f t="shared" si="15"/>
        <v>111</v>
      </c>
      <c r="AA46" s="1263">
        <f t="shared" si="3"/>
        <v>1</v>
      </c>
      <c r="AB46" s="1263">
        <f t="shared" si="4"/>
        <v>1</v>
      </c>
      <c r="AC46" s="1810">
        <f t="shared" si="5"/>
        <v>1</v>
      </c>
    </row>
    <row r="47" spans="1:29" ht="15.75" thickBot="1">
      <c r="A47" s="415"/>
      <c r="B47" s="1747">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387"/>
      <c r="Q47" s="1262">
        <f t="shared" si="11"/>
        <v>111</v>
      </c>
      <c r="R47" s="667" t="s">
        <v>14</v>
      </c>
      <c r="S47" s="668">
        <f t="shared" si="12"/>
        <v>100</v>
      </c>
      <c r="T47" s="667" t="s">
        <v>14</v>
      </c>
      <c r="U47" s="668">
        <f t="shared" si="13"/>
        <v>100</v>
      </c>
      <c r="V47" s="667" t="s">
        <v>14</v>
      </c>
      <c r="W47" s="668">
        <f t="shared" si="14"/>
        <v>100</v>
      </c>
      <c r="X47" s="1264"/>
      <c r="Y47" s="3389"/>
      <c r="Z47" s="1263">
        <f t="shared" si="15"/>
        <v>111</v>
      </c>
      <c r="AA47" s="1263">
        <f t="shared" si="3"/>
        <v>1</v>
      </c>
      <c r="AB47" s="1263">
        <f t="shared" si="4"/>
        <v>1</v>
      </c>
      <c r="AC47" s="1810">
        <f t="shared" si="5"/>
        <v>1</v>
      </c>
    </row>
    <row r="48" spans="1:29" ht="15">
      <c r="A48" s="416" t="s">
        <v>1708</v>
      </c>
      <c r="B48" s="417"/>
      <c r="C48" s="1081" t="s">
        <v>0</v>
      </c>
      <c r="D48" s="418"/>
      <c r="E48" s="419"/>
      <c r="F48" s="420"/>
      <c r="G48" s="421"/>
      <c r="H48" s="422"/>
      <c r="I48" s="419"/>
      <c r="J48" s="422"/>
      <c r="K48" s="674"/>
      <c r="L48" s="2493"/>
      <c r="M48" s="2486"/>
      <c r="N48" s="2486"/>
      <c r="O48" s="2486"/>
      <c r="P48" s="3392" t="str">
        <f>A48</f>
        <v>成交单价（元/平方米）</v>
      </c>
      <c r="Q48" s="3381"/>
      <c r="R48" s="3382">
        <f>E48</f>
        <v>0</v>
      </c>
      <c r="S48" s="3382"/>
      <c r="T48" s="3382">
        <f>G48</f>
        <v>0</v>
      </c>
      <c r="U48" s="3382"/>
      <c r="V48" s="3382">
        <f>I48</f>
        <v>0</v>
      </c>
      <c r="W48" s="3382"/>
      <c r="X48" s="385"/>
      <c r="Y48" s="673"/>
      <c r="Z48" s="385"/>
      <c r="AA48" s="385"/>
      <c r="AB48" s="385"/>
      <c r="AC48" s="555"/>
    </row>
    <row r="49" spans="1:29" ht="15.75" thickBot="1">
      <c r="A49" s="423" t="s">
        <v>1793</v>
      </c>
      <c r="B49" s="424"/>
      <c r="C49" s="1082" t="e">
        <f>R50</f>
        <v>#DIV/0!</v>
      </c>
      <c r="D49" s="2139" t="s">
        <v>2138</v>
      </c>
      <c r="E49" s="1083" t="e">
        <f>R49</f>
        <v>#DIV/0!</v>
      </c>
      <c r="F49" s="2140"/>
      <c r="G49" s="1082" t="e">
        <f>T49</f>
        <v>#DIV/0!</v>
      </c>
      <c r="H49" s="2140"/>
      <c r="I49" s="1083" t="e">
        <f>V49</f>
        <v>#DIV/0!</v>
      </c>
      <c r="J49" s="2140"/>
      <c r="K49" s="2142">
        <f>F49+H49+J49</f>
        <v>0</v>
      </c>
      <c r="L49" s="2493"/>
      <c r="M49" s="2486"/>
      <c r="N49" s="2486"/>
      <c r="O49" s="2486"/>
      <c r="P49" s="3392" t="str">
        <f>A49</f>
        <v>比较价值（元/平方米）</v>
      </c>
      <c r="Q49" s="3381"/>
      <c r="R49" s="3382" t="e">
        <f>IF(F1="售价",ROUND(PRODUCT(R48,AA7:AA47),0),ROUND(PRODUCT(R48,AA7:AA47),1))</f>
        <v>#DIV/0!</v>
      </c>
      <c r="S49" s="3382"/>
      <c r="T49" s="3382" t="e">
        <f>IF(F1="售价",ROUND(PRODUCT(T48,AB7:AB47),0),ROUND(PRODUCT(T48,AB7:AB47),1))</f>
        <v>#DIV/0!</v>
      </c>
      <c r="U49" s="3382"/>
      <c r="V49" s="3382" t="e">
        <f>IF(F1="售价",ROUND(PRODUCT(V48,AC7:AC47),0),ROUND(PRODUCT(V48,AC7:AC47),1))</f>
        <v>#DIV/0!</v>
      </c>
      <c r="W49" s="3382"/>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3"/>
      <c r="M50" s="2486"/>
      <c r="N50" s="2486"/>
      <c r="O50" s="2486"/>
      <c r="P50" s="3424" t="str">
        <f>A50</f>
        <v>估价对象XX用房的比较价值（楼面单价，元/平方米）</v>
      </c>
      <c r="Q50" s="3425"/>
      <c r="R50" s="3426" t="e">
        <f>IF(F1="售价",ROUND(IF(D49="简单平均",AVERAGE(R49:V49),R49*F49+T49*H49+V49*J49),0),ROUND(IF(D49="简单平均",AVERAGE(R49:V49),R49*F49+T49*H49+V49*J49),1))</f>
        <v>#DIV/0!</v>
      </c>
      <c r="S50" s="3426"/>
      <c r="T50" s="3426"/>
      <c r="U50" s="3426"/>
      <c r="V50" s="3426"/>
      <c r="W50" s="3426"/>
      <c r="X50" s="1796"/>
      <c r="Y50" s="1796"/>
      <c r="Z50" s="1796"/>
      <c r="AA50" s="1796"/>
      <c r="AB50" s="1796"/>
      <c r="AC50" s="1797"/>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2" t="str">
        <f>YEAR(C7)&amp;"-"&amp;MONTH(C7)</f>
        <v>2024-1</v>
      </c>
      <c r="D59" s="1103">
        <f>EDATE(C59,-1)</f>
        <v>45261</v>
      </c>
      <c r="E59" s="1103">
        <f>EDATE(D59,-1)</f>
        <v>45231</v>
      </c>
      <c r="F59" s="1103">
        <f t="shared" ref="F59:O59" si="16">EDATE(E59,-1)</f>
        <v>45200</v>
      </c>
      <c r="G59" s="1103">
        <f t="shared" si="16"/>
        <v>45170</v>
      </c>
      <c r="H59" s="1103">
        <f t="shared" si="16"/>
        <v>45139</v>
      </c>
      <c r="I59" s="1103">
        <f t="shared" si="16"/>
        <v>45108</v>
      </c>
      <c r="J59" s="1103">
        <f t="shared" si="16"/>
        <v>45078</v>
      </c>
      <c r="K59" s="1103">
        <f t="shared" si="16"/>
        <v>45047</v>
      </c>
      <c r="L59" s="1103">
        <f t="shared" si="16"/>
        <v>45017</v>
      </c>
      <c r="M59" s="1103">
        <f t="shared" si="16"/>
        <v>44986</v>
      </c>
      <c r="N59" s="1103">
        <f t="shared" si="16"/>
        <v>44958</v>
      </c>
      <c r="O59" s="1103">
        <f t="shared" si="16"/>
        <v>44927</v>
      </c>
      <c r="P59" s="2526"/>
      <c r="Q59" s="2509"/>
      <c r="R59" s="2509"/>
      <c r="S59" s="2509"/>
      <c r="T59" s="2509"/>
      <c r="U59" s="2509"/>
      <c r="V59" s="2509"/>
      <c r="W59" s="2509"/>
      <c r="X59" s="2509"/>
      <c r="Y59" s="2509"/>
      <c r="Z59" s="2509"/>
      <c r="AA59" s="2509"/>
      <c r="AB59" s="2509"/>
      <c r="AC59" s="2509"/>
    </row>
    <row r="60" spans="1:29" s="102" customFormat="1" ht="15">
      <c r="A60" s="443"/>
      <c r="B60" s="444"/>
      <c r="C60" s="1101">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485"/>
      <c r="D87" s="485"/>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78"/>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4"/>
      <c r="M119" s="1815"/>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M9" sqref="M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6" t="s">
        <v>1826</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44.28</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96" t="s">
        <v>1770</v>
      </c>
      <c r="D4" s="3397"/>
      <c r="E4" s="3398" t="s">
        <v>1771</v>
      </c>
      <c r="F4" s="3399"/>
      <c r="G4" s="3396" t="s">
        <v>1772</v>
      </c>
      <c r="H4" s="3397"/>
      <c r="I4" s="3396" t="s">
        <v>1773</v>
      </c>
      <c r="J4" s="3397"/>
      <c r="K4" s="537" t="s">
        <v>1774</v>
      </c>
      <c r="L4" s="860"/>
      <c r="M4" s="861"/>
      <c r="N4" s="861"/>
      <c r="O4" s="861"/>
      <c r="P4" s="3400" t="s">
        <v>1775</v>
      </c>
      <c r="Q4" s="3401"/>
      <c r="R4" s="3406" t="s">
        <v>1771</v>
      </c>
      <c r="S4" s="3407"/>
      <c r="T4" s="3406" t="s">
        <v>1772</v>
      </c>
      <c r="U4" s="3407"/>
      <c r="V4" s="3382" t="s">
        <v>1773</v>
      </c>
      <c r="W4" s="3382"/>
      <c r="X4" s="1264"/>
      <c r="Y4" s="3406" t="s">
        <v>1775</v>
      </c>
      <c r="Z4" s="3407"/>
      <c r="AA4" s="3393" t="s">
        <v>1771</v>
      </c>
      <c r="AB4" s="3394" t="s">
        <v>1772</v>
      </c>
      <c r="AC4" s="3393" t="s">
        <v>1773</v>
      </c>
    </row>
    <row r="5" spans="1:29" ht="15">
      <c r="A5" s="348"/>
      <c r="B5" s="349"/>
      <c r="C5" s="3421" t="s">
        <v>1673</v>
      </c>
      <c r="D5" s="3422"/>
      <c r="E5" s="3423" t="s">
        <v>1674</v>
      </c>
      <c r="F5" s="3415"/>
      <c r="G5" s="3421" t="s">
        <v>1675</v>
      </c>
      <c r="H5" s="3422"/>
      <c r="I5" s="3421" t="s">
        <v>1676</v>
      </c>
      <c r="J5" s="3422"/>
      <c r="K5" s="537"/>
      <c r="L5" s="860"/>
      <c r="M5" s="861"/>
      <c r="N5" s="861"/>
      <c r="O5" s="861"/>
      <c r="P5" s="3402"/>
      <c r="Q5" s="3403"/>
      <c r="R5" s="3408"/>
      <c r="S5" s="3409"/>
      <c r="T5" s="3408"/>
      <c r="U5" s="3409"/>
      <c r="V5" s="3382"/>
      <c r="W5" s="3382"/>
      <c r="X5" s="1264"/>
      <c r="Y5" s="3408"/>
      <c r="Z5" s="3409"/>
      <c r="AA5" s="3394"/>
      <c r="AB5" s="3394"/>
      <c r="AC5" s="3394"/>
    </row>
    <row r="6" spans="1:29" ht="15.75" thickBot="1">
      <c r="A6" s="350"/>
      <c r="B6" s="351"/>
      <c r="C6" s="3412" t="s">
        <v>1677</v>
      </c>
      <c r="D6" s="3413"/>
      <c r="E6" s="3419" t="s">
        <v>1677</v>
      </c>
      <c r="F6" s="3420"/>
      <c r="G6" s="3412" t="s">
        <v>1677</v>
      </c>
      <c r="H6" s="3413"/>
      <c r="I6" s="3412" t="s">
        <v>1677</v>
      </c>
      <c r="J6" s="3413"/>
      <c r="K6" s="537" t="s">
        <v>1678</v>
      </c>
      <c r="L6" s="860"/>
      <c r="M6" s="861"/>
      <c r="N6" s="861"/>
      <c r="O6" s="861"/>
      <c r="P6" s="3404"/>
      <c r="Q6" s="3405"/>
      <c r="R6" s="3408"/>
      <c r="S6" s="3409"/>
      <c r="T6" s="3410"/>
      <c r="U6" s="3411"/>
      <c r="V6" s="3382"/>
      <c r="W6" s="3382"/>
      <c r="X6" s="1264"/>
      <c r="Y6" s="3410"/>
      <c r="Z6" s="3411"/>
      <c r="AA6" s="3395"/>
      <c r="AB6" s="3395"/>
      <c r="AC6" s="3395"/>
    </row>
    <row r="7" spans="1:29" s="102" customFormat="1" ht="15.75" thickBot="1">
      <c r="A7" s="352" t="s">
        <v>1679</v>
      </c>
      <c r="B7" s="353"/>
      <c r="C7" s="354">
        <f>'数据-取费表'!B2</f>
        <v>45301</v>
      </c>
      <c r="D7" s="355">
        <v>100</v>
      </c>
      <c r="E7" s="356"/>
      <c r="F7" s="357">
        <f>SUMIF(52:52,YEAR(E7)&amp;"-"&amp;MONTH(E7),53:53)</f>
        <v>0</v>
      </c>
      <c r="G7" s="356"/>
      <c r="H7" s="355">
        <f>SUMIF(52:52,YEAR(G7)&amp;"-"&amp;MONTH(G7),53:53)</f>
        <v>0</v>
      </c>
      <c r="I7" s="356"/>
      <c r="J7" s="355">
        <f>SUMIF(52:52,YEAR(I7)&amp;"-"&amp;MONTH(I7),53:53)</f>
        <v>0</v>
      </c>
      <c r="K7" s="38"/>
      <c r="L7" s="862"/>
      <c r="M7" s="863"/>
      <c r="N7" s="863"/>
      <c r="O7" s="863"/>
      <c r="P7" s="3416" t="s">
        <v>1680</v>
      </c>
      <c r="Q7" s="3418"/>
      <c r="R7" s="664" t="s">
        <v>14</v>
      </c>
      <c r="S7" s="665">
        <f t="shared" ref="S7:S15" si="0">F7</f>
        <v>0</v>
      </c>
      <c r="T7" s="664" t="s">
        <v>14</v>
      </c>
      <c r="U7" s="665">
        <f t="shared" ref="U7:U15" si="1">H7</f>
        <v>0</v>
      </c>
      <c r="V7" s="664" t="s">
        <v>14</v>
      </c>
      <c r="W7" s="665">
        <f t="shared" ref="W7:W15" si="2">J7</f>
        <v>0</v>
      </c>
      <c r="X7" s="666"/>
      <c r="Y7" s="3416" t="s">
        <v>1680</v>
      </c>
      <c r="Z7" s="3417"/>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16" t="s">
        <v>1683</v>
      </c>
      <c r="Q8" s="3417"/>
      <c r="R8" s="664" t="s">
        <v>14</v>
      </c>
      <c r="S8" s="665">
        <f t="shared" si="0"/>
        <v>100</v>
      </c>
      <c r="T8" s="664" t="s">
        <v>14</v>
      </c>
      <c r="U8" s="665">
        <f t="shared" si="1"/>
        <v>100</v>
      </c>
      <c r="V8" s="664" t="s">
        <v>14</v>
      </c>
      <c r="W8" s="665">
        <f t="shared" si="2"/>
        <v>100</v>
      </c>
      <c r="X8" s="666"/>
      <c r="Y8" s="3416" t="s">
        <v>1683</v>
      </c>
      <c r="Z8" s="3417"/>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81" t="s">
        <v>1686</v>
      </c>
      <c r="Q9" s="530" t="str">
        <f t="shared" ref="Q9:Q15" si="6">B9</f>
        <v>用途</v>
      </c>
      <c r="R9" s="664" t="s">
        <v>14</v>
      </c>
      <c r="S9" s="665">
        <f t="shared" si="0"/>
        <v>100</v>
      </c>
      <c r="T9" s="664" t="s">
        <v>14</v>
      </c>
      <c r="U9" s="665">
        <f t="shared" si="1"/>
        <v>100</v>
      </c>
      <c r="V9" s="664" t="s">
        <v>14</v>
      </c>
      <c r="W9" s="665">
        <f t="shared" si="2"/>
        <v>100</v>
      </c>
      <c r="X9" s="666"/>
      <c r="Y9" s="3256"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381"/>
      <c r="Q10" s="530" t="str">
        <f t="shared" si="6"/>
        <v>土地使用年限（年）</v>
      </c>
      <c r="R10" s="664" t="s">
        <v>14</v>
      </c>
      <c r="S10" s="665">
        <f t="shared" si="0"/>
        <v>100</v>
      </c>
      <c r="T10" s="664" t="s">
        <v>14</v>
      </c>
      <c r="U10" s="665">
        <f t="shared" si="1"/>
        <v>100</v>
      </c>
      <c r="V10" s="664" t="s">
        <v>14</v>
      </c>
      <c r="W10" s="665">
        <f t="shared" si="2"/>
        <v>100</v>
      </c>
      <c r="X10" s="666"/>
      <c r="Y10" s="3256"/>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81"/>
      <c r="Q11" s="530" t="str">
        <f t="shared" si="6"/>
        <v>容积率</v>
      </c>
      <c r="R11" s="664" t="s">
        <v>14</v>
      </c>
      <c r="S11" s="665">
        <f t="shared" si="0"/>
        <v>100</v>
      </c>
      <c r="T11" s="664" t="s">
        <v>14</v>
      </c>
      <c r="U11" s="665">
        <f t="shared" si="1"/>
        <v>100</v>
      </c>
      <c r="V11" s="664" t="s">
        <v>14</v>
      </c>
      <c r="W11" s="665">
        <f t="shared" si="2"/>
        <v>100</v>
      </c>
      <c r="X11" s="666"/>
      <c r="Y11" s="3256"/>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2"/>
      <c r="M12" s="863"/>
      <c r="N12" s="863"/>
      <c r="O12" s="864"/>
      <c r="P12" s="3381"/>
      <c r="Q12" s="530">
        <f t="shared" si="6"/>
        <v>111</v>
      </c>
      <c r="R12" s="664" t="s">
        <v>14</v>
      </c>
      <c r="S12" s="665">
        <f t="shared" si="0"/>
        <v>100</v>
      </c>
      <c r="T12" s="664" t="s">
        <v>14</v>
      </c>
      <c r="U12" s="665">
        <f t="shared" si="1"/>
        <v>100</v>
      </c>
      <c r="V12" s="664" t="s">
        <v>14</v>
      </c>
      <c r="W12" s="665">
        <f t="shared" si="2"/>
        <v>100</v>
      </c>
      <c r="X12" s="666"/>
      <c r="Y12" s="3256"/>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70"/>
      <c r="M13" s="861"/>
      <c r="N13" s="861"/>
      <c r="O13" s="869"/>
      <c r="P13" s="3381"/>
      <c r="Q13" s="530">
        <f t="shared" si="6"/>
        <v>111</v>
      </c>
      <c r="R13" s="664" t="s">
        <v>14</v>
      </c>
      <c r="S13" s="665">
        <f t="shared" si="0"/>
        <v>100</v>
      </c>
      <c r="T13" s="664" t="s">
        <v>14</v>
      </c>
      <c r="U13" s="665">
        <f t="shared" si="1"/>
        <v>100</v>
      </c>
      <c r="V13" s="664" t="s">
        <v>14</v>
      </c>
      <c r="W13" s="665">
        <f t="shared" si="2"/>
        <v>100</v>
      </c>
      <c r="X13" s="666"/>
      <c r="Y13" s="3256"/>
      <c r="Z13" s="50">
        <f t="shared" si="7"/>
        <v>111</v>
      </c>
      <c r="AA13" s="50">
        <f t="shared" si="3"/>
        <v>1</v>
      </c>
      <c r="AB13" s="50">
        <f t="shared" si="4"/>
        <v>1</v>
      </c>
      <c r="AC13" s="50">
        <f t="shared" si="5"/>
        <v>1</v>
      </c>
    </row>
    <row r="14" spans="1:29" ht="15.75" thickBot="1">
      <c r="A14" s="375"/>
      <c r="B14" s="1747">
        <v>111</v>
      </c>
      <c r="C14" s="376"/>
      <c r="D14" s="377">
        <v>100</v>
      </c>
      <c r="E14" s="376"/>
      <c r="F14" s="377">
        <f>SUMIF(68:68,E14,69:69)-SUMIF(68:68,C14,69:69)+100</f>
        <v>100</v>
      </c>
      <c r="G14" s="1816"/>
      <c r="H14" s="377">
        <f>SUMIF(68:68,G14,69:69)-SUMIF(68:68,C14,69:69)+100</f>
        <v>100</v>
      </c>
      <c r="I14" s="407"/>
      <c r="J14" s="377">
        <f>SUMIF(68:68,I14,69:69)-SUMIF(68:68,C14,69:69)+100</f>
        <v>100</v>
      </c>
      <c r="K14" s="539"/>
      <c r="L14" s="870"/>
      <c r="M14" s="861"/>
      <c r="N14" s="861"/>
      <c r="O14" s="869"/>
      <c r="P14" s="3381"/>
      <c r="Q14" s="530">
        <f t="shared" si="6"/>
        <v>111</v>
      </c>
      <c r="R14" s="664" t="s">
        <v>14</v>
      </c>
      <c r="S14" s="665">
        <f t="shared" si="0"/>
        <v>100</v>
      </c>
      <c r="T14" s="664" t="s">
        <v>14</v>
      </c>
      <c r="U14" s="665">
        <f t="shared" si="1"/>
        <v>100</v>
      </c>
      <c r="V14" s="664" t="s">
        <v>14</v>
      </c>
      <c r="W14" s="665">
        <f t="shared" si="2"/>
        <v>100</v>
      </c>
      <c r="X14" s="666"/>
      <c r="Y14" s="3256"/>
      <c r="Z14" s="50">
        <f t="shared" si="7"/>
        <v>111</v>
      </c>
      <c r="AA14" s="50">
        <f t="shared" si="3"/>
        <v>1</v>
      </c>
      <c r="AB14" s="50">
        <f t="shared" si="4"/>
        <v>1</v>
      </c>
      <c r="AC14" s="50">
        <f t="shared" si="5"/>
        <v>1</v>
      </c>
    </row>
    <row r="15" spans="1:29" ht="57">
      <c r="A15" s="379" t="s">
        <v>1690</v>
      </c>
      <c r="B15" s="58" t="s">
        <v>1827</v>
      </c>
      <c r="C15" s="1817"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83" t="s">
        <v>1691</v>
      </c>
      <c r="Q15" s="1262" t="str">
        <f t="shared" si="6"/>
        <v>产业集聚程度</v>
      </c>
      <c r="R15" s="667" t="s">
        <v>14</v>
      </c>
      <c r="S15" s="668">
        <f t="shared" si="0"/>
        <v>100</v>
      </c>
      <c r="T15" s="667" t="s">
        <v>14</v>
      </c>
      <c r="U15" s="668">
        <f t="shared" si="1"/>
        <v>100</v>
      </c>
      <c r="V15" s="667" t="s">
        <v>14</v>
      </c>
      <c r="W15" s="668">
        <f t="shared" si="2"/>
        <v>100</v>
      </c>
      <c r="X15" s="1264"/>
      <c r="Y15" s="3383"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70"/>
      <c r="M16" s="861"/>
      <c r="N16" s="861"/>
      <c r="O16" s="869"/>
      <c r="P16" s="3384"/>
      <c r="Q16" s="1262"/>
      <c r="R16" s="667"/>
      <c r="S16" s="668"/>
      <c r="T16" s="667"/>
      <c r="U16" s="668"/>
      <c r="V16" s="667"/>
      <c r="W16" s="668"/>
      <c r="X16" s="1264"/>
      <c r="Y16" s="3384"/>
      <c r="Z16" s="1263"/>
      <c r="AA16" s="1263">
        <v>1</v>
      </c>
      <c r="AB16" s="1263">
        <v>1</v>
      </c>
      <c r="AC16" s="1263">
        <v>1</v>
      </c>
    </row>
    <row r="17" spans="1:29" ht="85.5">
      <c r="A17" s="367"/>
      <c r="B17" s="390" t="s">
        <v>1259</v>
      </c>
      <c r="C17" s="1752"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84"/>
      <c r="Q17" s="1262" t="str">
        <f>B17</f>
        <v>交通便捷度</v>
      </c>
      <c r="R17" s="667" t="s">
        <v>14</v>
      </c>
      <c r="S17" s="668">
        <f>F17</f>
        <v>100</v>
      </c>
      <c r="T17" s="667" t="s">
        <v>14</v>
      </c>
      <c r="U17" s="668">
        <f>H17</f>
        <v>100</v>
      </c>
      <c r="V17" s="667" t="s">
        <v>14</v>
      </c>
      <c r="W17" s="668">
        <f>J17</f>
        <v>100</v>
      </c>
      <c r="X17" s="1264"/>
      <c r="Y17" s="3384"/>
      <c r="Z17" s="1263" t="str">
        <f>Q17</f>
        <v>交通便捷度</v>
      </c>
      <c r="AA17" s="1263">
        <f t="shared" si="3"/>
        <v>1</v>
      </c>
      <c r="AB17" s="1263">
        <f t="shared" si="4"/>
        <v>1</v>
      </c>
      <c r="AC17" s="1263">
        <f t="shared" si="5"/>
        <v>1</v>
      </c>
    </row>
    <row r="18" spans="1:29" ht="15">
      <c r="A18" s="367"/>
      <c r="B18" s="395"/>
      <c r="C18" s="1753"/>
      <c r="D18" s="389"/>
      <c r="E18" s="1755"/>
      <c r="F18" s="392"/>
      <c r="G18" s="1754"/>
      <c r="H18" s="387"/>
      <c r="I18" s="1755"/>
      <c r="J18" s="387"/>
      <c r="K18" s="541"/>
      <c r="L18" s="870"/>
      <c r="M18" s="861"/>
      <c r="N18" s="861"/>
      <c r="O18" s="869"/>
      <c r="P18" s="3384"/>
      <c r="Q18" s="1262"/>
      <c r="R18" s="667"/>
      <c r="S18" s="668"/>
      <c r="T18" s="667"/>
      <c r="U18" s="668"/>
      <c r="V18" s="667"/>
      <c r="W18" s="668"/>
      <c r="X18" s="1264"/>
      <c r="Y18" s="3384"/>
      <c r="Z18" s="1263"/>
      <c r="AA18" s="1263">
        <v>1</v>
      </c>
      <c r="AB18" s="1263">
        <v>1</v>
      </c>
      <c r="AC18" s="1263">
        <v>1</v>
      </c>
    </row>
    <row r="19" spans="1:29" ht="42.75">
      <c r="A19" s="367"/>
      <c r="B19" s="390" t="s">
        <v>1812</v>
      </c>
      <c r="C19" s="1752"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84"/>
      <c r="Q19" s="1262" t="str">
        <f>B19</f>
        <v>公共配套设施</v>
      </c>
      <c r="R19" s="667" t="s">
        <v>14</v>
      </c>
      <c r="S19" s="668">
        <f>F19</f>
        <v>100</v>
      </c>
      <c r="T19" s="667" t="s">
        <v>14</v>
      </c>
      <c r="U19" s="668">
        <f>H19</f>
        <v>100</v>
      </c>
      <c r="V19" s="667" t="s">
        <v>14</v>
      </c>
      <c r="W19" s="668">
        <f>J19</f>
        <v>100</v>
      </c>
      <c r="X19" s="1264"/>
      <c r="Y19" s="3384"/>
      <c r="Z19" s="1263" t="str">
        <f>Q19</f>
        <v>公共配套设施</v>
      </c>
      <c r="AA19" s="1263">
        <f t="shared" si="3"/>
        <v>1</v>
      </c>
      <c r="AB19" s="1263">
        <f t="shared" si="4"/>
        <v>1</v>
      </c>
      <c r="AC19" s="1263">
        <f t="shared" si="5"/>
        <v>1</v>
      </c>
    </row>
    <row r="20" spans="1:29" ht="15">
      <c r="A20" s="367"/>
      <c r="B20" s="395"/>
      <c r="C20" s="386"/>
      <c r="D20" s="387"/>
      <c r="E20" s="1750"/>
      <c r="F20" s="388"/>
      <c r="G20" s="1749"/>
      <c r="H20" s="387"/>
      <c r="I20" s="1750"/>
      <c r="J20" s="387"/>
      <c r="K20" s="541"/>
      <c r="L20" s="870"/>
      <c r="M20" s="861"/>
      <c r="N20" s="861"/>
      <c r="O20" s="869"/>
      <c r="P20" s="3384"/>
      <c r="Q20" s="1262"/>
      <c r="R20" s="667"/>
      <c r="S20" s="668"/>
      <c r="T20" s="667"/>
      <c r="U20" s="668"/>
      <c r="V20" s="667"/>
      <c r="W20" s="668"/>
      <c r="X20" s="1264"/>
      <c r="Y20" s="3384"/>
      <c r="Z20" s="1263"/>
      <c r="AA20" s="1263">
        <v>1</v>
      </c>
      <c r="AB20" s="1263">
        <v>1</v>
      </c>
      <c r="AC20" s="1263">
        <v>1</v>
      </c>
    </row>
    <row r="21" spans="1:29" ht="28.5">
      <c r="A21" s="367"/>
      <c r="B21" s="586" t="s">
        <v>1813</v>
      </c>
      <c r="C21" s="1752"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84"/>
      <c r="Q21" s="1262" t="str">
        <f>B21</f>
        <v>基础设施水平</v>
      </c>
      <c r="R21" s="667" t="s">
        <v>14</v>
      </c>
      <c r="S21" s="668">
        <f>F21</f>
        <v>100</v>
      </c>
      <c r="T21" s="667" t="s">
        <v>14</v>
      </c>
      <c r="U21" s="668">
        <f>H21</f>
        <v>100</v>
      </c>
      <c r="V21" s="667" t="s">
        <v>14</v>
      </c>
      <c r="W21" s="668">
        <f>J21</f>
        <v>100</v>
      </c>
      <c r="X21" s="1264"/>
      <c r="Y21" s="3384"/>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8"/>
      <c r="G22" s="386"/>
      <c r="H22" s="387"/>
      <c r="I22" s="386"/>
      <c r="J22" s="387"/>
      <c r="K22" s="1064"/>
      <c r="L22" s="870"/>
      <c r="M22" s="861"/>
      <c r="N22" s="861"/>
      <c r="O22" s="869"/>
      <c r="P22" s="3384"/>
      <c r="Q22" s="1262"/>
      <c r="R22" s="667"/>
      <c r="S22" s="668"/>
      <c r="T22" s="667"/>
      <c r="U22" s="668"/>
      <c r="V22" s="667"/>
      <c r="W22" s="668"/>
      <c r="X22" s="1264"/>
      <c r="Y22" s="3384"/>
      <c r="Z22" s="1263"/>
      <c r="AA22" s="1263">
        <v>1</v>
      </c>
      <c r="AB22" s="1263">
        <v>1</v>
      </c>
      <c r="AC22" s="1263">
        <v>1</v>
      </c>
    </row>
    <row r="23" spans="1:29" ht="71.25">
      <c r="A23" s="367"/>
      <c r="B23" s="390" t="s">
        <v>1814</v>
      </c>
      <c r="C23" s="1752"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84"/>
      <c r="Q23" s="1262" t="str">
        <f>B23</f>
        <v>环境质量</v>
      </c>
      <c r="R23" s="667" t="s">
        <v>14</v>
      </c>
      <c r="S23" s="668">
        <f>F23</f>
        <v>100</v>
      </c>
      <c r="T23" s="667" t="s">
        <v>14</v>
      </c>
      <c r="U23" s="668">
        <f>H23</f>
        <v>100</v>
      </c>
      <c r="V23" s="667" t="s">
        <v>14</v>
      </c>
      <c r="W23" s="668">
        <f>J23</f>
        <v>100</v>
      </c>
      <c r="X23" s="1264"/>
      <c r="Y23" s="3384"/>
      <c r="Z23" s="1263" t="str">
        <f>Q23</f>
        <v>环境质量</v>
      </c>
      <c r="AA23" s="1263">
        <f t="shared" si="3"/>
        <v>1</v>
      </c>
      <c r="AB23" s="1263">
        <f t="shared" si="4"/>
        <v>1</v>
      </c>
      <c r="AC23" s="1263">
        <f t="shared" si="5"/>
        <v>1</v>
      </c>
    </row>
    <row r="24" spans="1:29" ht="15">
      <c r="A24" s="367"/>
      <c r="B24" s="586"/>
      <c r="C24" s="386"/>
      <c r="D24" s="387"/>
      <c r="E24" s="1750"/>
      <c r="F24" s="388"/>
      <c r="G24" s="1749"/>
      <c r="H24" s="387"/>
      <c r="I24" s="1750"/>
      <c r="J24" s="387"/>
      <c r="K24" s="541"/>
      <c r="L24" s="870"/>
      <c r="M24" s="861"/>
      <c r="N24" s="861"/>
      <c r="O24" s="869"/>
      <c r="P24" s="3384"/>
      <c r="Q24" s="1262"/>
      <c r="R24" s="667"/>
      <c r="S24" s="668"/>
      <c r="T24" s="667"/>
      <c r="U24" s="668"/>
      <c r="V24" s="667"/>
      <c r="W24" s="668"/>
      <c r="X24" s="1264"/>
      <c r="Y24" s="3384"/>
      <c r="Z24" s="1263"/>
      <c r="AA24" s="1263">
        <v>1</v>
      </c>
      <c r="AB24" s="1263">
        <v>1</v>
      </c>
      <c r="AC24" s="1263">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84"/>
      <c r="Q25" s="1262">
        <f>B25</f>
        <v>111</v>
      </c>
      <c r="R25" s="667" t="s">
        <v>14</v>
      </c>
      <c r="S25" s="668">
        <f>F25</f>
        <v>100</v>
      </c>
      <c r="T25" s="667" t="s">
        <v>14</v>
      </c>
      <c r="U25" s="668">
        <f>H25</f>
        <v>100</v>
      </c>
      <c r="V25" s="667" t="s">
        <v>14</v>
      </c>
      <c r="W25" s="668">
        <f>J25</f>
        <v>100</v>
      </c>
      <c r="X25" s="1264"/>
      <c r="Y25" s="3384"/>
      <c r="Z25" s="1263">
        <f>Q25</f>
        <v>111</v>
      </c>
      <c r="AA25" s="1263">
        <f t="shared" si="3"/>
        <v>1</v>
      </c>
      <c r="AB25" s="1263">
        <f t="shared" si="4"/>
        <v>1</v>
      </c>
      <c r="AC25" s="1263">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84"/>
      <c r="Q26" s="1262">
        <f t="shared" ref="Q26:Q40" si="11">B26</f>
        <v>111</v>
      </c>
      <c r="R26" s="667" t="s">
        <v>14</v>
      </c>
      <c r="S26" s="668">
        <f>F26</f>
        <v>100</v>
      </c>
      <c r="T26" s="667" t="s">
        <v>14</v>
      </c>
      <c r="U26" s="668">
        <f>H26</f>
        <v>100</v>
      </c>
      <c r="V26" s="667" t="s">
        <v>14</v>
      </c>
      <c r="W26" s="668">
        <f>J26</f>
        <v>100</v>
      </c>
      <c r="X26" s="1264"/>
      <c r="Y26" s="3384"/>
      <c r="Z26" s="1263">
        <f>Q26</f>
        <v>111</v>
      </c>
      <c r="AA26" s="1263">
        <f t="shared" si="3"/>
        <v>1</v>
      </c>
      <c r="AB26" s="1263">
        <f t="shared" si="4"/>
        <v>1</v>
      </c>
      <c r="AC26" s="1263">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84"/>
      <c r="Q27" s="530">
        <f t="shared" si="11"/>
        <v>111</v>
      </c>
      <c r="R27" s="664" t="s">
        <v>14</v>
      </c>
      <c r="S27" s="665">
        <f>F27</f>
        <v>100</v>
      </c>
      <c r="T27" s="664" t="s">
        <v>14</v>
      </c>
      <c r="U27" s="665">
        <f>H27</f>
        <v>100</v>
      </c>
      <c r="V27" s="664" t="s">
        <v>14</v>
      </c>
      <c r="W27" s="665">
        <f>J27</f>
        <v>100</v>
      </c>
      <c r="X27" s="666"/>
      <c r="Y27" s="3384"/>
      <c r="Z27" s="50">
        <f>Q27</f>
        <v>111</v>
      </c>
      <c r="AA27" s="1263">
        <f>D27/F27</f>
        <v>1</v>
      </c>
      <c r="AB27" s="1263">
        <f>D27/H27</f>
        <v>1</v>
      </c>
      <c r="AC27" s="1263">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84"/>
      <c r="Q28" s="1262">
        <f t="shared" si="11"/>
        <v>111</v>
      </c>
      <c r="R28" s="667" t="s">
        <v>14</v>
      </c>
      <c r="S28" s="668">
        <f t="shared" ref="S28:S40" si="12">F28</f>
        <v>100</v>
      </c>
      <c r="T28" s="667" t="s">
        <v>14</v>
      </c>
      <c r="U28" s="668">
        <f t="shared" ref="U28:U40" si="13">H28</f>
        <v>100</v>
      </c>
      <c r="V28" s="667" t="s">
        <v>14</v>
      </c>
      <c r="W28" s="668">
        <f t="shared" ref="W28:W40" si="14">J28</f>
        <v>100</v>
      </c>
      <c r="X28" s="1264"/>
      <c r="Y28" s="3384"/>
      <c r="Z28" s="1263">
        <f t="shared" ref="Z28:Z40" si="15">Q28</f>
        <v>111</v>
      </c>
      <c r="AA28" s="1263">
        <f t="shared" si="3"/>
        <v>1</v>
      </c>
      <c r="AB28" s="1263">
        <f t="shared" si="4"/>
        <v>1</v>
      </c>
      <c r="AC28" s="1263">
        <f t="shared" si="5"/>
        <v>1</v>
      </c>
    </row>
    <row r="29" spans="1:29" ht="28.5">
      <c r="A29" s="404" t="s">
        <v>1694</v>
      </c>
      <c r="B29" s="60" t="s">
        <v>1817</v>
      </c>
      <c r="C29" s="1762"/>
      <c r="D29" s="405">
        <v>100</v>
      </c>
      <c r="E29" s="1762"/>
      <c r="F29" s="400">
        <f>SUMIF(88:88,E29,89:89)-SUMIF(88:88,C29,89:89)+100</f>
        <v>100</v>
      </c>
      <c r="G29" s="1762"/>
      <c r="H29" s="374">
        <f>SUMIF(88:88,G29,89:89)-SUMIF(88:88,C29,89:89)+100</f>
        <v>100</v>
      </c>
      <c r="I29" s="1762"/>
      <c r="J29" s="405">
        <f>SUMIF(88:88,I29,89:89)-SUMIF(88:88,C29,89:89)+100</f>
        <v>100</v>
      </c>
      <c r="K29" s="538"/>
      <c r="L29" s="870"/>
      <c r="M29" s="861"/>
      <c r="N29" s="861"/>
      <c r="O29" s="869"/>
      <c r="P29" s="3439" t="s">
        <v>1696</v>
      </c>
      <c r="Q29" s="1262" t="str">
        <f t="shared" si="11"/>
        <v>建筑类型</v>
      </c>
      <c r="R29" s="667" t="s">
        <v>14</v>
      </c>
      <c r="S29" s="668">
        <f t="shared" si="12"/>
        <v>100</v>
      </c>
      <c r="T29" s="667" t="s">
        <v>14</v>
      </c>
      <c r="U29" s="668">
        <f t="shared" si="13"/>
        <v>100</v>
      </c>
      <c r="V29" s="667" t="s">
        <v>14</v>
      </c>
      <c r="W29" s="668">
        <f t="shared" si="14"/>
        <v>100</v>
      </c>
      <c r="X29" s="1264"/>
      <c r="Y29" s="3388"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88"/>
      <c r="Q30" s="531" t="str">
        <f t="shared" si="11"/>
        <v>项目建筑规模</v>
      </c>
      <c r="R30" s="669" t="s">
        <v>14</v>
      </c>
      <c r="S30" s="670" t="e">
        <f t="shared" si="12"/>
        <v>#N/A</v>
      </c>
      <c r="T30" s="669" t="s">
        <v>14</v>
      </c>
      <c r="U30" s="670" t="e">
        <f t="shared" si="13"/>
        <v>#N/A</v>
      </c>
      <c r="V30" s="669" t="s">
        <v>14</v>
      </c>
      <c r="W30" s="670" t="e">
        <f t="shared" si="14"/>
        <v>#N/A</v>
      </c>
      <c r="X30" s="671"/>
      <c r="Y30" s="3388"/>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88"/>
      <c r="Q31" s="1262" t="str">
        <f t="shared" si="11"/>
        <v>建筑结构</v>
      </c>
      <c r="R31" s="667" t="s">
        <v>14</v>
      </c>
      <c r="S31" s="668">
        <f t="shared" si="12"/>
        <v>100</v>
      </c>
      <c r="T31" s="667" t="s">
        <v>14</v>
      </c>
      <c r="U31" s="668">
        <f t="shared" si="13"/>
        <v>100</v>
      </c>
      <c r="V31" s="667" t="s">
        <v>14</v>
      </c>
      <c r="W31" s="668">
        <f t="shared" si="14"/>
        <v>100</v>
      </c>
      <c r="X31" s="1264"/>
      <c r="Y31" s="3388"/>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88"/>
      <c r="Q32" s="1262" t="str">
        <f t="shared" si="11"/>
        <v>公共部分装修</v>
      </c>
      <c r="R32" s="667" t="s">
        <v>14</v>
      </c>
      <c r="S32" s="668">
        <f t="shared" si="12"/>
        <v>100</v>
      </c>
      <c r="T32" s="667" t="s">
        <v>14</v>
      </c>
      <c r="U32" s="668">
        <f t="shared" si="13"/>
        <v>100</v>
      </c>
      <c r="V32" s="667" t="s">
        <v>14</v>
      </c>
      <c r="W32" s="668">
        <f t="shared" si="14"/>
        <v>100</v>
      </c>
      <c r="X32" s="1264"/>
      <c r="Y32" s="3388"/>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88"/>
      <c r="Q33" s="1262" t="str">
        <f t="shared" si="11"/>
        <v>成新度</v>
      </c>
      <c r="R33" s="667" t="s">
        <v>14</v>
      </c>
      <c r="S33" s="668" t="e">
        <f t="shared" si="12"/>
        <v>#N/A</v>
      </c>
      <c r="T33" s="667" t="s">
        <v>14</v>
      </c>
      <c r="U33" s="668" t="e">
        <f t="shared" si="13"/>
        <v>#N/A</v>
      </c>
      <c r="V33" s="667" t="s">
        <v>14</v>
      </c>
      <c r="W33" s="668" t="e">
        <f t="shared" si="14"/>
        <v>#N/A</v>
      </c>
      <c r="X33" s="1264"/>
      <c r="Y33" s="3388"/>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88"/>
      <c r="Q34" s="530" t="str">
        <f t="shared" si="11"/>
        <v>物业管理</v>
      </c>
      <c r="R34" s="664" t="s">
        <v>14</v>
      </c>
      <c r="S34" s="665">
        <f t="shared" si="12"/>
        <v>100</v>
      </c>
      <c r="T34" s="664" t="s">
        <v>14</v>
      </c>
      <c r="U34" s="665">
        <f t="shared" si="13"/>
        <v>100</v>
      </c>
      <c r="V34" s="664" t="s">
        <v>14</v>
      </c>
      <c r="W34" s="665">
        <f t="shared" si="14"/>
        <v>100</v>
      </c>
      <c r="X34" s="666"/>
      <c r="Y34" s="3388"/>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88" t="s">
        <v>1696</v>
      </c>
      <c r="Q35" s="1262" t="str">
        <f t="shared" si="11"/>
        <v>市政基础设施</v>
      </c>
      <c r="R35" s="667" t="s">
        <v>14</v>
      </c>
      <c r="S35" s="668">
        <f t="shared" si="12"/>
        <v>100</v>
      </c>
      <c r="T35" s="667" t="s">
        <v>14</v>
      </c>
      <c r="U35" s="668">
        <f t="shared" si="13"/>
        <v>100</v>
      </c>
      <c r="V35" s="667" t="s">
        <v>14</v>
      </c>
      <c r="W35" s="668">
        <f t="shared" si="14"/>
        <v>100</v>
      </c>
      <c r="X35" s="1264"/>
      <c r="Y35" s="3388"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88"/>
      <c r="Q36" s="1262" t="str">
        <f t="shared" si="11"/>
        <v>内部装修</v>
      </c>
      <c r="R36" s="667" t="s">
        <v>14</v>
      </c>
      <c r="S36" s="668">
        <f t="shared" si="12"/>
        <v>100</v>
      </c>
      <c r="T36" s="667" t="s">
        <v>14</v>
      </c>
      <c r="U36" s="668">
        <f t="shared" si="13"/>
        <v>100</v>
      </c>
      <c r="V36" s="667" t="s">
        <v>14</v>
      </c>
      <c r="W36" s="668">
        <f t="shared" si="14"/>
        <v>100</v>
      </c>
      <c r="X36" s="1264"/>
      <c r="Y36" s="3388"/>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88"/>
      <c r="Q37" s="1262" t="str">
        <f t="shared" si="11"/>
        <v>内部装修状况</v>
      </c>
      <c r="R37" s="667" t="s">
        <v>14</v>
      </c>
      <c r="S37" s="668">
        <f t="shared" si="12"/>
        <v>100</v>
      </c>
      <c r="T37" s="667" t="s">
        <v>14</v>
      </c>
      <c r="U37" s="668">
        <f t="shared" si="13"/>
        <v>100</v>
      </c>
      <c r="V37" s="667" t="s">
        <v>14</v>
      </c>
      <c r="W37" s="668">
        <f t="shared" si="14"/>
        <v>100</v>
      </c>
      <c r="X37" s="1264"/>
      <c r="Y37" s="3388"/>
      <c r="Z37" s="1263" t="str">
        <f t="shared" si="15"/>
        <v>内部装修状况</v>
      </c>
      <c r="AA37" s="1263">
        <f t="shared" si="3"/>
        <v>1</v>
      </c>
      <c r="AB37" s="1263">
        <f t="shared" si="4"/>
        <v>1</v>
      </c>
      <c r="AC37" s="1263">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88"/>
      <c r="Q38" s="531">
        <f t="shared" si="11"/>
        <v>111</v>
      </c>
      <c r="R38" s="669" t="s">
        <v>14</v>
      </c>
      <c r="S38" s="670">
        <f t="shared" si="12"/>
        <v>100</v>
      </c>
      <c r="T38" s="669" t="s">
        <v>14</v>
      </c>
      <c r="U38" s="670">
        <f t="shared" si="13"/>
        <v>100</v>
      </c>
      <c r="V38" s="669" t="s">
        <v>14</v>
      </c>
      <c r="W38" s="670">
        <f t="shared" si="14"/>
        <v>100</v>
      </c>
      <c r="X38" s="671"/>
      <c r="Y38" s="3388"/>
      <c r="Z38" s="672">
        <f t="shared" si="15"/>
        <v>111</v>
      </c>
      <c r="AA38" s="1263">
        <f t="shared" si="3"/>
        <v>1</v>
      </c>
      <c r="AB38" s="1263">
        <f t="shared" si="4"/>
        <v>1</v>
      </c>
      <c r="AC38" s="1263">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88"/>
      <c r="Q39" s="1262">
        <f t="shared" si="11"/>
        <v>111</v>
      </c>
      <c r="R39" s="667" t="s">
        <v>14</v>
      </c>
      <c r="S39" s="668">
        <f t="shared" si="12"/>
        <v>100</v>
      </c>
      <c r="T39" s="667" t="s">
        <v>14</v>
      </c>
      <c r="U39" s="668">
        <f t="shared" si="13"/>
        <v>100</v>
      </c>
      <c r="V39" s="667" t="s">
        <v>14</v>
      </c>
      <c r="W39" s="668">
        <f t="shared" si="14"/>
        <v>100</v>
      </c>
      <c r="X39" s="1264"/>
      <c r="Y39" s="3388"/>
      <c r="Z39" s="1263">
        <f t="shared" si="15"/>
        <v>111</v>
      </c>
      <c r="AA39" s="1263">
        <f t="shared" si="3"/>
        <v>1</v>
      </c>
      <c r="AB39" s="1263">
        <f t="shared" si="4"/>
        <v>1</v>
      </c>
      <c r="AC39" s="1263">
        <f t="shared" si="5"/>
        <v>1</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89"/>
      <c r="Q40" s="1262">
        <f t="shared" si="11"/>
        <v>111</v>
      </c>
      <c r="R40" s="667" t="s">
        <v>14</v>
      </c>
      <c r="S40" s="668">
        <f t="shared" si="12"/>
        <v>100</v>
      </c>
      <c r="T40" s="667" t="s">
        <v>14</v>
      </c>
      <c r="U40" s="668">
        <f t="shared" si="13"/>
        <v>100</v>
      </c>
      <c r="V40" s="667" t="s">
        <v>14</v>
      </c>
      <c r="W40" s="668">
        <f t="shared" si="14"/>
        <v>100</v>
      </c>
      <c r="X40" s="1264"/>
      <c r="Y40" s="3389"/>
      <c r="Z40" s="1263">
        <f t="shared" si="15"/>
        <v>111</v>
      </c>
      <c r="AA40" s="1263">
        <f t="shared" si="3"/>
        <v>1</v>
      </c>
      <c r="AB40" s="1263">
        <f t="shared" si="4"/>
        <v>1</v>
      </c>
      <c r="AC40" s="1263">
        <f t="shared" si="5"/>
        <v>1</v>
      </c>
    </row>
    <row r="41" spans="1:29" ht="15">
      <c r="A41" s="416" t="s">
        <v>1708</v>
      </c>
      <c r="B41" s="417"/>
      <c r="C41" s="1081" t="s">
        <v>0</v>
      </c>
      <c r="D41" s="418"/>
      <c r="E41" s="419"/>
      <c r="F41" s="420"/>
      <c r="G41" s="421"/>
      <c r="H41" s="422"/>
      <c r="I41" s="419"/>
      <c r="J41" s="422"/>
      <c r="K41" s="674"/>
      <c r="L41" s="873"/>
      <c r="M41" s="861"/>
      <c r="N41" s="861"/>
      <c r="O41" s="861"/>
      <c r="P41" s="3381" t="str">
        <f>A41</f>
        <v>成交单价（元/平方米）</v>
      </c>
      <c r="Q41" s="3381"/>
      <c r="R41" s="3382">
        <f>E41</f>
        <v>0</v>
      </c>
      <c r="S41" s="3382"/>
      <c r="T41" s="3382">
        <f>G41</f>
        <v>0</v>
      </c>
      <c r="U41" s="3382"/>
      <c r="V41" s="3382">
        <f>I41</f>
        <v>0</v>
      </c>
      <c r="W41" s="3382"/>
      <c r="X41" s="385"/>
      <c r="Y41" s="673"/>
      <c r="Z41" s="385"/>
      <c r="AA41" s="385"/>
      <c r="AB41" s="385"/>
      <c r="AC41" s="385"/>
    </row>
    <row r="42" spans="1:29" ht="15.75" thickBot="1">
      <c r="A42" s="423" t="s">
        <v>1793</v>
      </c>
      <c r="B42" s="424"/>
      <c r="C42" s="1082" t="e">
        <f>R43</f>
        <v>#DIV/0!</v>
      </c>
      <c r="D42" s="2139" t="s">
        <v>2138</v>
      </c>
      <c r="E42" s="1083" t="e">
        <f>R42</f>
        <v>#DIV/0!</v>
      </c>
      <c r="F42" s="2140"/>
      <c r="G42" s="1082" t="e">
        <f>T42</f>
        <v>#DIV/0!</v>
      </c>
      <c r="H42" s="2140"/>
      <c r="I42" s="1083" t="e">
        <f>V42</f>
        <v>#DIV/0!</v>
      </c>
      <c r="J42" s="2140"/>
      <c r="K42" s="2142">
        <f>F42+H42+J42</f>
        <v>0</v>
      </c>
      <c r="L42" s="873"/>
      <c r="M42" s="861"/>
      <c r="N42" s="861"/>
      <c r="O42" s="861"/>
      <c r="P42" s="3381" t="str">
        <f>A42</f>
        <v>比较价值（元/平方米）</v>
      </c>
      <c r="Q42" s="3381"/>
      <c r="R42" s="3382" t="e">
        <f>IF(F1="售价",ROUND(PRODUCT(R41,AA7:AA40),0),ROUND(PRODUCT(R41,AA7:AA40),1))</f>
        <v>#DIV/0!</v>
      </c>
      <c r="S42" s="3382"/>
      <c r="T42" s="3382" t="e">
        <f>IF(F1="售价",ROUND(PRODUCT(T41,AB7:AB40),0),ROUND(PRODUCT(T41,AB7:AB40),1))</f>
        <v>#DIV/0!</v>
      </c>
      <c r="U42" s="3382"/>
      <c r="V42" s="3382" t="e">
        <f>IF(F1="售价",ROUND(PRODUCT(V41,AC7:AC40),0),ROUND(PRODUCT(V41,AC7:AC40),1))</f>
        <v>#DIV/0!</v>
      </c>
      <c r="W42" s="3382"/>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78" t="str">
        <f>A43</f>
        <v>估价对象XX用房的比较价值（楼面单价，元/平方米）</v>
      </c>
      <c r="Q43" s="3379"/>
      <c r="R43" s="3380" t="e">
        <f>IF(F1="售价",ROUND(IF(D42="简单平均",AVERAGE(R42:V42),R42*F42+T42*H42+V42*J42),0),ROUND(IF(D42="简单平均",AVERAGE(R42:V42),R42*F42+T42*H42+V42*J42),1))</f>
        <v>#DIV/0!</v>
      </c>
      <c r="S43" s="3380"/>
      <c r="T43" s="3380"/>
      <c r="U43" s="3380"/>
      <c r="V43" s="3380"/>
      <c r="W43" s="3380"/>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2" t="str">
        <f>YEAR(C7)&amp;"-"&amp;MONTH(C7)</f>
        <v>2024-1</v>
      </c>
      <c r="D52" s="1103">
        <f>EDATE(C52,-1)</f>
        <v>45261</v>
      </c>
      <c r="E52" s="1103">
        <f t="shared" ref="E52:O52" si="16">EDATE(D52,-1)</f>
        <v>45231</v>
      </c>
      <c r="F52" s="1103">
        <f t="shared" si="16"/>
        <v>45200</v>
      </c>
      <c r="G52" s="1103">
        <f t="shared" si="16"/>
        <v>45170</v>
      </c>
      <c r="H52" s="1103">
        <f t="shared" si="16"/>
        <v>45139</v>
      </c>
      <c r="I52" s="1103">
        <f t="shared" si="16"/>
        <v>45108</v>
      </c>
      <c r="J52" s="1103">
        <f t="shared" si="16"/>
        <v>45078</v>
      </c>
      <c r="K52" s="1103">
        <f t="shared" si="16"/>
        <v>45047</v>
      </c>
      <c r="L52" s="1103">
        <f t="shared" si="16"/>
        <v>45017</v>
      </c>
      <c r="M52" s="1103">
        <f t="shared" si="16"/>
        <v>44986</v>
      </c>
      <c r="N52" s="1103">
        <f t="shared" si="16"/>
        <v>44958</v>
      </c>
      <c r="O52" s="1103">
        <f t="shared" si="16"/>
        <v>44927</v>
      </c>
    </row>
    <row r="53" spans="1:17" s="102" customFormat="1" ht="15">
      <c r="A53" s="443"/>
      <c r="B53" s="444"/>
      <c r="C53" s="1101">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M9" sqref="M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3336</v>
      </c>
      <c r="C1" s="1140" t="s">
        <v>1662</v>
      </c>
      <c r="D1" s="1141"/>
      <c r="E1" s="3130"/>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5">
      <c r="A4" s="345" t="s">
        <v>1769</v>
      </c>
      <c r="B4" s="346"/>
      <c r="C4" s="3396" t="s">
        <v>1770</v>
      </c>
      <c r="D4" s="3397"/>
      <c r="E4" s="3398" t="s">
        <v>1771</v>
      </c>
      <c r="F4" s="3399"/>
      <c r="G4" s="3396" t="s">
        <v>1772</v>
      </c>
      <c r="H4" s="3397"/>
      <c r="I4" s="3396" t="s">
        <v>1773</v>
      </c>
      <c r="J4" s="3397"/>
      <c r="K4" s="537" t="s">
        <v>1774</v>
      </c>
      <c r="L4" s="2485"/>
      <c r="M4" s="2486"/>
      <c r="N4" s="2486"/>
      <c r="O4" s="2486"/>
      <c r="P4" s="3400" t="s">
        <v>1775</v>
      </c>
      <c r="Q4" s="3401"/>
      <c r="R4" s="3406" t="s">
        <v>1771</v>
      </c>
      <c r="S4" s="3407"/>
      <c r="T4" s="3406" t="s">
        <v>1772</v>
      </c>
      <c r="U4" s="3407"/>
      <c r="V4" s="3382" t="s">
        <v>1773</v>
      </c>
      <c r="W4" s="3382"/>
      <c r="X4" s="1264"/>
      <c r="Y4" s="3406" t="s">
        <v>1775</v>
      </c>
      <c r="Z4" s="3407"/>
      <c r="AA4" s="3393" t="s">
        <v>1771</v>
      </c>
      <c r="AB4" s="3394" t="s">
        <v>1772</v>
      </c>
      <c r="AC4" s="3393" t="s">
        <v>1773</v>
      </c>
    </row>
    <row r="5" spans="1:29" ht="15">
      <c r="A5" s="348"/>
      <c r="B5" s="349"/>
      <c r="C5" s="3421" t="s">
        <v>1673</v>
      </c>
      <c r="D5" s="3422"/>
      <c r="E5" s="3423" t="s">
        <v>1674</v>
      </c>
      <c r="F5" s="3415"/>
      <c r="G5" s="3421" t="s">
        <v>1675</v>
      </c>
      <c r="H5" s="3422"/>
      <c r="I5" s="3421" t="s">
        <v>1676</v>
      </c>
      <c r="J5" s="3422"/>
      <c r="K5" s="537"/>
      <c r="L5" s="2485"/>
      <c r="M5" s="2486"/>
      <c r="N5" s="2486"/>
      <c r="O5" s="2486"/>
      <c r="P5" s="3402"/>
      <c r="Q5" s="3403"/>
      <c r="R5" s="3408"/>
      <c r="S5" s="3409"/>
      <c r="T5" s="3408"/>
      <c r="U5" s="3409"/>
      <c r="V5" s="3382"/>
      <c r="W5" s="3382"/>
      <c r="X5" s="1264"/>
      <c r="Y5" s="3408"/>
      <c r="Z5" s="3409"/>
      <c r="AA5" s="3394"/>
      <c r="AB5" s="3394"/>
      <c r="AC5" s="3394"/>
    </row>
    <row r="6" spans="1:29" ht="15.75" thickBot="1">
      <c r="A6" s="350"/>
      <c r="B6" s="351"/>
      <c r="C6" s="3412" t="s">
        <v>1677</v>
      </c>
      <c r="D6" s="3413"/>
      <c r="E6" s="3419" t="s">
        <v>1677</v>
      </c>
      <c r="F6" s="3420"/>
      <c r="G6" s="3412" t="s">
        <v>1677</v>
      </c>
      <c r="H6" s="3413"/>
      <c r="I6" s="3412" t="s">
        <v>1677</v>
      </c>
      <c r="J6" s="3413"/>
      <c r="K6" s="537" t="s">
        <v>1678</v>
      </c>
      <c r="L6" s="2485"/>
      <c r="M6" s="2486"/>
      <c r="N6" s="2486"/>
      <c r="O6" s="2486"/>
      <c r="P6" s="3404"/>
      <c r="Q6" s="3405"/>
      <c r="R6" s="3408"/>
      <c r="S6" s="3409"/>
      <c r="T6" s="3410"/>
      <c r="U6" s="3411"/>
      <c r="V6" s="3382"/>
      <c r="W6" s="3382"/>
      <c r="X6" s="1264"/>
      <c r="Y6" s="3410"/>
      <c r="Z6" s="3411"/>
      <c r="AA6" s="3395"/>
      <c r="AB6" s="3395"/>
      <c r="AC6" s="3395"/>
    </row>
    <row r="7" spans="1:29" s="102" customFormat="1" ht="15.75" thickBot="1">
      <c r="A7" s="352" t="s">
        <v>1679</v>
      </c>
      <c r="B7" s="353"/>
      <c r="C7" s="354">
        <f>'数据-取费表'!B2</f>
        <v>45301</v>
      </c>
      <c r="D7" s="355">
        <v>100</v>
      </c>
      <c r="E7" s="356"/>
      <c r="F7" s="357">
        <f>SUMIF(48:48,YEAR(E7)&amp;"-"&amp;MONTH(E7),49:49)</f>
        <v>0</v>
      </c>
      <c r="G7" s="356"/>
      <c r="H7" s="355">
        <f>SUMIF(48:48,YEAR(G7)&amp;"-"&amp;MONTH(G7),49:49)</f>
        <v>0</v>
      </c>
      <c r="I7" s="356"/>
      <c r="J7" s="355">
        <f>SUMIF(48:48,YEAR(I7)&amp;"-"&amp;MONTH(I7),49:49)</f>
        <v>0</v>
      </c>
      <c r="K7" s="38"/>
      <c r="L7" s="2487"/>
      <c r="M7" s="2438"/>
      <c r="N7" s="2438"/>
      <c r="O7" s="2438"/>
      <c r="P7" s="3416" t="s">
        <v>1680</v>
      </c>
      <c r="Q7" s="3418"/>
      <c r="R7" s="664" t="s">
        <v>14</v>
      </c>
      <c r="S7" s="665">
        <f t="shared" ref="S7:S14" si="0">F7</f>
        <v>0</v>
      </c>
      <c r="T7" s="664" t="s">
        <v>14</v>
      </c>
      <c r="U7" s="665">
        <f t="shared" ref="U7:U14" si="1">H7</f>
        <v>0</v>
      </c>
      <c r="V7" s="664" t="s">
        <v>14</v>
      </c>
      <c r="W7" s="665">
        <f t="shared" ref="W7:W14" si="2">J7</f>
        <v>0</v>
      </c>
      <c r="X7" s="666"/>
      <c r="Y7" s="3416" t="s">
        <v>1680</v>
      </c>
      <c r="Z7" s="3417"/>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416" t="s">
        <v>1683</v>
      </c>
      <c r="Q8" s="3417"/>
      <c r="R8" s="664" t="s">
        <v>14</v>
      </c>
      <c r="S8" s="665">
        <f t="shared" si="0"/>
        <v>100</v>
      </c>
      <c r="T8" s="664" t="s">
        <v>14</v>
      </c>
      <c r="U8" s="665">
        <f t="shared" si="1"/>
        <v>100</v>
      </c>
      <c r="V8" s="664" t="s">
        <v>14</v>
      </c>
      <c r="W8" s="665">
        <f t="shared" si="2"/>
        <v>100</v>
      </c>
      <c r="X8" s="666"/>
      <c r="Y8" s="3416" t="s">
        <v>1683</v>
      </c>
      <c r="Z8" s="3417"/>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381" t="s">
        <v>1686</v>
      </c>
      <c r="Q9" s="530" t="str">
        <f t="shared" ref="Q9:Q14" si="6">B9</f>
        <v>用途</v>
      </c>
      <c r="R9" s="664" t="s">
        <v>14</v>
      </c>
      <c r="S9" s="665">
        <f t="shared" si="0"/>
        <v>100</v>
      </c>
      <c r="T9" s="664" t="s">
        <v>14</v>
      </c>
      <c r="U9" s="665">
        <f t="shared" si="1"/>
        <v>100</v>
      </c>
      <c r="V9" s="664" t="s">
        <v>14</v>
      </c>
      <c r="W9" s="665">
        <f t="shared" si="2"/>
        <v>100</v>
      </c>
      <c r="X9" s="666"/>
      <c r="Y9" s="3256"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381"/>
      <c r="Q10" s="530" t="str">
        <f t="shared" si="6"/>
        <v>土地使用年限（年）</v>
      </c>
      <c r="R10" s="664" t="s">
        <v>14</v>
      </c>
      <c r="S10" s="665">
        <f t="shared" si="0"/>
        <v>100</v>
      </c>
      <c r="T10" s="664" t="s">
        <v>14</v>
      </c>
      <c r="U10" s="665">
        <f t="shared" si="1"/>
        <v>100</v>
      </c>
      <c r="V10" s="664" t="s">
        <v>14</v>
      </c>
      <c r="W10" s="665">
        <f t="shared" si="2"/>
        <v>100</v>
      </c>
      <c r="X10" s="666"/>
      <c r="Y10" s="3256"/>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81"/>
      <c r="Q11" s="530">
        <f t="shared" si="6"/>
        <v>111</v>
      </c>
      <c r="R11" s="664" t="s">
        <v>14</v>
      </c>
      <c r="S11" s="665">
        <f t="shared" si="0"/>
        <v>100</v>
      </c>
      <c r="T11" s="664" t="s">
        <v>14</v>
      </c>
      <c r="U11" s="665">
        <f t="shared" si="1"/>
        <v>100</v>
      </c>
      <c r="V11" s="664" t="s">
        <v>14</v>
      </c>
      <c r="W11" s="665">
        <f t="shared" si="2"/>
        <v>100</v>
      </c>
      <c r="X11" s="666"/>
      <c r="Y11" s="3256"/>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381"/>
      <c r="Q12" s="530">
        <f t="shared" si="6"/>
        <v>111</v>
      </c>
      <c r="R12" s="664" t="s">
        <v>14</v>
      </c>
      <c r="S12" s="665">
        <f t="shared" si="0"/>
        <v>100</v>
      </c>
      <c r="T12" s="664" t="s">
        <v>14</v>
      </c>
      <c r="U12" s="665">
        <f t="shared" si="1"/>
        <v>100</v>
      </c>
      <c r="V12" s="664" t="s">
        <v>14</v>
      </c>
      <c r="W12" s="665">
        <f t="shared" si="2"/>
        <v>100</v>
      </c>
      <c r="X12" s="666"/>
      <c r="Y12" s="3256"/>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81"/>
      <c r="Q13" s="530">
        <f t="shared" si="6"/>
        <v>111</v>
      </c>
      <c r="R13" s="664" t="s">
        <v>14</v>
      </c>
      <c r="S13" s="665">
        <f t="shared" si="0"/>
        <v>100</v>
      </c>
      <c r="T13" s="664" t="s">
        <v>14</v>
      </c>
      <c r="U13" s="665">
        <f t="shared" si="1"/>
        <v>100</v>
      </c>
      <c r="V13" s="664" t="s">
        <v>14</v>
      </c>
      <c r="W13" s="665">
        <f t="shared" si="2"/>
        <v>100</v>
      </c>
      <c r="X13" s="666"/>
      <c r="Y13" s="3256"/>
      <c r="Z13" s="50">
        <f t="shared" si="7"/>
        <v>111</v>
      </c>
      <c r="AA13" s="50">
        <f t="shared" si="3"/>
        <v>1</v>
      </c>
      <c r="AB13" s="50">
        <f t="shared" si="4"/>
        <v>1</v>
      </c>
      <c r="AC13" s="50">
        <f t="shared" si="5"/>
        <v>1</v>
      </c>
    </row>
    <row r="14" spans="1:29" ht="85.5">
      <c r="A14" s="345" t="s">
        <v>1690</v>
      </c>
      <c r="B14" s="554" t="s">
        <v>1833</v>
      </c>
      <c r="C14" s="1817"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83" t="s">
        <v>1691</v>
      </c>
      <c r="Q14" s="1262" t="str">
        <f t="shared" si="6"/>
        <v>交通便捷度</v>
      </c>
      <c r="R14" s="667" t="s">
        <v>14</v>
      </c>
      <c r="S14" s="668">
        <f t="shared" si="0"/>
        <v>100</v>
      </c>
      <c r="T14" s="667" t="s">
        <v>14</v>
      </c>
      <c r="U14" s="668">
        <f t="shared" si="1"/>
        <v>100</v>
      </c>
      <c r="V14" s="667" t="s">
        <v>14</v>
      </c>
      <c r="W14" s="668">
        <f t="shared" si="2"/>
        <v>100</v>
      </c>
      <c r="X14" s="1264"/>
      <c r="Y14" s="3383"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1"/>
      <c r="M15" s="2486"/>
      <c r="N15" s="2486"/>
      <c r="O15" s="2486"/>
      <c r="P15" s="3384"/>
      <c r="Q15" s="1262"/>
      <c r="R15" s="667"/>
      <c r="S15" s="668"/>
      <c r="T15" s="667"/>
      <c r="U15" s="668"/>
      <c r="V15" s="667"/>
      <c r="W15" s="668"/>
      <c r="X15" s="1264"/>
      <c r="Y15" s="3384"/>
      <c r="Z15" s="1263"/>
      <c r="AA15" s="1263">
        <v>1</v>
      </c>
      <c r="AB15" s="1263">
        <v>1</v>
      </c>
      <c r="AC15" s="1263">
        <v>1</v>
      </c>
    </row>
    <row r="16" spans="1:29" ht="42.75">
      <c r="A16" s="348"/>
      <c r="B16" s="556" t="s">
        <v>1812</v>
      </c>
      <c r="C16" s="1752"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384"/>
      <c r="Q16" s="1262" t="str">
        <f>B16</f>
        <v>公共配套设施</v>
      </c>
      <c r="R16" s="667" t="s">
        <v>14</v>
      </c>
      <c r="S16" s="668">
        <f>F16</f>
        <v>100</v>
      </c>
      <c r="T16" s="667" t="s">
        <v>14</v>
      </c>
      <c r="U16" s="668">
        <f>H16</f>
        <v>100</v>
      </c>
      <c r="V16" s="667" t="s">
        <v>14</v>
      </c>
      <c r="W16" s="668">
        <f>J16</f>
        <v>100</v>
      </c>
      <c r="X16" s="1264"/>
      <c r="Y16" s="3384"/>
      <c r="Z16" s="1263" t="str">
        <f>Q16</f>
        <v>公共配套设施</v>
      </c>
      <c r="AA16" s="1263">
        <f t="shared" si="3"/>
        <v>1</v>
      </c>
      <c r="AB16" s="1263">
        <f t="shared" si="4"/>
        <v>1</v>
      </c>
      <c r="AC16" s="1263">
        <f t="shared" si="5"/>
        <v>1</v>
      </c>
    </row>
    <row r="17" spans="1:29" ht="15">
      <c r="A17" s="348"/>
      <c r="B17" s="401"/>
      <c r="C17" s="1753"/>
      <c r="D17" s="387"/>
      <c r="E17" s="386"/>
      <c r="F17" s="388"/>
      <c r="G17" s="386"/>
      <c r="H17" s="387"/>
      <c r="I17" s="386"/>
      <c r="J17" s="387"/>
      <c r="K17" s="541"/>
      <c r="L17" s="2491"/>
      <c r="M17" s="2486"/>
      <c r="N17" s="2486"/>
      <c r="O17" s="2486"/>
      <c r="P17" s="3384"/>
      <c r="Q17" s="1262"/>
      <c r="R17" s="667"/>
      <c r="S17" s="668"/>
      <c r="T17" s="667"/>
      <c r="U17" s="668"/>
      <c r="V17" s="667"/>
      <c r="W17" s="668"/>
      <c r="X17" s="1264"/>
      <c r="Y17" s="3384"/>
      <c r="Z17" s="1263"/>
      <c r="AA17" s="1263">
        <v>1</v>
      </c>
      <c r="AB17" s="1263">
        <v>1</v>
      </c>
      <c r="AC17" s="1263">
        <v>1</v>
      </c>
    </row>
    <row r="18" spans="1:29" ht="28.5">
      <c r="A18" s="348"/>
      <c r="B18" s="557" t="s">
        <v>1813</v>
      </c>
      <c r="C18" s="1752"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384"/>
      <c r="Q18" s="1262" t="str">
        <f>B18</f>
        <v>基础设施水平</v>
      </c>
      <c r="R18" s="667" t="s">
        <v>14</v>
      </c>
      <c r="S18" s="668">
        <f>F18</f>
        <v>100</v>
      </c>
      <c r="T18" s="667" t="s">
        <v>14</v>
      </c>
      <c r="U18" s="668">
        <f>H18</f>
        <v>100</v>
      </c>
      <c r="V18" s="667" t="s">
        <v>14</v>
      </c>
      <c r="W18" s="668">
        <f>J18</f>
        <v>100</v>
      </c>
      <c r="X18" s="1264"/>
      <c r="Y18" s="3384"/>
      <c r="Z18" s="1263" t="str">
        <f>Q18</f>
        <v>基础设施水平</v>
      </c>
      <c r="AA18" s="1263">
        <f t="shared" ref="AA18" si="8">D18/F18</f>
        <v>1</v>
      </c>
      <c r="AB18" s="1263">
        <f t="shared" ref="AB18" si="9">D18/H18</f>
        <v>1</v>
      </c>
      <c r="AC18" s="1263">
        <f t="shared" ref="AC18" si="10">D18/J18</f>
        <v>1</v>
      </c>
    </row>
    <row r="19" spans="1:29" ht="15">
      <c r="A19" s="348"/>
      <c r="B19" s="557"/>
      <c r="C19" s="1753"/>
      <c r="D19" s="389"/>
      <c r="E19" s="1753"/>
      <c r="F19" s="392"/>
      <c r="G19" s="1753"/>
      <c r="H19" s="387"/>
      <c r="I19" s="386"/>
      <c r="J19" s="387"/>
      <c r="K19" s="1064"/>
      <c r="L19" s="2491"/>
      <c r="M19" s="2486"/>
      <c r="N19" s="2486"/>
      <c r="O19" s="2486"/>
      <c r="P19" s="3384"/>
      <c r="Q19" s="1262"/>
      <c r="R19" s="667"/>
      <c r="S19" s="668"/>
      <c r="T19" s="667"/>
      <c r="U19" s="668"/>
      <c r="V19" s="667"/>
      <c r="W19" s="668"/>
      <c r="X19" s="1264"/>
      <c r="Y19" s="3384"/>
      <c r="Z19" s="1263"/>
      <c r="AA19" s="1263">
        <v>1</v>
      </c>
      <c r="AB19" s="1263">
        <v>1</v>
      </c>
      <c r="AC19" s="1263">
        <v>1</v>
      </c>
    </row>
    <row r="20" spans="1:29" ht="57">
      <c r="A20" s="348"/>
      <c r="B20" s="556" t="s">
        <v>1834</v>
      </c>
      <c r="C20" s="1752"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384"/>
      <c r="Q20" s="1262" t="str">
        <f>B20</f>
        <v>自然及人文环境</v>
      </c>
      <c r="R20" s="667" t="s">
        <v>14</v>
      </c>
      <c r="S20" s="668">
        <f>F20</f>
        <v>100</v>
      </c>
      <c r="T20" s="667" t="s">
        <v>14</v>
      </c>
      <c r="U20" s="668">
        <f>H20</f>
        <v>100</v>
      </c>
      <c r="V20" s="667" t="s">
        <v>14</v>
      </c>
      <c r="W20" s="668">
        <f>J20</f>
        <v>100</v>
      </c>
      <c r="X20" s="1264"/>
      <c r="Y20" s="3384"/>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1"/>
      <c r="M21" s="2486"/>
      <c r="N21" s="2486"/>
      <c r="O21" s="2486"/>
      <c r="P21" s="3384"/>
      <c r="Q21" s="1262"/>
      <c r="R21" s="667"/>
      <c r="S21" s="668"/>
      <c r="T21" s="667"/>
      <c r="U21" s="668"/>
      <c r="V21" s="667"/>
      <c r="W21" s="668"/>
      <c r="X21" s="1264"/>
      <c r="Y21" s="3384"/>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384"/>
      <c r="Q22" s="1262" t="str">
        <f>B22</f>
        <v>楼层</v>
      </c>
      <c r="R22" s="667" t="s">
        <v>14</v>
      </c>
      <c r="S22" s="668">
        <f>F22</f>
        <v>100</v>
      </c>
      <c r="T22" s="667" t="s">
        <v>14</v>
      </c>
      <c r="U22" s="668">
        <f>H22</f>
        <v>100</v>
      </c>
      <c r="V22" s="667" t="s">
        <v>14</v>
      </c>
      <c r="W22" s="668">
        <f>J22</f>
        <v>100</v>
      </c>
      <c r="X22" s="1264"/>
      <c r="Y22" s="3384"/>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384"/>
      <c r="Q23" s="1262">
        <f>B23</f>
        <v>111</v>
      </c>
      <c r="R23" s="667" t="s">
        <v>14</v>
      </c>
      <c r="S23" s="668">
        <f>F23</f>
        <v>100</v>
      </c>
      <c r="T23" s="667" t="s">
        <v>14</v>
      </c>
      <c r="U23" s="668">
        <f>H23</f>
        <v>100</v>
      </c>
      <c r="V23" s="667" t="s">
        <v>14</v>
      </c>
      <c r="W23" s="668">
        <f>J23</f>
        <v>100</v>
      </c>
      <c r="X23" s="1264"/>
      <c r="Y23" s="3384"/>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384"/>
      <c r="Q24" s="1262">
        <f t="shared" ref="Q24:Q36" si="11">B24</f>
        <v>111</v>
      </c>
      <c r="R24" s="667" t="s">
        <v>14</v>
      </c>
      <c r="S24" s="668">
        <f>F24</f>
        <v>100</v>
      </c>
      <c r="T24" s="667" t="s">
        <v>14</v>
      </c>
      <c r="U24" s="668">
        <f>H24</f>
        <v>100</v>
      </c>
      <c r="V24" s="667" t="s">
        <v>14</v>
      </c>
      <c r="W24" s="668">
        <f>J24</f>
        <v>100</v>
      </c>
      <c r="X24" s="1264"/>
      <c r="Y24" s="3384"/>
      <c r="Z24" s="1263">
        <f>Q24</f>
        <v>111</v>
      </c>
      <c r="AA24" s="1263">
        <f t="shared" si="3"/>
        <v>1</v>
      </c>
      <c r="AB24" s="1263">
        <f t="shared" si="4"/>
        <v>1</v>
      </c>
      <c r="AC24" s="1263">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384"/>
      <c r="Q25" s="530">
        <f t="shared" si="11"/>
        <v>111</v>
      </c>
      <c r="R25" s="664" t="s">
        <v>14</v>
      </c>
      <c r="S25" s="665">
        <f>F25</f>
        <v>100</v>
      </c>
      <c r="T25" s="664" t="s">
        <v>14</v>
      </c>
      <c r="U25" s="665">
        <f>H25</f>
        <v>100</v>
      </c>
      <c r="V25" s="664" t="s">
        <v>14</v>
      </c>
      <c r="W25" s="665">
        <f>J25</f>
        <v>100</v>
      </c>
      <c r="X25" s="666"/>
      <c r="Y25" s="3384"/>
      <c r="Z25" s="50">
        <f>Q25</f>
        <v>111</v>
      </c>
      <c r="AA25" s="1263">
        <f>D25/F25</f>
        <v>1</v>
      </c>
      <c r="AB25" s="1263">
        <f>D25/H25</f>
        <v>1</v>
      </c>
      <c r="AC25" s="1263">
        <f>D25/J25</f>
        <v>1</v>
      </c>
    </row>
    <row r="26" spans="1:29" ht="28.5">
      <c r="A26" s="574" t="s">
        <v>1694</v>
      </c>
      <c r="B26" s="59" t="s">
        <v>1836</v>
      </c>
      <c r="C26" s="1818"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39"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388"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388"/>
      <c r="Q27" s="531" t="str">
        <f t="shared" si="11"/>
        <v>项目停车位配比</v>
      </c>
      <c r="R27" s="669" t="s">
        <v>14</v>
      </c>
      <c r="S27" s="670">
        <f t="shared" si="12"/>
        <v>100</v>
      </c>
      <c r="T27" s="669" t="s">
        <v>14</v>
      </c>
      <c r="U27" s="670">
        <f t="shared" si="13"/>
        <v>100</v>
      </c>
      <c r="V27" s="669" t="s">
        <v>14</v>
      </c>
      <c r="W27" s="670">
        <f t="shared" si="14"/>
        <v>100</v>
      </c>
      <c r="X27" s="671"/>
      <c r="Y27" s="3388"/>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388"/>
      <c r="Q28" s="1262" t="str">
        <f t="shared" si="11"/>
        <v>公共部分装修</v>
      </c>
      <c r="R28" s="667" t="s">
        <v>14</v>
      </c>
      <c r="S28" s="668">
        <f t="shared" si="12"/>
        <v>100</v>
      </c>
      <c r="T28" s="667" t="s">
        <v>14</v>
      </c>
      <c r="U28" s="668">
        <f t="shared" si="13"/>
        <v>100</v>
      </c>
      <c r="V28" s="667" t="s">
        <v>14</v>
      </c>
      <c r="W28" s="668">
        <f t="shared" si="14"/>
        <v>100</v>
      </c>
      <c r="X28" s="1264"/>
      <c r="Y28" s="3388"/>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388"/>
      <c r="Q29" s="1262" t="str">
        <f t="shared" si="11"/>
        <v>成新率</v>
      </c>
      <c r="R29" s="667" t="s">
        <v>14</v>
      </c>
      <c r="S29" s="668" t="e">
        <f t="shared" si="12"/>
        <v>#N/A</v>
      </c>
      <c r="T29" s="667" t="s">
        <v>14</v>
      </c>
      <c r="U29" s="668" t="e">
        <f t="shared" si="13"/>
        <v>#N/A</v>
      </c>
      <c r="V29" s="667" t="s">
        <v>14</v>
      </c>
      <c r="W29" s="668" t="e">
        <f t="shared" si="14"/>
        <v>#N/A</v>
      </c>
      <c r="X29" s="1264"/>
      <c r="Y29" s="3388"/>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388"/>
      <c r="Q30" s="1262" t="str">
        <f t="shared" si="11"/>
        <v>物业等级</v>
      </c>
      <c r="R30" s="667" t="s">
        <v>14</v>
      </c>
      <c r="S30" s="668">
        <f t="shared" si="12"/>
        <v>100</v>
      </c>
      <c r="T30" s="667" t="s">
        <v>14</v>
      </c>
      <c r="U30" s="668">
        <f t="shared" si="13"/>
        <v>100</v>
      </c>
      <c r="V30" s="667" t="s">
        <v>14</v>
      </c>
      <c r="W30" s="668">
        <f t="shared" si="14"/>
        <v>100</v>
      </c>
      <c r="X30" s="1264"/>
      <c r="Y30" s="3388"/>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388"/>
      <c r="Q31" s="530" t="str">
        <f t="shared" si="11"/>
        <v>停车位面积</v>
      </c>
      <c r="R31" s="664" t="s">
        <v>14</v>
      </c>
      <c r="S31" s="665" t="e">
        <f t="shared" si="12"/>
        <v>#N/A</v>
      </c>
      <c r="T31" s="664" t="s">
        <v>14</v>
      </c>
      <c r="U31" s="665" t="e">
        <f t="shared" si="13"/>
        <v>#N/A</v>
      </c>
      <c r="V31" s="664" t="s">
        <v>14</v>
      </c>
      <c r="W31" s="665" t="e">
        <f t="shared" si="14"/>
        <v>#N/A</v>
      </c>
      <c r="X31" s="666"/>
      <c r="Y31" s="3388"/>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388" t="s">
        <v>1696</v>
      </c>
      <c r="Q32" s="1262" t="str">
        <f t="shared" si="11"/>
        <v>车位类型</v>
      </c>
      <c r="R32" s="667" t="s">
        <v>14</v>
      </c>
      <c r="S32" s="668">
        <f t="shared" si="12"/>
        <v>100</v>
      </c>
      <c r="T32" s="667" t="s">
        <v>14</v>
      </c>
      <c r="U32" s="668">
        <f t="shared" si="13"/>
        <v>100</v>
      </c>
      <c r="V32" s="667" t="s">
        <v>14</v>
      </c>
      <c r="W32" s="668">
        <f t="shared" si="14"/>
        <v>100</v>
      </c>
      <c r="X32" s="1264"/>
      <c r="Y32" s="3388"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388"/>
      <c r="Q33" s="1262" t="str">
        <f t="shared" si="11"/>
        <v>是否直接入户</v>
      </c>
      <c r="R33" s="667" t="s">
        <v>14</v>
      </c>
      <c r="S33" s="668">
        <f t="shared" si="12"/>
        <v>100</v>
      </c>
      <c r="T33" s="667" t="s">
        <v>14</v>
      </c>
      <c r="U33" s="668">
        <f t="shared" si="13"/>
        <v>100</v>
      </c>
      <c r="V33" s="667" t="s">
        <v>14</v>
      </c>
      <c r="W33" s="668">
        <f t="shared" si="14"/>
        <v>100</v>
      </c>
      <c r="X33" s="1264"/>
      <c r="Y33" s="3388"/>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388"/>
      <c r="Q34" s="1262">
        <f t="shared" si="11"/>
        <v>111</v>
      </c>
      <c r="R34" s="667" t="s">
        <v>14</v>
      </c>
      <c r="S34" s="668">
        <f t="shared" si="12"/>
        <v>100</v>
      </c>
      <c r="T34" s="667" t="s">
        <v>14</v>
      </c>
      <c r="U34" s="668">
        <f t="shared" si="13"/>
        <v>100</v>
      </c>
      <c r="V34" s="667" t="s">
        <v>14</v>
      </c>
      <c r="W34" s="668">
        <f t="shared" si="14"/>
        <v>100</v>
      </c>
      <c r="X34" s="1264"/>
      <c r="Y34" s="3388"/>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388"/>
      <c r="Q35" s="531">
        <f t="shared" si="11"/>
        <v>111</v>
      </c>
      <c r="R35" s="669" t="s">
        <v>14</v>
      </c>
      <c r="S35" s="670">
        <f t="shared" si="12"/>
        <v>100</v>
      </c>
      <c r="T35" s="669" t="s">
        <v>14</v>
      </c>
      <c r="U35" s="670">
        <f t="shared" si="13"/>
        <v>100</v>
      </c>
      <c r="V35" s="669" t="s">
        <v>14</v>
      </c>
      <c r="W35" s="670">
        <f t="shared" si="14"/>
        <v>100</v>
      </c>
      <c r="X35" s="671"/>
      <c r="Y35" s="3388"/>
      <c r="Z35" s="672">
        <f t="shared" si="15"/>
        <v>111</v>
      </c>
      <c r="AA35" s="1263">
        <f t="shared" si="3"/>
        <v>1</v>
      </c>
      <c r="AB35" s="1263">
        <f t="shared" si="4"/>
        <v>1</v>
      </c>
      <c r="AC35" s="1263">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388"/>
      <c r="Q36" s="1262">
        <f t="shared" si="11"/>
        <v>111</v>
      </c>
      <c r="R36" s="667" t="s">
        <v>14</v>
      </c>
      <c r="S36" s="668">
        <f t="shared" si="12"/>
        <v>100</v>
      </c>
      <c r="T36" s="667" t="s">
        <v>14</v>
      </c>
      <c r="U36" s="668">
        <f t="shared" si="13"/>
        <v>100</v>
      </c>
      <c r="V36" s="667" t="s">
        <v>14</v>
      </c>
      <c r="W36" s="668">
        <f t="shared" si="14"/>
        <v>100</v>
      </c>
      <c r="X36" s="1264"/>
      <c r="Y36" s="3388"/>
      <c r="Z36" s="1263">
        <f t="shared" si="15"/>
        <v>111</v>
      </c>
      <c r="AA36" s="1263">
        <f t="shared" si="3"/>
        <v>1</v>
      </c>
      <c r="AB36" s="1263">
        <f t="shared" si="4"/>
        <v>1</v>
      </c>
      <c r="AC36" s="1263">
        <f t="shared" si="5"/>
        <v>1</v>
      </c>
    </row>
    <row r="37" spans="1:29" ht="15">
      <c r="A37" s="416" t="s">
        <v>1844</v>
      </c>
      <c r="B37" s="1819" t="s">
        <v>3357</v>
      </c>
      <c r="C37" s="1081" t="s">
        <v>0</v>
      </c>
      <c r="D37" s="418"/>
      <c r="E37" s="419"/>
      <c r="F37" s="420"/>
      <c r="G37" s="421"/>
      <c r="H37" s="422"/>
      <c r="I37" s="419"/>
      <c r="J37" s="422"/>
      <c r="K37" s="545"/>
      <c r="L37" s="2493"/>
      <c r="M37" s="2486"/>
      <c r="N37" s="2486"/>
      <c r="O37" s="2486"/>
      <c r="P37" s="3381" t="str">
        <f>A37</f>
        <v>成交单价</v>
      </c>
      <c r="Q37" s="3381"/>
      <c r="R37" s="3382">
        <f>E37</f>
        <v>0</v>
      </c>
      <c r="S37" s="3382"/>
      <c r="T37" s="3382">
        <f>G37</f>
        <v>0</v>
      </c>
      <c r="U37" s="3382"/>
      <c r="V37" s="3382">
        <f>I37</f>
        <v>0</v>
      </c>
      <c r="W37" s="3382"/>
      <c r="X37" s="385"/>
      <c r="Y37" s="673"/>
      <c r="Z37" s="385"/>
      <c r="AA37" s="385"/>
      <c r="AB37" s="385"/>
      <c r="AC37" s="385"/>
    </row>
    <row r="38" spans="1:29" ht="15.75" thickBot="1">
      <c r="A38" s="423" t="s">
        <v>1845</v>
      </c>
      <c r="B38" s="424" t="str">
        <f>B37</f>
        <v>元/平方米</v>
      </c>
      <c r="C38" s="1082" t="e">
        <f>R39</f>
        <v>#DIV/0!</v>
      </c>
      <c r="D38" s="2139" t="s">
        <v>2138</v>
      </c>
      <c r="E38" s="1083" t="e">
        <f>R38</f>
        <v>#DIV/0!</v>
      </c>
      <c r="F38" s="2140"/>
      <c r="G38" s="1082" t="e">
        <f>T38</f>
        <v>#DIV/0!</v>
      </c>
      <c r="H38" s="2140"/>
      <c r="I38" s="1083" t="e">
        <f>V38</f>
        <v>#DIV/0!</v>
      </c>
      <c r="J38" s="2140"/>
      <c r="K38" s="2142">
        <f>F38+H38+J38</f>
        <v>0</v>
      </c>
      <c r="L38" s="2493"/>
      <c r="M38" s="2486"/>
      <c r="N38" s="2486"/>
      <c r="O38" s="2486"/>
      <c r="P38" s="3381" t="str">
        <f>A38</f>
        <v>比较价值（元/平方米）</v>
      </c>
      <c r="Q38" s="3381"/>
      <c r="R38" s="3382" t="e">
        <f>IF(F1="售价",ROUND(PRODUCT(R37,AA7:AA36),0),ROUND(PRODUCT(R37,AA7:AA36),1))</f>
        <v>#DIV/0!</v>
      </c>
      <c r="S38" s="3382"/>
      <c r="T38" s="3382" t="e">
        <f>IF(F1="售价",ROUND(PRODUCT(T37,AB7:AB36),0),ROUND(PRODUCT(T37,AB7:AB36),1))</f>
        <v>#DIV/0!</v>
      </c>
      <c r="U38" s="3382"/>
      <c r="V38" s="3382" t="e">
        <f>IF(F1="售价",ROUND(PRODUCT(V37,AC7:AC36),0),ROUND(PRODUCT(V37,AC7:AC36),1))</f>
        <v>#DIV/0!</v>
      </c>
      <c r="W38" s="3382"/>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378" t="str">
        <f>A39</f>
        <v>估价对象XX用房的比较价值（楼面单价，元/平方米）</v>
      </c>
      <c r="Q39" s="3379"/>
      <c r="R39" s="3440" t="e">
        <f>IF(F1="售价",ROUND(IF(D38="简单平均",AVERAGE(R38:W38),R38*F38+T38*H38+V38*J38),0),ROUND(IF(D38="简单平均",AVERAGE(R38:V38),R38*F38+T38*H38+V38*J38),1))</f>
        <v>#DIV/0!</v>
      </c>
      <c r="S39" s="3440"/>
      <c r="T39" s="3440"/>
      <c r="U39" s="3440"/>
      <c r="V39" s="3440"/>
      <c r="W39" s="3440"/>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2" t="str">
        <f>YEAR(C7)&amp;"-"&amp;MONTH(C7)</f>
        <v>2024-1</v>
      </c>
      <c r="D48" s="1103">
        <f>EDATE(C48,-1)</f>
        <v>45261</v>
      </c>
      <c r="E48" s="1103">
        <f t="shared" ref="E48:O48" si="16">EDATE(D48,-1)</f>
        <v>45231</v>
      </c>
      <c r="F48" s="1103">
        <f t="shared" si="16"/>
        <v>45200</v>
      </c>
      <c r="G48" s="1103">
        <f t="shared" si="16"/>
        <v>45170</v>
      </c>
      <c r="H48" s="1103">
        <f t="shared" si="16"/>
        <v>45139</v>
      </c>
      <c r="I48" s="1103">
        <f t="shared" si="16"/>
        <v>45108</v>
      </c>
      <c r="J48" s="1103">
        <f t="shared" si="16"/>
        <v>45078</v>
      </c>
      <c r="K48" s="1103">
        <f t="shared" si="16"/>
        <v>45047</v>
      </c>
      <c r="L48" s="1103">
        <f t="shared" si="16"/>
        <v>45017</v>
      </c>
      <c r="M48" s="1103">
        <f t="shared" si="16"/>
        <v>44986</v>
      </c>
      <c r="N48" s="1103">
        <f t="shared" si="16"/>
        <v>44958</v>
      </c>
      <c r="O48" s="1103">
        <f t="shared" si="16"/>
        <v>44927</v>
      </c>
      <c r="P48" s="2526"/>
      <c r="Q48" s="2509"/>
      <c r="R48" s="2509"/>
      <c r="S48" s="2509"/>
      <c r="T48" s="2509"/>
      <c r="U48" s="2509"/>
      <c r="V48" s="2509"/>
      <c r="W48" s="2509"/>
      <c r="X48" s="2509"/>
      <c r="Y48" s="2509"/>
      <c r="Z48" s="2509"/>
      <c r="AA48" s="2509"/>
      <c r="AB48" s="2509"/>
      <c r="AC48" s="2509"/>
    </row>
    <row r="49" spans="1:29" s="102" customFormat="1" ht="15">
      <c r="A49" s="443"/>
      <c r="B49" s="444"/>
      <c r="C49" s="1097">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M9" sqref="M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3337</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96" t="s">
        <v>1770</v>
      </c>
      <c r="D4" s="3397"/>
      <c r="E4" s="3398" t="s">
        <v>1771</v>
      </c>
      <c r="F4" s="3399"/>
      <c r="G4" s="3396" t="s">
        <v>1772</v>
      </c>
      <c r="H4" s="3397"/>
      <c r="I4" s="3396" t="s">
        <v>1773</v>
      </c>
      <c r="J4" s="3397"/>
      <c r="K4" s="537" t="s">
        <v>1774</v>
      </c>
      <c r="L4" s="2485"/>
      <c r="M4" s="2486"/>
      <c r="N4" s="2486"/>
      <c r="O4" s="2486"/>
      <c r="P4" s="3400" t="s">
        <v>1775</v>
      </c>
      <c r="Q4" s="3401"/>
      <c r="R4" s="3406" t="s">
        <v>1771</v>
      </c>
      <c r="S4" s="3407"/>
      <c r="T4" s="3406" t="s">
        <v>1772</v>
      </c>
      <c r="U4" s="3407"/>
      <c r="V4" s="3382" t="s">
        <v>1773</v>
      </c>
      <c r="W4" s="3382"/>
      <c r="X4" s="1264"/>
      <c r="Y4" s="3406" t="s">
        <v>1775</v>
      </c>
      <c r="Z4" s="3407"/>
      <c r="AA4" s="3393" t="s">
        <v>1771</v>
      </c>
      <c r="AB4" s="3394" t="s">
        <v>1772</v>
      </c>
      <c r="AC4" s="3393" t="s">
        <v>1773</v>
      </c>
    </row>
    <row r="5" spans="1:29" ht="15">
      <c r="A5" s="348"/>
      <c r="B5" s="349"/>
      <c r="C5" s="3421" t="s">
        <v>1673</v>
      </c>
      <c r="D5" s="3422"/>
      <c r="E5" s="3423" t="s">
        <v>1674</v>
      </c>
      <c r="F5" s="3415"/>
      <c r="G5" s="3421" t="s">
        <v>1675</v>
      </c>
      <c r="H5" s="3422"/>
      <c r="I5" s="3421" t="s">
        <v>1676</v>
      </c>
      <c r="J5" s="3422"/>
      <c r="K5" s="537"/>
      <c r="L5" s="2485"/>
      <c r="M5" s="2486"/>
      <c r="N5" s="2486"/>
      <c r="O5" s="2486"/>
      <c r="P5" s="3402"/>
      <c r="Q5" s="3403"/>
      <c r="R5" s="3408"/>
      <c r="S5" s="3409"/>
      <c r="T5" s="3408"/>
      <c r="U5" s="3409"/>
      <c r="V5" s="3382"/>
      <c r="W5" s="3382"/>
      <c r="X5" s="1264"/>
      <c r="Y5" s="3408"/>
      <c r="Z5" s="3409"/>
      <c r="AA5" s="3394"/>
      <c r="AB5" s="3394"/>
      <c r="AC5" s="3394"/>
    </row>
    <row r="6" spans="1:29" ht="15.75" thickBot="1">
      <c r="A6" s="350"/>
      <c r="B6" s="351"/>
      <c r="C6" s="3412" t="s">
        <v>1677</v>
      </c>
      <c r="D6" s="3413"/>
      <c r="E6" s="3419" t="s">
        <v>1677</v>
      </c>
      <c r="F6" s="3420"/>
      <c r="G6" s="3412" t="s">
        <v>1677</v>
      </c>
      <c r="H6" s="3413"/>
      <c r="I6" s="3412" t="s">
        <v>1677</v>
      </c>
      <c r="J6" s="3413"/>
      <c r="K6" s="537" t="s">
        <v>1678</v>
      </c>
      <c r="L6" s="2485"/>
      <c r="M6" s="2486"/>
      <c r="N6" s="2486"/>
      <c r="O6" s="2486"/>
      <c r="P6" s="3404"/>
      <c r="Q6" s="3405"/>
      <c r="R6" s="3408"/>
      <c r="S6" s="3409"/>
      <c r="T6" s="3410"/>
      <c r="U6" s="3411"/>
      <c r="V6" s="3382"/>
      <c r="W6" s="3382"/>
      <c r="X6" s="1264"/>
      <c r="Y6" s="3410"/>
      <c r="Z6" s="3411"/>
      <c r="AA6" s="3395"/>
      <c r="AB6" s="3395"/>
      <c r="AC6" s="3395"/>
    </row>
    <row r="7" spans="1:29" s="102" customFormat="1" ht="15.75" thickBot="1">
      <c r="A7" s="352" t="s">
        <v>1679</v>
      </c>
      <c r="B7" s="353"/>
      <c r="C7" s="354">
        <f>'数据-取费表'!B2</f>
        <v>45301</v>
      </c>
      <c r="D7" s="355">
        <v>100</v>
      </c>
      <c r="E7" s="356"/>
      <c r="F7" s="357">
        <f>SUMIF(46:46,YEAR(E7)&amp;"-"&amp;MONTH(E7),47:47)</f>
        <v>0</v>
      </c>
      <c r="G7" s="1820"/>
      <c r="H7" s="355">
        <f>SUMIF(46:46,YEAR(G7)&amp;"-"&amp;MONTH(G7),47:47)</f>
        <v>0</v>
      </c>
      <c r="I7" s="356"/>
      <c r="J7" s="355">
        <f>SUMIF(46:46,YEAR(I7)&amp;"-"&amp;MONTH(I7),47:47)</f>
        <v>0</v>
      </c>
      <c r="K7" s="38"/>
      <c r="L7" s="2487"/>
      <c r="M7" s="2438"/>
      <c r="N7" s="2438"/>
      <c r="O7" s="2438"/>
      <c r="P7" s="3416" t="s">
        <v>1680</v>
      </c>
      <c r="Q7" s="3418"/>
      <c r="R7" s="664" t="s">
        <v>14</v>
      </c>
      <c r="S7" s="665">
        <f t="shared" ref="S7:S14" si="0">F7</f>
        <v>0</v>
      </c>
      <c r="T7" s="664" t="s">
        <v>14</v>
      </c>
      <c r="U7" s="665">
        <f t="shared" ref="U7:U14" si="1">H7</f>
        <v>0</v>
      </c>
      <c r="V7" s="664" t="s">
        <v>14</v>
      </c>
      <c r="W7" s="665">
        <f t="shared" ref="W7:W14" si="2">J7</f>
        <v>0</v>
      </c>
      <c r="X7" s="666"/>
      <c r="Y7" s="3416" t="s">
        <v>1680</v>
      </c>
      <c r="Z7" s="3417"/>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416" t="s">
        <v>1683</v>
      </c>
      <c r="Q8" s="3417"/>
      <c r="R8" s="664" t="s">
        <v>14</v>
      </c>
      <c r="S8" s="665">
        <f t="shared" si="0"/>
        <v>100</v>
      </c>
      <c r="T8" s="664" t="s">
        <v>14</v>
      </c>
      <c r="U8" s="665">
        <f t="shared" si="1"/>
        <v>100</v>
      </c>
      <c r="V8" s="664" t="s">
        <v>14</v>
      </c>
      <c r="W8" s="665">
        <f t="shared" si="2"/>
        <v>100</v>
      </c>
      <c r="X8" s="666"/>
      <c r="Y8" s="3416" t="s">
        <v>1683</v>
      </c>
      <c r="Z8" s="3417"/>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381" t="s">
        <v>1686</v>
      </c>
      <c r="Q9" s="530" t="str">
        <f t="shared" ref="Q9:Q14" si="6">B9</f>
        <v>用途</v>
      </c>
      <c r="R9" s="664" t="s">
        <v>14</v>
      </c>
      <c r="S9" s="665">
        <f t="shared" si="0"/>
        <v>100</v>
      </c>
      <c r="T9" s="664" t="s">
        <v>14</v>
      </c>
      <c r="U9" s="665">
        <f t="shared" si="1"/>
        <v>100</v>
      </c>
      <c r="V9" s="664" t="s">
        <v>14</v>
      </c>
      <c r="W9" s="665">
        <f t="shared" si="2"/>
        <v>100</v>
      </c>
      <c r="X9" s="666"/>
      <c r="Y9" s="3256"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381"/>
      <c r="Q10" s="530" t="str">
        <f t="shared" si="6"/>
        <v>土地使用年限（年）</v>
      </c>
      <c r="R10" s="664" t="s">
        <v>14</v>
      </c>
      <c r="S10" s="665">
        <f t="shared" si="0"/>
        <v>100</v>
      </c>
      <c r="T10" s="664" t="s">
        <v>14</v>
      </c>
      <c r="U10" s="665">
        <f t="shared" si="1"/>
        <v>100</v>
      </c>
      <c r="V10" s="664" t="s">
        <v>14</v>
      </c>
      <c r="W10" s="665">
        <f t="shared" si="2"/>
        <v>100</v>
      </c>
      <c r="X10" s="666"/>
      <c r="Y10" s="3256"/>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381"/>
      <c r="Q11" s="530">
        <f t="shared" si="6"/>
        <v>111</v>
      </c>
      <c r="R11" s="664" t="s">
        <v>14</v>
      </c>
      <c r="S11" s="665">
        <f t="shared" si="0"/>
        <v>100</v>
      </c>
      <c r="T11" s="664" t="s">
        <v>14</v>
      </c>
      <c r="U11" s="665">
        <f t="shared" si="1"/>
        <v>100</v>
      </c>
      <c r="V11" s="664" t="s">
        <v>14</v>
      </c>
      <c r="W11" s="665">
        <f t="shared" si="2"/>
        <v>100</v>
      </c>
      <c r="X11" s="666"/>
      <c r="Y11" s="3256"/>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381"/>
      <c r="Q12" s="530">
        <f t="shared" si="6"/>
        <v>111</v>
      </c>
      <c r="R12" s="664" t="s">
        <v>14</v>
      </c>
      <c r="S12" s="665">
        <f t="shared" si="0"/>
        <v>100</v>
      </c>
      <c r="T12" s="664" t="s">
        <v>14</v>
      </c>
      <c r="U12" s="665">
        <f t="shared" si="1"/>
        <v>100</v>
      </c>
      <c r="V12" s="664" t="s">
        <v>14</v>
      </c>
      <c r="W12" s="665">
        <f t="shared" si="2"/>
        <v>100</v>
      </c>
      <c r="X12" s="666"/>
      <c r="Y12" s="3256"/>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1"/>
      <c r="H13" s="377">
        <f>SUMIF(59:59,G13,60:60)-SUMIF(59:59,C13,60:60)+100</f>
        <v>100</v>
      </c>
      <c r="I13" s="407"/>
      <c r="J13" s="374">
        <f>SUMIF(59:59,I13,60:60)-SUMIF(59:59,C13,60:60)+100</f>
        <v>100</v>
      </c>
      <c r="K13" s="539"/>
      <c r="L13" s="2491"/>
      <c r="M13" s="2486"/>
      <c r="N13" s="2486"/>
      <c r="O13" s="2541"/>
      <c r="P13" s="3381"/>
      <c r="Q13" s="530">
        <f t="shared" si="6"/>
        <v>111</v>
      </c>
      <c r="R13" s="664" t="s">
        <v>14</v>
      </c>
      <c r="S13" s="665">
        <f t="shared" si="0"/>
        <v>100</v>
      </c>
      <c r="T13" s="664" t="s">
        <v>14</v>
      </c>
      <c r="U13" s="665">
        <f t="shared" si="1"/>
        <v>100</v>
      </c>
      <c r="V13" s="664" t="s">
        <v>14</v>
      </c>
      <c r="W13" s="665">
        <f t="shared" si="2"/>
        <v>100</v>
      </c>
      <c r="X13" s="666"/>
      <c r="Y13" s="3256"/>
      <c r="Z13" s="50">
        <f t="shared" si="7"/>
        <v>111</v>
      </c>
      <c r="AA13" s="50">
        <f t="shared" si="3"/>
        <v>1</v>
      </c>
      <c r="AB13" s="50">
        <f t="shared" si="4"/>
        <v>1</v>
      </c>
      <c r="AC13" s="50">
        <f t="shared" si="5"/>
        <v>1</v>
      </c>
    </row>
    <row r="14" spans="1:29" ht="85.5">
      <c r="A14" s="379" t="s">
        <v>1690</v>
      </c>
      <c r="B14" s="58" t="s">
        <v>1833</v>
      </c>
      <c r="C14" s="1817"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383" t="s">
        <v>1691</v>
      </c>
      <c r="Q14" s="1262" t="str">
        <f t="shared" si="6"/>
        <v>交通便捷度</v>
      </c>
      <c r="R14" s="667" t="s">
        <v>14</v>
      </c>
      <c r="S14" s="668">
        <f t="shared" si="0"/>
        <v>100</v>
      </c>
      <c r="T14" s="667" t="s">
        <v>14</v>
      </c>
      <c r="U14" s="668">
        <f t="shared" si="1"/>
        <v>100</v>
      </c>
      <c r="V14" s="667" t="s">
        <v>14</v>
      </c>
      <c r="W14" s="668">
        <f t="shared" si="2"/>
        <v>100</v>
      </c>
      <c r="X14" s="1264"/>
      <c r="Y14" s="3383"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1"/>
      <c r="M15" s="2486"/>
      <c r="N15" s="2486"/>
      <c r="O15" s="2541"/>
      <c r="P15" s="3384"/>
      <c r="Q15" s="1262"/>
      <c r="R15" s="667"/>
      <c r="S15" s="668"/>
      <c r="T15" s="667"/>
      <c r="U15" s="668"/>
      <c r="V15" s="667"/>
      <c r="W15" s="668"/>
      <c r="X15" s="1264"/>
      <c r="Y15" s="3384"/>
      <c r="Z15" s="1263"/>
      <c r="AA15" s="1263">
        <v>1</v>
      </c>
      <c r="AB15" s="1263">
        <v>1</v>
      </c>
      <c r="AC15" s="1263">
        <v>1</v>
      </c>
    </row>
    <row r="16" spans="1:29" ht="42.75">
      <c r="A16" s="367"/>
      <c r="B16" s="390" t="s">
        <v>1812</v>
      </c>
      <c r="C16" s="1752"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384"/>
      <c r="Q16" s="1262" t="str">
        <f>B16</f>
        <v>公共配套设施</v>
      </c>
      <c r="R16" s="667" t="s">
        <v>14</v>
      </c>
      <c r="S16" s="668">
        <f>F16</f>
        <v>100</v>
      </c>
      <c r="T16" s="667" t="s">
        <v>14</v>
      </c>
      <c r="U16" s="668">
        <f>H16</f>
        <v>100</v>
      </c>
      <c r="V16" s="667" t="s">
        <v>14</v>
      </c>
      <c r="W16" s="668">
        <f>J16</f>
        <v>100</v>
      </c>
      <c r="X16" s="1264"/>
      <c r="Y16" s="3384"/>
      <c r="Z16" s="1263" t="str">
        <f>Q16</f>
        <v>公共配套设施</v>
      </c>
      <c r="AA16" s="1263">
        <f t="shared" si="3"/>
        <v>1</v>
      </c>
      <c r="AB16" s="1263">
        <f t="shared" si="4"/>
        <v>1</v>
      </c>
      <c r="AC16" s="1263">
        <f t="shared" si="5"/>
        <v>1</v>
      </c>
    </row>
    <row r="17" spans="1:29" ht="15">
      <c r="A17" s="367"/>
      <c r="B17" s="395"/>
      <c r="C17" s="1753"/>
      <c r="D17" s="387"/>
      <c r="E17" s="386"/>
      <c r="F17" s="388"/>
      <c r="G17" s="386"/>
      <c r="H17" s="387"/>
      <c r="I17" s="386"/>
      <c r="J17" s="387"/>
      <c r="K17" s="541"/>
      <c r="L17" s="2491"/>
      <c r="M17" s="2486"/>
      <c r="N17" s="2486"/>
      <c r="O17" s="2541"/>
      <c r="P17" s="3384"/>
      <c r="Q17" s="1262"/>
      <c r="R17" s="667"/>
      <c r="S17" s="668"/>
      <c r="T17" s="667"/>
      <c r="U17" s="668"/>
      <c r="V17" s="667"/>
      <c r="W17" s="668"/>
      <c r="X17" s="1264"/>
      <c r="Y17" s="3384"/>
      <c r="Z17" s="1263"/>
      <c r="AA17" s="1263">
        <v>1</v>
      </c>
      <c r="AB17" s="1263">
        <v>1</v>
      </c>
      <c r="AC17" s="1263">
        <v>1</v>
      </c>
    </row>
    <row r="18" spans="1:29" ht="28.5">
      <c r="A18" s="367"/>
      <c r="B18" s="586" t="s">
        <v>1813</v>
      </c>
      <c r="C18" s="1752"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384"/>
      <c r="Q18" s="1262" t="str">
        <f>B18</f>
        <v>基础设施水平</v>
      </c>
      <c r="R18" s="667" t="s">
        <v>14</v>
      </c>
      <c r="S18" s="668">
        <f>F18</f>
        <v>100</v>
      </c>
      <c r="T18" s="667" t="s">
        <v>14</v>
      </c>
      <c r="U18" s="668">
        <f>H18</f>
        <v>100</v>
      </c>
      <c r="V18" s="667" t="s">
        <v>14</v>
      </c>
      <c r="W18" s="668">
        <f>J18</f>
        <v>100</v>
      </c>
      <c r="X18" s="1264"/>
      <c r="Y18" s="3384"/>
      <c r="Z18" s="1263" t="str">
        <f>Q18</f>
        <v>基础设施水平</v>
      </c>
      <c r="AA18" s="1263">
        <f t="shared" ref="AA18" si="8">D18/F18</f>
        <v>1</v>
      </c>
      <c r="AB18" s="1263">
        <f t="shared" ref="AB18" si="9">D18/H18</f>
        <v>1</v>
      </c>
      <c r="AC18" s="1263">
        <f t="shared" ref="AC18" si="10">D18/J18</f>
        <v>1</v>
      </c>
    </row>
    <row r="19" spans="1:29" ht="15">
      <c r="A19" s="367"/>
      <c r="B19" s="586"/>
      <c r="C19" s="1753"/>
      <c r="D19" s="389"/>
      <c r="E19" s="1753"/>
      <c r="F19" s="392"/>
      <c r="G19" s="1753"/>
      <c r="H19" s="387"/>
      <c r="I19" s="386"/>
      <c r="J19" s="387"/>
      <c r="K19" s="1064"/>
      <c r="L19" s="2491"/>
      <c r="M19" s="2486"/>
      <c r="N19" s="2486"/>
      <c r="O19" s="2541"/>
      <c r="P19" s="3384"/>
      <c r="Q19" s="1262"/>
      <c r="R19" s="667"/>
      <c r="S19" s="668"/>
      <c r="T19" s="667"/>
      <c r="U19" s="668"/>
      <c r="V19" s="667"/>
      <c r="W19" s="668"/>
      <c r="X19" s="1264"/>
      <c r="Y19" s="3384"/>
      <c r="Z19" s="1263"/>
      <c r="AA19" s="1263">
        <v>1</v>
      </c>
      <c r="AB19" s="1263">
        <v>1</v>
      </c>
      <c r="AC19" s="1263">
        <v>1</v>
      </c>
    </row>
    <row r="20" spans="1:29" ht="57">
      <c r="A20" s="367"/>
      <c r="B20" s="390" t="s">
        <v>1834</v>
      </c>
      <c r="C20" s="1752"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384"/>
      <c r="Q20" s="1262" t="str">
        <f>B20</f>
        <v>自然及人文环境</v>
      </c>
      <c r="R20" s="667" t="s">
        <v>14</v>
      </c>
      <c r="S20" s="668">
        <f>F20</f>
        <v>100</v>
      </c>
      <c r="T20" s="667" t="s">
        <v>14</v>
      </c>
      <c r="U20" s="668">
        <f>H20</f>
        <v>100</v>
      </c>
      <c r="V20" s="667" t="s">
        <v>14</v>
      </c>
      <c r="W20" s="668">
        <f>J20</f>
        <v>100</v>
      </c>
      <c r="X20" s="1264"/>
      <c r="Y20" s="3384"/>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1"/>
      <c r="M21" s="2486"/>
      <c r="N21" s="2486"/>
      <c r="O21" s="2541"/>
      <c r="P21" s="3384"/>
      <c r="Q21" s="1262"/>
      <c r="R21" s="667"/>
      <c r="S21" s="668"/>
      <c r="T21" s="667"/>
      <c r="U21" s="668"/>
      <c r="V21" s="667"/>
      <c r="W21" s="668"/>
      <c r="X21" s="1264"/>
      <c r="Y21" s="3384"/>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384"/>
      <c r="Q22" s="1262" t="str">
        <f>B22</f>
        <v>楼层</v>
      </c>
      <c r="R22" s="667" t="s">
        <v>14</v>
      </c>
      <c r="S22" s="668">
        <f>F22</f>
        <v>100</v>
      </c>
      <c r="T22" s="667" t="s">
        <v>14</v>
      </c>
      <c r="U22" s="668">
        <f>H22</f>
        <v>100</v>
      </c>
      <c r="V22" s="667" t="s">
        <v>14</v>
      </c>
      <c r="W22" s="668">
        <f>J22</f>
        <v>100</v>
      </c>
      <c r="X22" s="1264"/>
      <c r="Y22" s="3384"/>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384"/>
      <c r="Q23" s="1262">
        <f>B23</f>
        <v>111</v>
      </c>
      <c r="R23" s="667" t="s">
        <v>14</v>
      </c>
      <c r="S23" s="668">
        <f>F23</f>
        <v>100</v>
      </c>
      <c r="T23" s="667" t="s">
        <v>14</v>
      </c>
      <c r="U23" s="668">
        <f>H23</f>
        <v>100</v>
      </c>
      <c r="V23" s="667" t="s">
        <v>14</v>
      </c>
      <c r="W23" s="668">
        <f>J23</f>
        <v>100</v>
      </c>
      <c r="X23" s="1264"/>
      <c r="Y23" s="3384"/>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384"/>
      <c r="Q24" s="1262">
        <f t="shared" ref="Q24:Q34" si="11">B24</f>
        <v>111</v>
      </c>
      <c r="R24" s="667" t="s">
        <v>14</v>
      </c>
      <c r="S24" s="668">
        <f>F24</f>
        <v>100</v>
      </c>
      <c r="T24" s="667" t="s">
        <v>14</v>
      </c>
      <c r="U24" s="668">
        <f>H24</f>
        <v>100</v>
      </c>
      <c r="V24" s="667" t="s">
        <v>14</v>
      </c>
      <c r="W24" s="668">
        <f>J24</f>
        <v>100</v>
      </c>
      <c r="X24" s="1264"/>
      <c r="Y24" s="3384"/>
      <c r="Z24" s="1263">
        <f>Q24</f>
        <v>111</v>
      </c>
      <c r="AA24" s="1263">
        <f t="shared" si="3"/>
        <v>1</v>
      </c>
      <c r="AB24" s="1263">
        <f t="shared" si="4"/>
        <v>1</v>
      </c>
      <c r="AC24" s="1263">
        <f t="shared" si="5"/>
        <v>1</v>
      </c>
    </row>
    <row r="25" spans="1:29" s="102" customFormat="1" ht="15.75" thickBot="1">
      <c r="A25" s="370"/>
      <c r="B25" s="447">
        <v>111</v>
      </c>
      <c r="C25" s="1822"/>
      <c r="D25" s="557">
        <v>100</v>
      </c>
      <c r="E25" s="1822"/>
      <c r="F25" s="586">
        <f>SUMIF(75:75,E25,76:76)-SUMIF(75:75,C25,76:76)+100</f>
        <v>100</v>
      </c>
      <c r="G25" s="1822"/>
      <c r="H25" s="557">
        <f>SUMIF(75:75,G25,76:76)-SUMIF(75:75,C25,76:76)+100</f>
        <v>100</v>
      </c>
      <c r="I25" s="1822"/>
      <c r="J25" s="557">
        <f>SUMIF(75:75,I25,76:76)-SUMIF(75:75,C25,76:76)+100</f>
        <v>100</v>
      </c>
      <c r="K25" s="539"/>
      <c r="L25" s="2487"/>
      <c r="M25" s="2438"/>
      <c r="N25" s="2438"/>
      <c r="O25" s="2539"/>
      <c r="P25" s="3384"/>
      <c r="Q25" s="530">
        <f t="shared" si="11"/>
        <v>111</v>
      </c>
      <c r="R25" s="664" t="s">
        <v>14</v>
      </c>
      <c r="S25" s="665">
        <f>F25</f>
        <v>100</v>
      </c>
      <c r="T25" s="664" t="s">
        <v>14</v>
      </c>
      <c r="U25" s="665">
        <f>H25</f>
        <v>100</v>
      </c>
      <c r="V25" s="664" t="s">
        <v>14</v>
      </c>
      <c r="W25" s="665">
        <f>J25</f>
        <v>100</v>
      </c>
      <c r="X25" s="666"/>
      <c r="Y25" s="3384"/>
      <c r="Z25" s="50">
        <f>Q25</f>
        <v>111</v>
      </c>
      <c r="AA25" s="1263">
        <f>D25/F25</f>
        <v>1</v>
      </c>
      <c r="AB25" s="1263">
        <f>D25/H25</f>
        <v>1</v>
      </c>
      <c r="AC25" s="1263">
        <f>D25/J25</f>
        <v>1</v>
      </c>
    </row>
    <row r="26" spans="1:29" ht="28.5">
      <c r="A26" s="404" t="s">
        <v>1694</v>
      </c>
      <c r="B26" s="60" t="s">
        <v>1838</v>
      </c>
      <c r="C26" s="1762"/>
      <c r="D26" s="405">
        <v>100</v>
      </c>
      <c r="E26" s="1762"/>
      <c r="F26" s="587">
        <f>SUMIF(77:77,E26,78:78)-SUMIF(77:77,C26,78:78)+100</f>
        <v>100</v>
      </c>
      <c r="G26" s="1762"/>
      <c r="H26" s="405">
        <f>SUMIF(77:77,G26,78:78)-SUMIF(77:77,C26,78:78)+100</f>
        <v>100</v>
      </c>
      <c r="I26" s="1762"/>
      <c r="J26" s="405">
        <f>SUMIF(77:77,I26,78:78)-SUMIF(77:77,C26,78:78)+100</f>
        <v>100</v>
      </c>
      <c r="K26" s="538"/>
      <c r="L26" s="2491"/>
      <c r="M26" s="2486"/>
      <c r="N26" s="2486"/>
      <c r="O26" s="2541"/>
      <c r="P26" s="3439"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388"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388"/>
      <c r="Q27" s="531" t="str">
        <f t="shared" si="11"/>
        <v>成新率</v>
      </c>
      <c r="R27" s="669" t="s">
        <v>14</v>
      </c>
      <c r="S27" s="670" t="e">
        <f t="shared" si="12"/>
        <v>#N/A</v>
      </c>
      <c r="T27" s="669" t="s">
        <v>14</v>
      </c>
      <c r="U27" s="670" t="e">
        <f t="shared" si="13"/>
        <v>#N/A</v>
      </c>
      <c r="V27" s="669" t="s">
        <v>14</v>
      </c>
      <c r="W27" s="670" t="e">
        <f t="shared" si="14"/>
        <v>#N/A</v>
      </c>
      <c r="X27" s="671"/>
      <c r="Y27" s="3388"/>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388"/>
      <c r="Q28" s="1262" t="str">
        <f t="shared" si="11"/>
        <v>物业等级</v>
      </c>
      <c r="R28" s="667" t="s">
        <v>14</v>
      </c>
      <c r="S28" s="668">
        <f t="shared" si="12"/>
        <v>100</v>
      </c>
      <c r="T28" s="667" t="s">
        <v>14</v>
      </c>
      <c r="U28" s="668">
        <f t="shared" si="13"/>
        <v>100</v>
      </c>
      <c r="V28" s="667" t="s">
        <v>14</v>
      </c>
      <c r="W28" s="668">
        <f t="shared" si="14"/>
        <v>100</v>
      </c>
      <c r="X28" s="1264"/>
      <c r="Y28" s="3388"/>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388"/>
      <c r="Q29" s="1262" t="str">
        <f t="shared" si="11"/>
        <v>有无电梯</v>
      </c>
      <c r="R29" s="667" t="s">
        <v>14</v>
      </c>
      <c r="S29" s="668">
        <f t="shared" si="12"/>
        <v>100</v>
      </c>
      <c r="T29" s="667" t="s">
        <v>14</v>
      </c>
      <c r="U29" s="668">
        <f t="shared" si="13"/>
        <v>100</v>
      </c>
      <c r="V29" s="667" t="s">
        <v>14</v>
      </c>
      <c r="W29" s="668">
        <f t="shared" si="14"/>
        <v>100</v>
      </c>
      <c r="X29" s="1264"/>
      <c r="Y29" s="3388"/>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388"/>
      <c r="Q30" s="1262" t="str">
        <f t="shared" si="11"/>
        <v>建筑面积</v>
      </c>
      <c r="R30" s="667" t="s">
        <v>14</v>
      </c>
      <c r="S30" s="668" t="e">
        <f t="shared" si="12"/>
        <v>#N/A</v>
      </c>
      <c r="T30" s="667" t="s">
        <v>14</v>
      </c>
      <c r="U30" s="668" t="e">
        <f t="shared" si="13"/>
        <v>#N/A</v>
      </c>
      <c r="V30" s="667" t="s">
        <v>14</v>
      </c>
      <c r="W30" s="668" t="e">
        <f t="shared" si="14"/>
        <v>#N/A</v>
      </c>
      <c r="X30" s="1264"/>
      <c r="Y30" s="3388"/>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9"/>
      <c r="P31" s="3388"/>
      <c r="Q31" s="530" t="str">
        <f t="shared" si="11"/>
        <v>是否封闭</v>
      </c>
      <c r="R31" s="664" t="s">
        <v>14</v>
      </c>
      <c r="S31" s="665">
        <f t="shared" si="12"/>
        <v>100</v>
      </c>
      <c r="T31" s="664" t="s">
        <v>14</v>
      </c>
      <c r="U31" s="665">
        <f t="shared" si="13"/>
        <v>100</v>
      </c>
      <c r="V31" s="664" t="s">
        <v>14</v>
      </c>
      <c r="W31" s="665">
        <f t="shared" si="14"/>
        <v>100</v>
      </c>
      <c r="X31" s="666"/>
      <c r="Y31" s="3388"/>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388" t="s">
        <v>1696</v>
      </c>
      <c r="Q32" s="1262">
        <f t="shared" si="11"/>
        <v>111</v>
      </c>
      <c r="R32" s="667" t="s">
        <v>14</v>
      </c>
      <c r="S32" s="668">
        <f t="shared" si="12"/>
        <v>100</v>
      </c>
      <c r="T32" s="667" t="s">
        <v>14</v>
      </c>
      <c r="U32" s="668">
        <f t="shared" si="13"/>
        <v>100</v>
      </c>
      <c r="V32" s="667" t="s">
        <v>14</v>
      </c>
      <c r="W32" s="668">
        <f t="shared" si="14"/>
        <v>100</v>
      </c>
      <c r="X32" s="1264"/>
      <c r="Y32" s="3388"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388"/>
      <c r="Q33" s="1262">
        <f t="shared" si="11"/>
        <v>111</v>
      </c>
      <c r="R33" s="667" t="s">
        <v>14</v>
      </c>
      <c r="S33" s="668">
        <f t="shared" si="12"/>
        <v>100</v>
      </c>
      <c r="T33" s="667" t="s">
        <v>14</v>
      </c>
      <c r="U33" s="668">
        <f t="shared" si="13"/>
        <v>100</v>
      </c>
      <c r="V33" s="667" t="s">
        <v>14</v>
      </c>
      <c r="W33" s="668">
        <f t="shared" si="14"/>
        <v>100</v>
      </c>
      <c r="X33" s="1264"/>
      <c r="Y33" s="3388"/>
      <c r="Z33" s="1263">
        <f t="shared" si="15"/>
        <v>111</v>
      </c>
      <c r="AA33" s="1263">
        <f t="shared" si="3"/>
        <v>1</v>
      </c>
      <c r="AB33" s="1263">
        <f t="shared" si="4"/>
        <v>1</v>
      </c>
      <c r="AC33" s="1263">
        <f t="shared" si="5"/>
        <v>1</v>
      </c>
    </row>
    <row r="34" spans="1:30" ht="15.75" thickBot="1">
      <c r="A34" s="415"/>
      <c r="B34" s="1747">
        <v>111</v>
      </c>
      <c r="C34" s="376"/>
      <c r="D34" s="377">
        <v>100</v>
      </c>
      <c r="E34" s="1821"/>
      <c r="F34" s="378">
        <f>SUMIF(95:95,E34,96:96)-SUMIF(95:95,C34,96:96)+100</f>
        <v>100</v>
      </c>
      <c r="G34" s="1821"/>
      <c r="H34" s="377">
        <f>SUMIF(95:95,G34,96:96)-SUMIF(95:95,C34,96:96)+100</f>
        <v>100</v>
      </c>
      <c r="I34" s="1821"/>
      <c r="J34" s="377">
        <f>SUMIF(95:95,I34,96:96)-SUMIF(95:95,C34,96:96)+100</f>
        <v>100</v>
      </c>
      <c r="K34" s="539"/>
      <c r="L34" s="2491"/>
      <c r="M34" s="2486"/>
      <c r="N34" s="2486"/>
      <c r="O34" s="2541"/>
      <c r="P34" s="3388"/>
      <c r="Q34" s="1262">
        <f t="shared" si="11"/>
        <v>111</v>
      </c>
      <c r="R34" s="667" t="s">
        <v>14</v>
      </c>
      <c r="S34" s="668">
        <f t="shared" si="12"/>
        <v>100</v>
      </c>
      <c r="T34" s="667" t="s">
        <v>14</v>
      </c>
      <c r="U34" s="668">
        <f t="shared" si="13"/>
        <v>100</v>
      </c>
      <c r="V34" s="667" t="s">
        <v>14</v>
      </c>
      <c r="W34" s="668">
        <f t="shared" si="14"/>
        <v>100</v>
      </c>
      <c r="X34" s="1264"/>
      <c r="Y34" s="3388"/>
      <c r="Z34" s="1263">
        <f t="shared" si="15"/>
        <v>111</v>
      </c>
      <c r="AA34" s="1263">
        <f t="shared" si="3"/>
        <v>1</v>
      </c>
      <c r="AB34" s="1263">
        <f t="shared" si="4"/>
        <v>1</v>
      </c>
      <c r="AC34" s="1263">
        <f t="shared" si="5"/>
        <v>1</v>
      </c>
    </row>
    <row r="35" spans="1:30" ht="15">
      <c r="A35" s="416" t="s">
        <v>1708</v>
      </c>
      <c r="B35" s="417"/>
      <c r="C35" s="1081" t="s">
        <v>0</v>
      </c>
      <c r="D35" s="418"/>
      <c r="E35" s="419"/>
      <c r="F35" s="420"/>
      <c r="G35" s="421"/>
      <c r="H35" s="422"/>
      <c r="I35" s="419"/>
      <c r="J35" s="422"/>
      <c r="K35" s="674"/>
      <c r="L35" s="2493"/>
      <c r="M35" s="2486"/>
      <c r="N35" s="2486"/>
      <c r="O35" s="2486"/>
      <c r="P35" s="3381" t="str">
        <f>A35</f>
        <v>成交单价（元/平方米）</v>
      </c>
      <c r="Q35" s="3381"/>
      <c r="R35" s="3382">
        <f>E35</f>
        <v>0</v>
      </c>
      <c r="S35" s="3382"/>
      <c r="T35" s="3382">
        <f>G35</f>
        <v>0</v>
      </c>
      <c r="U35" s="3382"/>
      <c r="V35" s="3382">
        <f>I35</f>
        <v>0</v>
      </c>
      <c r="W35" s="3382"/>
      <c r="X35" s="385"/>
      <c r="Y35" s="673"/>
      <c r="Z35" s="385"/>
      <c r="AA35" s="385"/>
      <c r="AB35" s="385"/>
      <c r="AC35" s="385"/>
    </row>
    <row r="36" spans="1:30" ht="15.75" thickBot="1">
      <c r="A36" s="423" t="s">
        <v>1793</v>
      </c>
      <c r="B36" s="424"/>
      <c r="C36" s="1082" t="e">
        <f>R37</f>
        <v>#DIV/0!</v>
      </c>
      <c r="D36" s="2139" t="s">
        <v>2138</v>
      </c>
      <c r="E36" s="1083" t="e">
        <f>R36</f>
        <v>#DIV/0!</v>
      </c>
      <c r="F36" s="2140"/>
      <c r="G36" s="1082" t="e">
        <f>T36</f>
        <v>#DIV/0!</v>
      </c>
      <c r="H36" s="2140"/>
      <c r="I36" s="1083" t="e">
        <f>V36</f>
        <v>#DIV/0!</v>
      </c>
      <c r="J36" s="2140"/>
      <c r="K36" s="2142">
        <f>F36+H36+J36</f>
        <v>0</v>
      </c>
      <c r="L36" s="2493"/>
      <c r="M36" s="2486"/>
      <c r="N36" s="2486"/>
      <c r="O36" s="2486"/>
      <c r="P36" s="3381" t="str">
        <f>A36</f>
        <v>比较价值（元/平方米）</v>
      </c>
      <c r="Q36" s="3381"/>
      <c r="R36" s="3382" t="e">
        <f>IF(F1="售价",ROUND(PRODUCT(R35,AA7:AA34),0),ROUND(PRODUCT(R35,AA7:AA34),1))</f>
        <v>#DIV/0!</v>
      </c>
      <c r="S36" s="3382"/>
      <c r="T36" s="3382" t="e">
        <f>IF(F1="售价",ROUND(PRODUCT(T35,AB7:AB34),0),ROUND(PRODUCT(T35,AB7:AB34),1))</f>
        <v>#DIV/0!</v>
      </c>
      <c r="U36" s="3382"/>
      <c r="V36" s="3382" t="e">
        <f>IF(F1="售价",ROUND(PRODUCT(V35,AC7:AC34),0),ROUND(PRODUCT(V35,AC7:AC34),1))</f>
        <v>#DIV/0!</v>
      </c>
      <c r="W36" s="3382"/>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3"/>
      <c r="M37" s="2486"/>
      <c r="N37" s="2486"/>
      <c r="O37" s="2486"/>
      <c r="P37" s="3378" t="str">
        <f>A37</f>
        <v>估价对象XX用房的比较价值（楼面单价，元/平方米）</v>
      </c>
      <c r="Q37" s="3379"/>
      <c r="R37" s="3440" t="e">
        <f>IF(F1="售价",ROUND(IF(D36="简单平均",AVERAGE(R36:W36),R36*F36+T36*H36+V36*J36),0),ROUND(IF(D36="简单平均",AVERAGE(R36:V36),R36*F36+T36*H36+V36*J36),1))</f>
        <v>#DIV/0!</v>
      </c>
      <c r="S37" s="3440"/>
      <c r="T37" s="3440"/>
      <c r="U37" s="3440"/>
      <c r="V37" s="3440"/>
      <c r="W37" s="3440"/>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2" t="str">
        <f>YEAR(C7)&amp;"-"&amp;MONTH(C7)</f>
        <v>2024-1</v>
      </c>
      <c r="D46" s="1103">
        <f>EDATE(C46,-1)</f>
        <v>45261</v>
      </c>
      <c r="E46" s="1103">
        <f t="shared" ref="E46:O46" si="16">EDATE(D46,-1)</f>
        <v>45231</v>
      </c>
      <c r="F46" s="1103">
        <f t="shared" si="16"/>
        <v>45200</v>
      </c>
      <c r="G46" s="1103">
        <f t="shared" si="16"/>
        <v>45170</v>
      </c>
      <c r="H46" s="1103">
        <f t="shared" si="16"/>
        <v>45139</v>
      </c>
      <c r="I46" s="1103">
        <f t="shared" si="16"/>
        <v>45108</v>
      </c>
      <c r="J46" s="1103">
        <f t="shared" si="16"/>
        <v>45078</v>
      </c>
      <c r="K46" s="1103">
        <f t="shared" si="16"/>
        <v>45047</v>
      </c>
      <c r="L46" s="1103">
        <f t="shared" si="16"/>
        <v>45017</v>
      </c>
      <c r="M46" s="1103">
        <f t="shared" si="16"/>
        <v>44986</v>
      </c>
      <c r="N46" s="1103">
        <f t="shared" si="16"/>
        <v>44958</v>
      </c>
      <c r="O46" s="1103">
        <f t="shared" si="16"/>
        <v>44927</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1">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M9" sqref="M9"/>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96" t="s">
        <v>1770</v>
      </c>
      <c r="D4" s="3397"/>
      <c r="E4" s="3398" t="s">
        <v>1771</v>
      </c>
      <c r="F4" s="3399"/>
      <c r="G4" s="3396" t="s">
        <v>1772</v>
      </c>
      <c r="H4" s="3397"/>
      <c r="I4" s="3396" t="s">
        <v>1773</v>
      </c>
      <c r="J4" s="3397"/>
      <c r="K4" s="537" t="s">
        <v>1774</v>
      </c>
      <c r="L4" s="2485"/>
      <c r="M4" s="2486"/>
      <c r="N4" s="2486"/>
      <c r="O4" s="2486"/>
      <c r="P4" s="3400" t="s">
        <v>1775</v>
      </c>
      <c r="Q4" s="3401"/>
      <c r="R4" s="3406" t="s">
        <v>1771</v>
      </c>
      <c r="S4" s="3407"/>
      <c r="T4" s="3406" t="s">
        <v>1772</v>
      </c>
      <c r="U4" s="3407"/>
      <c r="V4" s="3382" t="s">
        <v>1773</v>
      </c>
      <c r="W4" s="3382"/>
      <c r="X4" s="1264"/>
      <c r="Y4" s="3406" t="s">
        <v>1775</v>
      </c>
      <c r="Z4" s="3407"/>
      <c r="AA4" s="3393" t="s">
        <v>1771</v>
      </c>
      <c r="AB4" s="3394" t="s">
        <v>1772</v>
      </c>
      <c r="AC4" s="3393" t="s">
        <v>1773</v>
      </c>
    </row>
    <row r="5" spans="1:29" ht="15">
      <c r="A5" s="348"/>
      <c r="B5" s="349"/>
      <c r="C5" s="3421" t="s">
        <v>1673</v>
      </c>
      <c r="D5" s="3422"/>
      <c r="E5" s="3423" t="s">
        <v>1674</v>
      </c>
      <c r="F5" s="3415"/>
      <c r="G5" s="3421" t="s">
        <v>1675</v>
      </c>
      <c r="H5" s="3422"/>
      <c r="I5" s="3421" t="s">
        <v>1676</v>
      </c>
      <c r="J5" s="3422"/>
      <c r="K5" s="537"/>
      <c r="L5" s="2485"/>
      <c r="M5" s="2486"/>
      <c r="N5" s="2486"/>
      <c r="O5" s="2486"/>
      <c r="P5" s="3402"/>
      <c r="Q5" s="3403"/>
      <c r="R5" s="3408"/>
      <c r="S5" s="3409"/>
      <c r="T5" s="3408"/>
      <c r="U5" s="3409"/>
      <c r="V5" s="3382"/>
      <c r="W5" s="3382"/>
      <c r="X5" s="1264"/>
      <c r="Y5" s="3408"/>
      <c r="Z5" s="3409"/>
      <c r="AA5" s="3394"/>
      <c r="AB5" s="3394"/>
      <c r="AC5" s="3394"/>
    </row>
    <row r="6" spans="1:29" ht="15.75" thickBot="1">
      <c r="A6" s="350"/>
      <c r="B6" s="351"/>
      <c r="C6" s="3412" t="s">
        <v>1677</v>
      </c>
      <c r="D6" s="3413"/>
      <c r="E6" s="3419" t="s">
        <v>1677</v>
      </c>
      <c r="F6" s="3420"/>
      <c r="G6" s="3412" t="s">
        <v>1677</v>
      </c>
      <c r="H6" s="3413"/>
      <c r="I6" s="3412" t="s">
        <v>1677</v>
      </c>
      <c r="J6" s="3413"/>
      <c r="K6" s="537" t="s">
        <v>1678</v>
      </c>
      <c r="L6" s="2485"/>
      <c r="M6" s="2486"/>
      <c r="N6" s="2486"/>
      <c r="O6" s="2486"/>
      <c r="P6" s="3404"/>
      <c r="Q6" s="3405"/>
      <c r="R6" s="3408"/>
      <c r="S6" s="3409"/>
      <c r="T6" s="3410"/>
      <c r="U6" s="3411"/>
      <c r="V6" s="3382"/>
      <c r="W6" s="3382"/>
      <c r="X6" s="1264"/>
      <c r="Y6" s="3410"/>
      <c r="Z6" s="3411"/>
      <c r="AA6" s="3395"/>
      <c r="AB6" s="3395"/>
      <c r="AC6" s="3395"/>
    </row>
    <row r="7" spans="1:29" s="102" customFormat="1" ht="15.75" thickBot="1">
      <c r="A7" s="352" t="s">
        <v>1679</v>
      </c>
      <c r="B7" s="353"/>
      <c r="C7" s="354">
        <f>'数据-取费表'!B2</f>
        <v>45301</v>
      </c>
      <c r="D7" s="355">
        <v>100</v>
      </c>
      <c r="E7" s="356"/>
      <c r="F7" s="357">
        <f>SUMIF(69:69,YEAR(E7)&amp;"-"&amp;INT((MONTH(E7)+2)/3),70:70)</f>
        <v>0</v>
      </c>
      <c r="G7" s="1820"/>
      <c r="H7" s="355">
        <f>SUMIF(69:69,YEAR(G7)&amp;"-"&amp;INT((MONTH(G7)+2)/3),70:70)</f>
        <v>0</v>
      </c>
      <c r="I7" s="1820"/>
      <c r="J7" s="355">
        <f>SUMIF(69:69,YEAR(I7)&amp;"-"&amp;INT((MONTH(I7)+2)/3),70:70)</f>
        <v>0</v>
      </c>
      <c r="K7" s="38"/>
      <c r="L7" s="2487"/>
      <c r="M7" s="2438"/>
      <c r="N7" s="2438"/>
      <c r="O7" s="2438"/>
      <c r="P7" s="3416" t="s">
        <v>1680</v>
      </c>
      <c r="Q7" s="3418"/>
      <c r="R7" s="664" t="s">
        <v>14</v>
      </c>
      <c r="S7" s="665">
        <f t="shared" ref="S7:S15" si="0">F7</f>
        <v>0</v>
      </c>
      <c r="T7" s="664" t="s">
        <v>14</v>
      </c>
      <c r="U7" s="665">
        <f t="shared" ref="U7:U15" si="1">H7</f>
        <v>0</v>
      </c>
      <c r="V7" s="664" t="s">
        <v>14</v>
      </c>
      <c r="W7" s="665">
        <f t="shared" ref="W7:W15" si="2">J7</f>
        <v>0</v>
      </c>
      <c r="X7" s="666"/>
      <c r="Y7" s="3416" t="s">
        <v>1680</v>
      </c>
      <c r="Z7" s="3417"/>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416" t="s">
        <v>1683</v>
      </c>
      <c r="Q8" s="3417"/>
      <c r="R8" s="664" t="s">
        <v>14</v>
      </c>
      <c r="S8" s="665">
        <f t="shared" si="0"/>
        <v>0</v>
      </c>
      <c r="T8" s="664" t="s">
        <v>14</v>
      </c>
      <c r="U8" s="665">
        <f t="shared" si="1"/>
        <v>0</v>
      </c>
      <c r="V8" s="664" t="s">
        <v>14</v>
      </c>
      <c r="W8" s="665">
        <f t="shared" si="2"/>
        <v>0</v>
      </c>
      <c r="X8" s="666"/>
      <c r="Y8" s="3416" t="s">
        <v>1683</v>
      </c>
      <c r="Z8" s="3417"/>
      <c r="AA8" s="50" t="e">
        <f t="shared" ref="AA8:AA45" si="3">D8/F8</f>
        <v>#DIV/0!</v>
      </c>
      <c r="AB8" s="50" t="e">
        <f t="shared" ref="AB8:AB45" si="4">D8/H8</f>
        <v>#DIV/0!</v>
      </c>
      <c r="AC8" s="50" t="e">
        <f t="shared" ref="AC8:AC45" si="5">D8/J8</f>
        <v>#DIV/0!</v>
      </c>
    </row>
    <row r="9" spans="1:29" s="102" customFormat="1">
      <c r="A9" s="359" t="s">
        <v>1684</v>
      </c>
      <c r="B9" s="60" t="s">
        <v>1685</v>
      </c>
      <c r="C9" s="1823"/>
      <c r="D9" s="59">
        <v>100</v>
      </c>
      <c r="E9" s="1823"/>
      <c r="F9" s="59">
        <f>SUMIF(74:74,E9,75:75)-SUMIF(74:74,C9,75:75)+100</f>
        <v>100</v>
      </c>
      <c r="G9" s="1823"/>
      <c r="H9" s="59">
        <f>SUMIF(74:74,G9,75:75)-SUMIF(74:74,C9,75:75)+100</f>
        <v>100</v>
      </c>
      <c r="I9" s="1823"/>
      <c r="J9" s="59">
        <f>SUMIF(74:74,I9,75:75)-SUMIF(74:74,C9,75:75)+100</f>
        <v>100</v>
      </c>
      <c r="K9" s="38"/>
      <c r="L9" s="2487"/>
      <c r="M9" s="2438"/>
      <c r="N9" s="2438"/>
      <c r="O9" s="2539"/>
      <c r="P9" s="3381" t="s">
        <v>1686</v>
      </c>
      <c r="Q9" s="530" t="str">
        <f t="shared" ref="Q9:Q15" si="6">B9</f>
        <v>用途</v>
      </c>
      <c r="R9" s="664" t="s">
        <v>14</v>
      </c>
      <c r="S9" s="665">
        <f t="shared" si="0"/>
        <v>100</v>
      </c>
      <c r="T9" s="664" t="s">
        <v>14</v>
      </c>
      <c r="U9" s="665">
        <f t="shared" si="1"/>
        <v>100</v>
      </c>
      <c r="V9" s="664" t="s">
        <v>14</v>
      </c>
      <c r="W9" s="665">
        <f t="shared" si="2"/>
        <v>100</v>
      </c>
      <c r="X9" s="666"/>
      <c r="Y9" s="3256"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103</v>
      </c>
      <c r="G10" s="402"/>
      <c r="H10" s="119">
        <f>ROUND(100/'数据-取费表'!G16,0)</f>
        <v>103</v>
      </c>
      <c r="I10" s="402"/>
      <c r="J10" s="119">
        <f>ROUND(100/'数据-取费表'!G16,0)</f>
        <v>103</v>
      </c>
      <c r="K10" s="592"/>
      <c r="L10" s="2488"/>
      <c r="M10" s="2489"/>
      <c r="N10" s="2489"/>
      <c r="O10" s="2540"/>
      <c r="P10" s="3381"/>
      <c r="Q10" s="530" t="str">
        <f t="shared" si="6"/>
        <v>土地使用年限（年）</v>
      </c>
      <c r="R10" s="664" t="s">
        <v>14</v>
      </c>
      <c r="S10" s="665">
        <f t="shared" si="0"/>
        <v>103</v>
      </c>
      <c r="T10" s="664" t="s">
        <v>14</v>
      </c>
      <c r="U10" s="665">
        <f t="shared" si="1"/>
        <v>103</v>
      </c>
      <c r="V10" s="664" t="s">
        <v>14</v>
      </c>
      <c r="W10" s="665">
        <f t="shared" si="2"/>
        <v>103</v>
      </c>
      <c r="X10" s="666"/>
      <c r="Y10" s="3256"/>
      <c r="Z10" s="50" t="str">
        <f t="shared" si="7"/>
        <v>土地使用年限（年）</v>
      </c>
      <c r="AA10" s="50">
        <f t="shared" si="3"/>
        <v>0.970873786407767</v>
      </c>
      <c r="AB10" s="50">
        <f t="shared" si="4"/>
        <v>0.970873786407767</v>
      </c>
      <c r="AC10" s="50">
        <f t="shared" si="5"/>
        <v>0.970873786407767</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381"/>
      <c r="Q11" s="530" t="str">
        <f t="shared" si="6"/>
        <v>容积率</v>
      </c>
      <c r="R11" s="664" t="s">
        <v>14</v>
      </c>
      <c r="S11" s="665" t="e">
        <f t="shared" si="0"/>
        <v>#N/A</v>
      </c>
      <c r="T11" s="664" t="s">
        <v>14</v>
      </c>
      <c r="U11" s="665" t="e">
        <f t="shared" si="1"/>
        <v>#N/A</v>
      </c>
      <c r="V11" s="664" t="s">
        <v>14</v>
      </c>
      <c r="W11" s="665" t="e">
        <f t="shared" si="2"/>
        <v>#N/A</v>
      </c>
      <c r="X11" s="666"/>
      <c r="Y11" s="3256"/>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381"/>
      <c r="Q12" s="530" t="str">
        <f t="shared" si="6"/>
        <v>配建</v>
      </c>
      <c r="R12" s="664" t="s">
        <v>14</v>
      </c>
      <c r="S12" s="665">
        <f t="shared" si="0"/>
        <v>100</v>
      </c>
      <c r="T12" s="664" t="s">
        <v>14</v>
      </c>
      <c r="U12" s="665">
        <f t="shared" si="1"/>
        <v>100</v>
      </c>
      <c r="V12" s="664" t="s">
        <v>14</v>
      </c>
      <c r="W12" s="665">
        <f t="shared" si="2"/>
        <v>100</v>
      </c>
      <c r="X12" s="666"/>
      <c r="Y12" s="3256"/>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381"/>
      <c r="Q13" s="530">
        <f t="shared" si="6"/>
        <v>111</v>
      </c>
      <c r="R13" s="664" t="s">
        <v>14</v>
      </c>
      <c r="S13" s="665">
        <f t="shared" si="0"/>
        <v>100</v>
      </c>
      <c r="T13" s="664" t="s">
        <v>14</v>
      </c>
      <c r="U13" s="665">
        <f t="shared" si="1"/>
        <v>100</v>
      </c>
      <c r="V13" s="664" t="s">
        <v>14</v>
      </c>
      <c r="W13" s="665">
        <f t="shared" si="2"/>
        <v>100</v>
      </c>
      <c r="X13" s="666"/>
      <c r="Y13" s="3256"/>
      <c r="Z13" s="50">
        <f t="shared" si="7"/>
        <v>111</v>
      </c>
      <c r="AA13" s="50">
        <f>D13/F13</f>
        <v>1</v>
      </c>
      <c r="AB13" s="50">
        <f>D13/H13</f>
        <v>1</v>
      </c>
      <c r="AC13" s="50">
        <f>D13/J13</f>
        <v>1</v>
      </c>
    </row>
    <row r="14" spans="1:29" ht="15.75" thickBot="1">
      <c r="A14" s="375"/>
      <c r="B14" s="1747">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381"/>
      <c r="Q14" s="530">
        <f t="shared" si="6"/>
        <v>111</v>
      </c>
      <c r="R14" s="664" t="s">
        <v>14</v>
      </c>
      <c r="S14" s="665">
        <f t="shared" si="0"/>
        <v>100</v>
      </c>
      <c r="T14" s="664" t="s">
        <v>14</v>
      </c>
      <c r="U14" s="665">
        <f t="shared" si="1"/>
        <v>100</v>
      </c>
      <c r="V14" s="664" t="s">
        <v>14</v>
      </c>
      <c r="W14" s="665">
        <f t="shared" si="2"/>
        <v>100</v>
      </c>
      <c r="X14" s="666"/>
      <c r="Y14" s="3256"/>
      <c r="Z14" s="50">
        <f t="shared" si="7"/>
        <v>111</v>
      </c>
      <c r="AA14" s="50">
        <f>D14/F14</f>
        <v>1</v>
      </c>
      <c r="AB14" s="50">
        <f>D14/H14</f>
        <v>1</v>
      </c>
      <c r="AC14" s="50">
        <f>D14/J14</f>
        <v>1</v>
      </c>
    </row>
    <row r="15" spans="1:29" ht="99.75">
      <c r="A15" s="379" t="s">
        <v>1690</v>
      </c>
      <c r="B15" s="58" t="s">
        <v>1257</v>
      </c>
      <c r="C15" s="1748"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383" t="s">
        <v>1691</v>
      </c>
      <c r="Q15" s="1262" t="str">
        <f t="shared" si="6"/>
        <v>居住社区成熟度</v>
      </c>
      <c r="R15" s="667" t="s">
        <v>14</v>
      </c>
      <c r="S15" s="668">
        <f t="shared" si="0"/>
        <v>100</v>
      </c>
      <c r="T15" s="667" t="s">
        <v>14</v>
      </c>
      <c r="U15" s="668">
        <f t="shared" si="1"/>
        <v>100</v>
      </c>
      <c r="V15" s="667" t="s">
        <v>14</v>
      </c>
      <c r="W15" s="668">
        <f t="shared" si="2"/>
        <v>100</v>
      </c>
      <c r="X15" s="1264"/>
      <c r="Y15" s="3383"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0"/>
      <c r="H16" s="389"/>
      <c r="I16" s="1749"/>
      <c r="J16" s="387"/>
      <c r="K16" s="592"/>
      <c r="L16" s="2491"/>
      <c r="M16" s="2486"/>
      <c r="N16" s="2486"/>
      <c r="O16" s="2541"/>
      <c r="P16" s="3384"/>
      <c r="Q16" s="1262"/>
      <c r="R16" s="667"/>
      <c r="S16" s="668"/>
      <c r="T16" s="667"/>
      <c r="U16" s="668"/>
      <c r="V16" s="667"/>
      <c r="W16" s="668"/>
      <c r="X16" s="1264"/>
      <c r="Y16" s="3384"/>
      <c r="Z16" s="1263"/>
      <c r="AA16" s="1263">
        <v>1</v>
      </c>
      <c r="AB16" s="1263">
        <v>1</v>
      </c>
      <c r="AC16" s="1263">
        <v>1</v>
      </c>
    </row>
    <row r="17" spans="1:29" ht="71.25">
      <c r="A17" s="367"/>
      <c r="B17" s="390" t="s">
        <v>1777</v>
      </c>
      <c r="C17" s="1804"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384"/>
      <c r="Q17" s="1262" t="str">
        <f>B17</f>
        <v>商业繁华度</v>
      </c>
      <c r="R17" s="667" t="s">
        <v>14</v>
      </c>
      <c r="S17" s="668">
        <f>F17</f>
        <v>100</v>
      </c>
      <c r="T17" s="667" t="s">
        <v>14</v>
      </c>
      <c r="U17" s="668">
        <f>H17</f>
        <v>100</v>
      </c>
      <c r="V17" s="667" t="s">
        <v>14</v>
      </c>
      <c r="W17" s="668">
        <f>J17</f>
        <v>100</v>
      </c>
      <c r="X17" s="1264"/>
      <c r="Y17" s="3384"/>
      <c r="Z17" s="1263" t="str">
        <f>Q17</f>
        <v>商业繁华度</v>
      </c>
      <c r="AA17" s="1263">
        <f t="shared" si="3"/>
        <v>1</v>
      </c>
      <c r="AB17" s="1263">
        <f t="shared" si="4"/>
        <v>1</v>
      </c>
      <c r="AC17" s="1263">
        <f t="shared" si="5"/>
        <v>1</v>
      </c>
    </row>
    <row r="18" spans="1:29" ht="15">
      <c r="A18" s="367"/>
      <c r="B18" s="395"/>
      <c r="C18" s="1753"/>
      <c r="D18" s="389"/>
      <c r="E18" s="1755"/>
      <c r="F18" s="389"/>
      <c r="G18" s="1755"/>
      <c r="H18" s="387"/>
      <c r="I18" s="1754"/>
      <c r="J18" s="387"/>
      <c r="K18" s="592"/>
      <c r="L18" s="2491"/>
      <c r="M18" s="2486"/>
      <c r="N18" s="2486"/>
      <c r="O18" s="2541"/>
      <c r="P18" s="3384"/>
      <c r="Q18" s="1262"/>
      <c r="R18" s="667"/>
      <c r="S18" s="668"/>
      <c r="T18" s="667"/>
      <c r="U18" s="668"/>
      <c r="V18" s="667"/>
      <c r="W18" s="668"/>
      <c r="X18" s="1264"/>
      <c r="Y18" s="3384"/>
      <c r="Z18" s="1263"/>
      <c r="AA18" s="1263">
        <v>1</v>
      </c>
      <c r="AB18" s="1263">
        <v>1</v>
      </c>
      <c r="AC18" s="1263">
        <v>1</v>
      </c>
    </row>
    <row r="19" spans="1:29" ht="71.25">
      <c r="A19" s="367"/>
      <c r="B19" s="390" t="s">
        <v>1811</v>
      </c>
      <c r="C19" s="1804"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384"/>
      <c r="Q19" s="1262" t="str">
        <f>B19</f>
        <v>办公集聚程度</v>
      </c>
      <c r="R19" s="667" t="s">
        <v>14</v>
      </c>
      <c r="S19" s="668">
        <f>F19</f>
        <v>100</v>
      </c>
      <c r="T19" s="667" t="s">
        <v>14</v>
      </c>
      <c r="U19" s="668">
        <f>H19</f>
        <v>100</v>
      </c>
      <c r="V19" s="667" t="s">
        <v>14</v>
      </c>
      <c r="W19" s="668">
        <f>J19</f>
        <v>100</v>
      </c>
      <c r="X19" s="1264"/>
      <c r="Y19" s="3384"/>
      <c r="Z19" s="1263" t="str">
        <f>Q19</f>
        <v>办公集聚程度</v>
      </c>
      <c r="AA19" s="1263">
        <f t="shared" si="3"/>
        <v>1</v>
      </c>
      <c r="AB19" s="1263">
        <f t="shared" si="4"/>
        <v>1</v>
      </c>
      <c r="AC19" s="1263">
        <f t="shared" si="5"/>
        <v>1</v>
      </c>
    </row>
    <row r="20" spans="1:29" ht="15">
      <c r="A20" s="367"/>
      <c r="B20" s="395"/>
      <c r="C20" s="386"/>
      <c r="D20" s="387"/>
      <c r="E20" s="1750"/>
      <c r="F20" s="387"/>
      <c r="G20" s="1750"/>
      <c r="H20" s="387"/>
      <c r="I20" s="1749"/>
      <c r="J20" s="387"/>
      <c r="K20" s="592"/>
      <c r="L20" s="2491"/>
      <c r="M20" s="2486"/>
      <c r="N20" s="2486"/>
      <c r="O20" s="2541"/>
      <c r="P20" s="3384"/>
      <c r="Q20" s="1262"/>
      <c r="R20" s="667"/>
      <c r="S20" s="668"/>
      <c r="T20" s="667"/>
      <c r="U20" s="668"/>
      <c r="V20" s="667"/>
      <c r="W20" s="668"/>
      <c r="X20" s="1264"/>
      <c r="Y20" s="3384"/>
      <c r="Z20" s="1263"/>
      <c r="AA20" s="1263">
        <v>1</v>
      </c>
      <c r="AB20" s="1263">
        <v>1</v>
      </c>
      <c r="AC20" s="1263">
        <v>1</v>
      </c>
    </row>
    <row r="21" spans="1:29" ht="85.5">
      <c r="A21" s="367"/>
      <c r="B21" s="390" t="s">
        <v>1833</v>
      </c>
      <c r="C21" s="1752"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384"/>
      <c r="Q21" s="1262" t="str">
        <f>B21</f>
        <v>交通便捷度</v>
      </c>
      <c r="R21" s="667" t="s">
        <v>14</v>
      </c>
      <c r="S21" s="668">
        <f>F21</f>
        <v>100</v>
      </c>
      <c r="T21" s="667" t="s">
        <v>14</v>
      </c>
      <c r="U21" s="668">
        <f>H21</f>
        <v>100</v>
      </c>
      <c r="V21" s="667" t="s">
        <v>14</v>
      </c>
      <c r="W21" s="668">
        <f>J21</f>
        <v>100</v>
      </c>
      <c r="X21" s="1264"/>
      <c r="Y21" s="3384"/>
      <c r="Z21" s="1263" t="str">
        <f>Q21</f>
        <v>交通便捷度</v>
      </c>
      <c r="AA21" s="1263">
        <f t="shared" si="3"/>
        <v>1</v>
      </c>
      <c r="AB21" s="1263">
        <f t="shared" si="4"/>
        <v>1</v>
      </c>
      <c r="AC21" s="1263">
        <f t="shared" si="5"/>
        <v>1</v>
      </c>
    </row>
    <row r="22" spans="1:29" ht="15">
      <c r="A22" s="367"/>
      <c r="B22" s="586"/>
      <c r="C22" s="386"/>
      <c r="D22" s="389"/>
      <c r="E22" s="1750"/>
      <c r="F22" s="387"/>
      <c r="G22" s="1750"/>
      <c r="H22" s="387"/>
      <c r="I22" s="1749"/>
      <c r="J22" s="387"/>
      <c r="K22" s="592"/>
      <c r="L22" s="2491"/>
      <c r="M22" s="2486"/>
      <c r="N22" s="2486"/>
      <c r="O22" s="2541"/>
      <c r="P22" s="3384"/>
      <c r="Q22" s="1262"/>
      <c r="R22" s="667"/>
      <c r="S22" s="668"/>
      <c r="T22" s="667"/>
      <c r="U22" s="668"/>
      <c r="V22" s="667"/>
      <c r="W22" s="668"/>
      <c r="X22" s="1264"/>
      <c r="Y22" s="3384"/>
      <c r="Z22" s="1263"/>
      <c r="AA22" s="1263">
        <v>1</v>
      </c>
      <c r="AB22" s="1263">
        <v>1</v>
      </c>
      <c r="AC22" s="1263">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384"/>
      <c r="Q23" s="1262" t="str">
        <f t="shared" ref="Q23:Q37" si="8">B23</f>
        <v>区域土地利用方向</v>
      </c>
      <c r="R23" s="667" t="s">
        <v>14</v>
      </c>
      <c r="S23" s="668">
        <f>F23</f>
        <v>100</v>
      </c>
      <c r="T23" s="667" t="s">
        <v>14</v>
      </c>
      <c r="U23" s="668">
        <f>H23</f>
        <v>100</v>
      </c>
      <c r="V23" s="667" t="s">
        <v>14</v>
      </c>
      <c r="W23" s="668">
        <f>J23</f>
        <v>100</v>
      </c>
      <c r="X23" s="1264"/>
      <c r="Y23" s="3384"/>
      <c r="Z23" s="1263" t="str">
        <f>Q23</f>
        <v>区域土地利用方向</v>
      </c>
      <c r="AA23" s="1263">
        <f t="shared" si="3"/>
        <v>1</v>
      </c>
      <c r="AB23" s="1263">
        <f t="shared" si="4"/>
        <v>1</v>
      </c>
      <c r="AC23" s="1263">
        <f t="shared" si="5"/>
        <v>1</v>
      </c>
    </row>
    <row r="24" spans="1:29" ht="15">
      <c r="A24" s="348"/>
      <c r="B24" s="395"/>
      <c r="C24" s="542"/>
      <c r="D24" s="387"/>
      <c r="E24" s="1750"/>
      <c r="F24" s="387"/>
      <c r="G24" s="1749"/>
      <c r="H24" s="387"/>
      <c r="I24" s="1749"/>
      <c r="J24" s="387"/>
      <c r="K24" s="698"/>
      <c r="L24" s="2491"/>
      <c r="M24" s="2486"/>
      <c r="N24" s="2486"/>
      <c r="O24" s="2541"/>
      <c r="P24" s="3384"/>
      <c r="Q24" s="1262"/>
      <c r="R24" s="667"/>
      <c r="S24" s="668"/>
      <c r="T24" s="667"/>
      <c r="U24" s="668"/>
      <c r="V24" s="667"/>
      <c r="W24" s="668"/>
      <c r="X24" s="1264"/>
      <c r="Y24" s="3384"/>
      <c r="Z24" s="1263"/>
      <c r="AA24" s="1263"/>
      <c r="AB24" s="1263"/>
      <c r="AC24" s="1263"/>
    </row>
    <row r="25" spans="1:29" ht="57">
      <c r="A25" s="348"/>
      <c r="B25" s="586" t="s">
        <v>1872</v>
      </c>
      <c r="C25" s="1804"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384"/>
      <c r="Q25" s="1262" t="str">
        <f t="shared" si="8"/>
        <v>自然及人文环境状况</v>
      </c>
      <c r="R25" s="667" t="s">
        <v>14</v>
      </c>
      <c r="S25" s="668">
        <f>F25</f>
        <v>100</v>
      </c>
      <c r="T25" s="667" t="s">
        <v>14</v>
      </c>
      <c r="U25" s="668">
        <f>H25</f>
        <v>100</v>
      </c>
      <c r="V25" s="667" t="s">
        <v>14</v>
      </c>
      <c r="W25" s="668">
        <f>J25</f>
        <v>100</v>
      </c>
      <c r="X25" s="1264"/>
      <c r="Y25" s="3384"/>
      <c r="Z25" s="1263" t="str">
        <f>Q25</f>
        <v>自然及人文环境状况</v>
      </c>
      <c r="AA25" s="1263">
        <f t="shared" si="3"/>
        <v>1</v>
      </c>
      <c r="AB25" s="1263">
        <f t="shared" si="4"/>
        <v>1</v>
      </c>
      <c r="AC25" s="1263">
        <f t="shared" si="5"/>
        <v>1</v>
      </c>
    </row>
    <row r="26" spans="1:29" ht="15">
      <c r="A26" s="348"/>
      <c r="B26" s="395"/>
      <c r="C26" s="386"/>
      <c r="D26" s="387"/>
      <c r="E26" s="1756"/>
      <c r="F26" s="387"/>
      <c r="G26" s="1756"/>
      <c r="H26" s="387"/>
      <c r="I26" s="386"/>
      <c r="J26" s="387"/>
      <c r="K26" s="592"/>
      <c r="L26" s="2491"/>
      <c r="M26" s="2486"/>
      <c r="N26" s="2486"/>
      <c r="O26" s="2541"/>
      <c r="P26" s="3384"/>
      <c r="Q26" s="1262"/>
      <c r="R26" s="667"/>
      <c r="S26" s="668"/>
      <c r="T26" s="667"/>
      <c r="U26" s="668"/>
      <c r="V26" s="667"/>
      <c r="W26" s="668"/>
      <c r="X26" s="1264"/>
      <c r="Y26" s="3384"/>
      <c r="Z26" s="1263"/>
      <c r="AA26" s="1263">
        <v>1</v>
      </c>
      <c r="AB26" s="1263">
        <v>1</v>
      </c>
      <c r="AC26" s="1263">
        <v>1</v>
      </c>
    </row>
    <row r="27" spans="1:29" s="102" customFormat="1" ht="42.75">
      <c r="A27" s="443"/>
      <c r="B27" s="586" t="s">
        <v>1778</v>
      </c>
      <c r="C27" s="1752"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384"/>
      <c r="Q27" s="530" t="str">
        <f t="shared" si="8"/>
        <v>公共配套设施</v>
      </c>
      <c r="R27" s="664" t="s">
        <v>14</v>
      </c>
      <c r="S27" s="665">
        <f>F27</f>
        <v>100</v>
      </c>
      <c r="T27" s="664" t="s">
        <v>14</v>
      </c>
      <c r="U27" s="665">
        <f>H27</f>
        <v>100</v>
      </c>
      <c r="V27" s="664" t="s">
        <v>14</v>
      </c>
      <c r="W27" s="665">
        <f>J27</f>
        <v>100</v>
      </c>
      <c r="X27" s="666"/>
      <c r="Y27" s="3384"/>
      <c r="Z27" s="50" t="str">
        <f>Q27</f>
        <v>公共配套设施</v>
      </c>
      <c r="AA27" s="1263">
        <f>D27/F27</f>
        <v>1</v>
      </c>
      <c r="AB27" s="1263">
        <f>D27/H27</f>
        <v>1</v>
      </c>
      <c r="AC27" s="1263">
        <f>D27/J27</f>
        <v>1</v>
      </c>
    </row>
    <row r="28" spans="1:29" s="102" customFormat="1" ht="15">
      <c r="A28" s="443"/>
      <c r="B28" s="395"/>
      <c r="C28" s="1824"/>
      <c r="D28" s="387"/>
      <c r="E28" s="1756"/>
      <c r="F28" s="387"/>
      <c r="G28" s="1756"/>
      <c r="H28" s="387"/>
      <c r="I28" s="386"/>
      <c r="J28" s="387"/>
      <c r="K28" s="592"/>
      <c r="L28" s="2487"/>
      <c r="M28" s="2438"/>
      <c r="N28" s="2438"/>
      <c r="O28" s="2539"/>
      <c r="P28" s="3384"/>
      <c r="Q28" s="530"/>
      <c r="R28" s="664"/>
      <c r="S28" s="665"/>
      <c r="T28" s="664"/>
      <c r="U28" s="665"/>
      <c r="V28" s="664"/>
      <c r="W28" s="665"/>
      <c r="X28" s="666"/>
      <c r="Y28" s="3384"/>
      <c r="Z28" s="50"/>
      <c r="AA28" s="1263">
        <v>1</v>
      </c>
      <c r="AB28" s="1263">
        <v>1</v>
      </c>
      <c r="AC28" s="1263">
        <v>1</v>
      </c>
    </row>
    <row r="29" spans="1:29" s="102" customFormat="1" ht="28.5">
      <c r="A29" s="443"/>
      <c r="B29" s="586" t="s">
        <v>1779</v>
      </c>
      <c r="C29" s="1752"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384"/>
      <c r="Q29" s="530" t="str">
        <f t="shared" ref="Q29" si="9">B29</f>
        <v>基础设施水平</v>
      </c>
      <c r="R29" s="664" t="s">
        <v>14</v>
      </c>
      <c r="S29" s="665">
        <f>F29</f>
        <v>100</v>
      </c>
      <c r="T29" s="664" t="s">
        <v>14</v>
      </c>
      <c r="U29" s="665">
        <f>H29</f>
        <v>100</v>
      </c>
      <c r="V29" s="664" t="s">
        <v>14</v>
      </c>
      <c r="W29" s="665">
        <f>J29</f>
        <v>100</v>
      </c>
      <c r="X29" s="666"/>
      <c r="Y29" s="3384"/>
      <c r="Z29" s="50" t="str">
        <f>Q29</f>
        <v>基础设施水平</v>
      </c>
      <c r="AA29" s="1263">
        <f>D29/F29</f>
        <v>1</v>
      </c>
      <c r="AB29" s="1263">
        <f>D29/H29</f>
        <v>1</v>
      </c>
      <c r="AC29" s="1263">
        <f>D29/J29</f>
        <v>1</v>
      </c>
    </row>
    <row r="30" spans="1:29" s="102" customFormat="1" ht="15">
      <c r="A30" s="443"/>
      <c r="B30" s="395"/>
      <c r="C30" s="1824"/>
      <c r="D30" s="387"/>
      <c r="E30" s="1825"/>
      <c r="F30" s="387"/>
      <c r="G30" s="1825"/>
      <c r="H30" s="387"/>
      <c r="I30" s="1825"/>
      <c r="J30" s="387"/>
      <c r="K30" s="592"/>
      <c r="L30" s="2487"/>
      <c r="M30" s="2438"/>
      <c r="N30" s="2438"/>
      <c r="O30" s="2539"/>
      <c r="P30" s="3384"/>
      <c r="Q30" s="530"/>
      <c r="R30" s="664"/>
      <c r="S30" s="665"/>
      <c r="T30" s="664"/>
      <c r="U30" s="665"/>
      <c r="V30" s="664"/>
      <c r="W30" s="665"/>
      <c r="X30" s="666"/>
      <c r="Y30" s="3384"/>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384"/>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384"/>
      <c r="Z31" s="1263" t="str">
        <f t="shared" ref="Z31:Z45" si="13">Q31</f>
        <v>临街状况</v>
      </c>
      <c r="AA31" s="1263">
        <f t="shared" si="3"/>
        <v>1</v>
      </c>
      <c r="AB31" s="1263">
        <f t="shared" si="4"/>
        <v>1</v>
      </c>
      <c r="AC31" s="1263">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384"/>
      <c r="Q32" s="1262" t="str">
        <f t="shared" si="8"/>
        <v>毗邻道路的类型与等级</v>
      </c>
      <c r="R32" s="667" t="s">
        <v>14</v>
      </c>
      <c r="S32" s="668">
        <f t="shared" si="10"/>
        <v>100</v>
      </c>
      <c r="T32" s="667" t="s">
        <v>14</v>
      </c>
      <c r="U32" s="668">
        <f t="shared" si="11"/>
        <v>100</v>
      </c>
      <c r="V32" s="667" t="s">
        <v>14</v>
      </c>
      <c r="W32" s="668">
        <f t="shared" si="12"/>
        <v>100</v>
      </c>
      <c r="X32" s="1264"/>
      <c r="Y32" s="3384"/>
      <c r="Z32" s="1263" t="str">
        <f t="shared" si="13"/>
        <v>毗邻道路的类型与等级</v>
      </c>
      <c r="AA32" s="1263">
        <f t="shared" si="3"/>
        <v>1</v>
      </c>
      <c r="AB32" s="1263">
        <f t="shared" si="4"/>
        <v>1</v>
      </c>
      <c r="AC32" s="1263">
        <f t="shared" si="5"/>
        <v>1</v>
      </c>
    </row>
    <row r="33" spans="1:29" ht="15">
      <c r="A33" s="367"/>
      <c r="B33" s="395"/>
      <c r="C33" s="386"/>
      <c r="D33" s="387"/>
      <c r="E33" s="1756"/>
      <c r="F33" s="387"/>
      <c r="G33" s="1756"/>
      <c r="H33" s="387"/>
      <c r="I33" s="386"/>
      <c r="J33" s="387"/>
      <c r="K33" s="539"/>
      <c r="L33" s="2491"/>
      <c r="M33" s="2486"/>
      <c r="N33" s="2486"/>
      <c r="O33" s="2541"/>
      <c r="P33" s="3384"/>
      <c r="Q33" s="1262"/>
      <c r="R33" s="667"/>
      <c r="S33" s="668"/>
      <c r="T33" s="667"/>
      <c r="U33" s="668"/>
      <c r="V33" s="667"/>
      <c r="W33" s="668"/>
      <c r="X33" s="1264"/>
      <c r="Y33" s="3384"/>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384"/>
      <c r="Q34" s="1262" t="str">
        <f t="shared" si="8"/>
        <v>土地级别</v>
      </c>
      <c r="R34" s="667" t="s">
        <v>14</v>
      </c>
      <c r="S34" s="668">
        <f t="shared" si="10"/>
        <v>100</v>
      </c>
      <c r="T34" s="667" t="s">
        <v>14</v>
      </c>
      <c r="U34" s="668">
        <f t="shared" si="11"/>
        <v>100</v>
      </c>
      <c r="V34" s="667" t="s">
        <v>14</v>
      </c>
      <c r="W34" s="668">
        <f t="shared" si="12"/>
        <v>100</v>
      </c>
      <c r="X34" s="1264"/>
      <c r="Y34" s="3384"/>
      <c r="Z34" s="1263" t="str">
        <f t="shared" si="13"/>
        <v>土地级别</v>
      </c>
      <c r="AA34" s="1263">
        <f t="shared" si="3"/>
        <v>1</v>
      </c>
      <c r="AB34" s="1263">
        <f t="shared" si="4"/>
        <v>1</v>
      </c>
      <c r="AC34" s="1263">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384"/>
      <c r="Q35" s="1262">
        <f t="shared" si="8"/>
        <v>111</v>
      </c>
      <c r="R35" s="667" t="s">
        <v>14</v>
      </c>
      <c r="S35" s="668">
        <f t="shared" si="10"/>
        <v>100</v>
      </c>
      <c r="T35" s="667" t="s">
        <v>14</v>
      </c>
      <c r="U35" s="668">
        <f t="shared" si="11"/>
        <v>100</v>
      </c>
      <c r="V35" s="667" t="s">
        <v>14</v>
      </c>
      <c r="W35" s="668">
        <f t="shared" si="12"/>
        <v>100</v>
      </c>
      <c r="X35" s="1264"/>
      <c r="Y35" s="3384"/>
      <c r="Z35" s="1263">
        <f t="shared" si="13"/>
        <v>111</v>
      </c>
      <c r="AA35" s="1263">
        <f t="shared" si="3"/>
        <v>1</v>
      </c>
      <c r="AB35" s="1263">
        <f t="shared" si="4"/>
        <v>1</v>
      </c>
      <c r="AC35" s="1263">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39" t="s">
        <v>1696</v>
      </c>
      <c r="Q36" s="1262">
        <f t="shared" si="8"/>
        <v>111</v>
      </c>
      <c r="R36" s="667" t="s">
        <v>14</v>
      </c>
      <c r="S36" s="668">
        <f t="shared" si="10"/>
        <v>100</v>
      </c>
      <c r="T36" s="667" t="s">
        <v>14</v>
      </c>
      <c r="U36" s="668">
        <f t="shared" si="11"/>
        <v>100</v>
      </c>
      <c r="V36" s="667" t="s">
        <v>14</v>
      </c>
      <c r="W36" s="668">
        <f t="shared" si="12"/>
        <v>100</v>
      </c>
      <c r="X36" s="1264"/>
      <c r="Y36" s="3388" t="s">
        <v>1696</v>
      </c>
      <c r="Z36" s="1263">
        <f t="shared" si="13"/>
        <v>111</v>
      </c>
      <c r="AA36" s="1263">
        <f t="shared" si="3"/>
        <v>1</v>
      </c>
      <c r="AB36" s="1263">
        <f t="shared" si="4"/>
        <v>1</v>
      </c>
      <c r="AC36" s="1263">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388"/>
      <c r="Q37" s="1262">
        <f t="shared" si="8"/>
        <v>111</v>
      </c>
      <c r="R37" s="669" t="s">
        <v>14</v>
      </c>
      <c r="S37" s="670">
        <f t="shared" si="10"/>
        <v>100</v>
      </c>
      <c r="T37" s="669" t="s">
        <v>14</v>
      </c>
      <c r="U37" s="670">
        <f t="shared" si="11"/>
        <v>100</v>
      </c>
      <c r="V37" s="669" t="s">
        <v>14</v>
      </c>
      <c r="W37" s="670">
        <f t="shared" si="12"/>
        <v>100</v>
      </c>
      <c r="X37" s="671"/>
      <c r="Y37" s="3388"/>
      <c r="Z37" s="672">
        <f t="shared" si="13"/>
        <v>111</v>
      </c>
      <c r="AA37" s="1263">
        <f t="shared" si="3"/>
        <v>1</v>
      </c>
      <c r="AB37" s="1263">
        <f t="shared" si="4"/>
        <v>1</v>
      </c>
      <c r="AC37" s="1263">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388"/>
      <c r="Q38" s="1262" t="str">
        <f>B38</f>
        <v>宗地面积</v>
      </c>
      <c r="R38" s="667" t="s">
        <v>14</v>
      </c>
      <c r="S38" s="668" t="e">
        <f t="shared" si="10"/>
        <v>#N/A</v>
      </c>
      <c r="T38" s="667" t="s">
        <v>14</v>
      </c>
      <c r="U38" s="668" t="e">
        <f t="shared" si="11"/>
        <v>#N/A</v>
      </c>
      <c r="V38" s="667" t="s">
        <v>14</v>
      </c>
      <c r="W38" s="668" t="e">
        <f t="shared" si="12"/>
        <v>#N/A</v>
      </c>
      <c r="X38" s="1264"/>
      <c r="Y38" s="3388"/>
      <c r="Z38" s="1263" t="str">
        <f t="shared" si="13"/>
        <v>宗地面积</v>
      </c>
      <c r="AA38" s="1263" t="e">
        <f t="shared" si="3"/>
        <v>#N/A</v>
      </c>
      <c r="AB38" s="1263" t="e">
        <f t="shared" si="4"/>
        <v>#N/A</v>
      </c>
      <c r="AC38" s="1263" t="e">
        <f t="shared" si="5"/>
        <v>#N/A</v>
      </c>
    </row>
    <row r="39" spans="1:29" ht="15">
      <c r="A39" s="409"/>
      <c r="B39" s="364" t="s">
        <v>1875</v>
      </c>
      <c r="C39" s="1758"/>
      <c r="D39" s="374">
        <v>100</v>
      </c>
      <c r="E39" s="1758"/>
      <c r="F39" s="374">
        <f>SUMIF(118:118,E39,119:119)-SUMIF(118:118,C39,119:119)+100</f>
        <v>100</v>
      </c>
      <c r="G39" s="1758"/>
      <c r="H39" s="374">
        <f>SUMIF(118:118,G39,119:119)-SUMIF(118:118,C39,119:119)+100</f>
        <v>100</v>
      </c>
      <c r="I39" s="1758"/>
      <c r="J39" s="374">
        <f>SUMIF(118:118,I39,119:119)-SUMIF(118:118,C39,119:119)+100</f>
        <v>100</v>
      </c>
      <c r="K39" s="538"/>
      <c r="L39" s="2491"/>
      <c r="M39" s="2486"/>
      <c r="N39" s="2486"/>
      <c r="O39" s="2541"/>
      <c r="P39" s="3388"/>
      <c r="Q39" s="1262" t="str">
        <f t="shared" ref="Q39:Q45" si="14">B39</f>
        <v>宗地形状</v>
      </c>
      <c r="R39" s="667" t="s">
        <v>14</v>
      </c>
      <c r="S39" s="668">
        <f t="shared" si="10"/>
        <v>100</v>
      </c>
      <c r="T39" s="667" t="s">
        <v>14</v>
      </c>
      <c r="U39" s="668">
        <f t="shared" si="11"/>
        <v>100</v>
      </c>
      <c r="V39" s="667" t="s">
        <v>14</v>
      </c>
      <c r="W39" s="668">
        <f t="shared" si="12"/>
        <v>100</v>
      </c>
      <c r="X39" s="1264"/>
      <c r="Y39" s="3388"/>
      <c r="Z39" s="1263" t="str">
        <f t="shared" si="13"/>
        <v>宗地形状</v>
      </c>
      <c r="AA39" s="1263">
        <f t="shared" si="3"/>
        <v>1</v>
      </c>
      <c r="AB39" s="1263">
        <f t="shared" si="4"/>
        <v>1</v>
      </c>
      <c r="AC39" s="1263">
        <f t="shared" si="5"/>
        <v>1</v>
      </c>
    </row>
    <row r="40" spans="1:29" ht="15">
      <c r="A40" s="409"/>
      <c r="B40" s="364" t="s">
        <v>1876</v>
      </c>
      <c r="C40" s="1758"/>
      <c r="D40" s="374">
        <v>100</v>
      </c>
      <c r="E40" s="1758"/>
      <c r="F40" s="374">
        <f>SUMIF(120:120,E40,121:121)-SUMIF(120:120,C40,121:121)+100</f>
        <v>100</v>
      </c>
      <c r="G40" s="1758"/>
      <c r="H40" s="374">
        <f>SUMIF(120:120,G40,121:121)-SUMIF(120:120,C40,121:121)+100</f>
        <v>100</v>
      </c>
      <c r="I40" s="1758"/>
      <c r="J40" s="374">
        <f>SUMIF(120:120,I40,121:121)-SUMIF(120:120,C40,121:121)+100</f>
        <v>100</v>
      </c>
      <c r="K40" s="538"/>
      <c r="L40" s="2491"/>
      <c r="M40" s="2486"/>
      <c r="N40" s="2486"/>
      <c r="O40" s="2541"/>
      <c r="P40" s="3388"/>
      <c r="Q40" s="1262" t="str">
        <f t="shared" si="14"/>
        <v>临街宽度及深度</v>
      </c>
      <c r="R40" s="667" t="s">
        <v>14</v>
      </c>
      <c r="S40" s="668">
        <f t="shared" si="10"/>
        <v>100</v>
      </c>
      <c r="T40" s="667" t="s">
        <v>14</v>
      </c>
      <c r="U40" s="668">
        <f t="shared" si="11"/>
        <v>100</v>
      </c>
      <c r="V40" s="667" t="s">
        <v>14</v>
      </c>
      <c r="W40" s="668">
        <f t="shared" si="12"/>
        <v>100</v>
      </c>
      <c r="X40" s="1264"/>
      <c r="Y40" s="3388"/>
      <c r="Z40" s="1263" t="str">
        <f t="shared" si="13"/>
        <v>临街宽度及深度</v>
      </c>
      <c r="AA40" s="1263">
        <f t="shared" si="3"/>
        <v>1</v>
      </c>
      <c r="AB40" s="1263">
        <f t="shared" si="4"/>
        <v>1</v>
      </c>
      <c r="AC40" s="1263">
        <f t="shared" si="5"/>
        <v>1</v>
      </c>
    </row>
    <row r="41" spans="1:29" s="102" customFormat="1" ht="15">
      <c r="A41" s="410"/>
      <c r="B41" s="364" t="s">
        <v>1877</v>
      </c>
      <c r="C41" s="1826"/>
      <c r="D41" s="119">
        <v>100</v>
      </c>
      <c r="E41" s="1826"/>
      <c r="F41" s="374">
        <f>SUMIF(122:122,E41,123:123)-SUMIF(122:122,C41,123:123)+100</f>
        <v>100</v>
      </c>
      <c r="G41" s="1826"/>
      <c r="H41" s="374">
        <f>SUMIF(122:122,G41,123:123)-SUMIF(122:122,C41,123:123)+100</f>
        <v>100</v>
      </c>
      <c r="I41" s="1826"/>
      <c r="J41" s="374">
        <f>SUMIF(122:122,I41,123:123)-SUMIF(122:122,C41,123:123)+100</f>
        <v>100</v>
      </c>
      <c r="K41" s="538"/>
      <c r="L41" s="2487"/>
      <c r="M41" s="2438"/>
      <c r="N41" s="2438"/>
      <c r="O41" s="2539"/>
      <c r="P41" s="3388"/>
      <c r="Q41" s="1262" t="str">
        <f t="shared" si="14"/>
        <v>宗地开发程度</v>
      </c>
      <c r="R41" s="664" t="s">
        <v>14</v>
      </c>
      <c r="S41" s="665">
        <f t="shared" si="10"/>
        <v>100</v>
      </c>
      <c r="T41" s="664" t="s">
        <v>14</v>
      </c>
      <c r="U41" s="665">
        <f t="shared" si="11"/>
        <v>100</v>
      </c>
      <c r="V41" s="664" t="s">
        <v>14</v>
      </c>
      <c r="W41" s="665">
        <f t="shared" si="12"/>
        <v>100</v>
      </c>
      <c r="X41" s="666"/>
      <c r="Y41" s="3388"/>
      <c r="Z41" s="50" t="str">
        <f t="shared" si="13"/>
        <v>宗地开发程度</v>
      </c>
      <c r="AA41" s="50">
        <f t="shared" si="3"/>
        <v>1</v>
      </c>
      <c r="AB41" s="50">
        <f t="shared" si="4"/>
        <v>1</v>
      </c>
      <c r="AC41" s="50">
        <f t="shared" si="5"/>
        <v>1</v>
      </c>
    </row>
    <row r="42" spans="1:29" ht="15">
      <c r="A42" s="409"/>
      <c r="B42" s="364" t="s">
        <v>1878</v>
      </c>
      <c r="C42" s="1758"/>
      <c r="D42" s="374">
        <v>100</v>
      </c>
      <c r="E42" s="1758"/>
      <c r="F42" s="374">
        <f>SUMIF(124:124,E42,125:125)-SUMIF(124:124,C42,125:125)+100</f>
        <v>100</v>
      </c>
      <c r="G42" s="1758"/>
      <c r="H42" s="374">
        <f>SUMIF(124:124,G42,125:125)-SUMIF(124:124,C42,125:125)+100</f>
        <v>100</v>
      </c>
      <c r="I42" s="1758"/>
      <c r="J42" s="374">
        <f>SUMIF(124:124,I42,125:125)-SUMIF(124:124,C42,125:125)+100</f>
        <v>100</v>
      </c>
      <c r="K42" s="538"/>
      <c r="L42" s="2491"/>
      <c r="M42" s="2486"/>
      <c r="N42" s="2486"/>
      <c r="O42" s="2541"/>
      <c r="P42" s="3388" t="s">
        <v>1696</v>
      </c>
      <c r="Q42" s="1262" t="str">
        <f t="shared" si="14"/>
        <v>工程地质条件</v>
      </c>
      <c r="R42" s="667" t="s">
        <v>14</v>
      </c>
      <c r="S42" s="668">
        <f t="shared" si="10"/>
        <v>100</v>
      </c>
      <c r="T42" s="667" t="s">
        <v>14</v>
      </c>
      <c r="U42" s="668">
        <f t="shared" si="11"/>
        <v>100</v>
      </c>
      <c r="V42" s="667" t="s">
        <v>14</v>
      </c>
      <c r="W42" s="668">
        <f t="shared" si="12"/>
        <v>100</v>
      </c>
      <c r="X42" s="1264"/>
      <c r="Y42" s="3388" t="s">
        <v>1696</v>
      </c>
      <c r="Z42" s="1263" t="str">
        <f t="shared" si="13"/>
        <v>工程地质条件</v>
      </c>
      <c r="AA42" s="1263">
        <f t="shared" si="3"/>
        <v>1</v>
      </c>
      <c r="AB42" s="1263">
        <f t="shared" si="4"/>
        <v>1</v>
      </c>
      <c r="AC42" s="1263">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388"/>
      <c r="Q43" s="1262">
        <f t="shared" si="14"/>
        <v>111</v>
      </c>
      <c r="R43" s="667" t="s">
        <v>14</v>
      </c>
      <c r="S43" s="668">
        <f t="shared" si="10"/>
        <v>100</v>
      </c>
      <c r="T43" s="667" t="s">
        <v>14</v>
      </c>
      <c r="U43" s="668">
        <f t="shared" si="11"/>
        <v>100</v>
      </c>
      <c r="V43" s="667" t="s">
        <v>14</v>
      </c>
      <c r="W43" s="668">
        <f t="shared" si="12"/>
        <v>100</v>
      </c>
      <c r="X43" s="1264"/>
      <c r="Y43" s="3388"/>
      <c r="Z43" s="1263">
        <f t="shared" si="13"/>
        <v>111</v>
      </c>
      <c r="AA43" s="1263">
        <f t="shared" si="3"/>
        <v>1</v>
      </c>
      <c r="AB43" s="1263">
        <f t="shared" si="4"/>
        <v>1</v>
      </c>
      <c r="AC43" s="1263">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388"/>
      <c r="Q44" s="1262">
        <f t="shared" si="14"/>
        <v>111</v>
      </c>
      <c r="R44" s="667" t="s">
        <v>14</v>
      </c>
      <c r="S44" s="668">
        <f t="shared" si="10"/>
        <v>100</v>
      </c>
      <c r="T44" s="667" t="s">
        <v>14</v>
      </c>
      <c r="U44" s="668">
        <f t="shared" si="11"/>
        <v>100</v>
      </c>
      <c r="V44" s="667" t="s">
        <v>14</v>
      </c>
      <c r="W44" s="668">
        <f t="shared" si="12"/>
        <v>100</v>
      </c>
      <c r="X44" s="1264"/>
      <c r="Y44" s="3388"/>
      <c r="Z44" s="1263">
        <f t="shared" si="13"/>
        <v>111</v>
      </c>
      <c r="AA44" s="1263">
        <f t="shared" si="3"/>
        <v>1</v>
      </c>
      <c r="AB44" s="1263">
        <f t="shared" si="4"/>
        <v>1</v>
      </c>
      <c r="AC44" s="1263">
        <f t="shared" si="5"/>
        <v>1</v>
      </c>
    </row>
    <row r="45" spans="1:29" s="408" customFormat="1" ht="15.75" thickBot="1">
      <c r="A45" s="406"/>
      <c r="B45" s="1067">
        <v>111</v>
      </c>
      <c r="C45" s="1827"/>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388"/>
      <c r="Q45" s="1262">
        <f t="shared" si="14"/>
        <v>111</v>
      </c>
      <c r="R45" s="669" t="s">
        <v>14</v>
      </c>
      <c r="S45" s="670">
        <f t="shared" si="10"/>
        <v>100</v>
      </c>
      <c r="T45" s="669" t="s">
        <v>14</v>
      </c>
      <c r="U45" s="670">
        <f t="shared" si="11"/>
        <v>100</v>
      </c>
      <c r="V45" s="669" t="s">
        <v>14</v>
      </c>
      <c r="W45" s="670">
        <f t="shared" si="12"/>
        <v>100</v>
      </c>
      <c r="X45" s="671"/>
      <c r="Y45" s="3388"/>
      <c r="Z45" s="672">
        <f t="shared" si="13"/>
        <v>111</v>
      </c>
      <c r="AA45" s="1263">
        <f t="shared" si="3"/>
        <v>1</v>
      </c>
      <c r="AB45" s="1263">
        <f t="shared" si="4"/>
        <v>1</v>
      </c>
      <c r="AC45" s="1263">
        <f t="shared" si="5"/>
        <v>1</v>
      </c>
    </row>
    <row r="46" spans="1:29" ht="15">
      <c r="A46" s="416" t="s">
        <v>1844</v>
      </c>
      <c r="B46" s="1828" t="s">
        <v>1879</v>
      </c>
      <c r="C46" s="602" t="s">
        <v>0</v>
      </c>
      <c r="D46" s="418"/>
      <c r="E46" s="419"/>
      <c r="F46" s="420"/>
      <c r="G46" s="421"/>
      <c r="H46" s="422"/>
      <c r="I46" s="419"/>
      <c r="J46" s="422"/>
      <c r="K46" s="674"/>
      <c r="L46" s="2493"/>
      <c r="M46" s="2486"/>
      <c r="N46" s="2486"/>
      <c r="O46" s="2486"/>
      <c r="P46" s="3381" t="str">
        <f>A46</f>
        <v>成交单价</v>
      </c>
      <c r="Q46" s="3381"/>
      <c r="R46" s="3382">
        <f>E46</f>
        <v>0</v>
      </c>
      <c r="S46" s="3382"/>
      <c r="T46" s="3382">
        <f>G46</f>
        <v>0</v>
      </c>
      <c r="U46" s="3382"/>
      <c r="V46" s="3382">
        <f>I46</f>
        <v>0</v>
      </c>
      <c r="W46" s="3382"/>
      <c r="X46" s="385"/>
      <c r="Y46" s="673"/>
      <c r="Z46" s="385"/>
      <c r="AA46" s="385"/>
      <c r="AB46" s="385"/>
      <c r="AC46" s="385"/>
    </row>
    <row r="47" spans="1:29" ht="15.75" thickBot="1">
      <c r="A47" s="423" t="s">
        <v>1793</v>
      </c>
      <c r="B47" s="603"/>
      <c r="C47" s="426" t="e">
        <f>R48</f>
        <v>#DIV/0!</v>
      </c>
      <c r="D47" s="2139" t="s">
        <v>2138</v>
      </c>
      <c r="E47" s="426" t="e">
        <f>R47</f>
        <v>#DIV/0!</v>
      </c>
      <c r="F47" s="2140"/>
      <c r="G47" s="425" t="e">
        <f>T47</f>
        <v>#DIV/0!</v>
      </c>
      <c r="H47" s="2140"/>
      <c r="I47" s="426" t="e">
        <f>V47</f>
        <v>#DIV/0!</v>
      </c>
      <c r="J47" s="2140"/>
      <c r="K47" s="2142">
        <f>F47+H47+J47</f>
        <v>0</v>
      </c>
      <c r="L47" s="2493"/>
      <c r="M47" s="2486"/>
      <c r="N47" s="2486"/>
      <c r="O47" s="2486"/>
      <c r="P47" s="3381" t="str">
        <f>A47</f>
        <v>比较价值（元/平方米）</v>
      </c>
      <c r="Q47" s="3381"/>
      <c r="R47" s="3441" t="e">
        <f>ROUND(PRODUCT(R46,AA7:AA45),0)</f>
        <v>#DIV/0!</v>
      </c>
      <c r="S47" s="3441"/>
      <c r="T47" s="3441" t="e">
        <f>ROUND(PRODUCT(T46,AB7:AB45),0)</f>
        <v>#DIV/0!</v>
      </c>
      <c r="U47" s="3441"/>
      <c r="V47" s="3441" t="e">
        <f>ROUND(PRODUCT(V46,AC7:AC45),0)</f>
        <v>#DIV/0!</v>
      </c>
      <c r="W47" s="3441"/>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3"/>
      <c r="M48" s="2486"/>
      <c r="N48" s="2486"/>
      <c r="O48" s="2486"/>
      <c r="P48" s="3378" t="str">
        <f>A48</f>
        <v>估价对象XX用房的比较价值（楼面单价，元/平方米）</v>
      </c>
      <c r="Q48" s="3379"/>
      <c r="R48" s="3442" t="e">
        <f>ROUND(IF(D47="简单平均",AVERAGE(R47:W47),R47*F47+T47*H47+V47*J47),0)</f>
        <v>#DIV/0!</v>
      </c>
      <c r="S48" s="3442"/>
      <c r="T48" s="3442"/>
      <c r="U48" s="3442"/>
      <c r="V48" s="3442"/>
      <c r="W48" s="3442"/>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29" t="s">
        <v>1883</v>
      </c>
      <c r="D55" s="1830" t="s">
        <v>1884</v>
      </c>
      <c r="E55" s="606" t="s">
        <v>1885</v>
      </c>
      <c r="F55" s="837" t="s">
        <v>1886</v>
      </c>
      <c r="G55" s="3396" t="s">
        <v>1887</v>
      </c>
      <c r="H55" s="3443"/>
      <c r="I55" s="127" t="s">
        <v>1888</v>
      </c>
      <c r="J55" s="1831">
        <f>项目基本情况!F35</f>
        <v>0</v>
      </c>
      <c r="K55" s="1832"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44.28</v>
      </c>
      <c r="F56" s="833" t="e">
        <f t="shared" ref="F56:F64" si="15">ROUND(B56*E56/10000,0)</f>
        <v>#DIV/0!</v>
      </c>
      <c r="G56" s="3392"/>
      <c r="H56" s="3381"/>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1">
        <v>0.25</v>
      </c>
      <c r="E57" s="614"/>
      <c r="F57" s="833" t="e">
        <f t="shared" si="15"/>
        <v>#DIV/0!</v>
      </c>
      <c r="G57" s="2749" t="s">
        <v>1892</v>
      </c>
      <c r="H57" s="834">
        <f>项目基本情况!B37</f>
        <v>0</v>
      </c>
      <c r="I57" s="838">
        <f>SUMIF(修正!A57:A68,H57,修正!B57:B68)</f>
        <v>0</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1">
        <v>0.25</v>
      </c>
      <c r="E58" s="614"/>
      <c r="F58" s="833" t="e">
        <f t="shared" si="15"/>
        <v>#DIV/0!</v>
      </c>
      <c r="G58" s="2750"/>
      <c r="H58" s="834">
        <f>项目基本情况!B37</f>
        <v>0</v>
      </c>
      <c r="I58" s="838">
        <f>SUMIF(修正!A57:A68,H58,修正!C57:C68)</f>
        <v>0</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1">
        <v>0.25</v>
      </c>
      <c r="E59" s="614"/>
      <c r="F59" s="833" t="e">
        <f t="shared" si="15"/>
        <v>#DIV/0!</v>
      </c>
      <c r="G59" s="2750"/>
      <c r="H59" s="834">
        <f>项目基本情况!B37</f>
        <v>0</v>
      </c>
      <c r="I59" s="838">
        <f>SUMIF(修正!A57:A68,H59,修正!D57:D68)</f>
        <v>0</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3"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0.2</v>
      </c>
      <c r="D62" s="891">
        <v>0.25</v>
      </c>
      <c r="E62" s="209">
        <f>'数据-汇总表'!E13</f>
        <v>0</v>
      </c>
      <c r="F62" s="833" t="e">
        <f t="shared" si="15"/>
        <v>#DIV/0!</v>
      </c>
      <c r="G62" s="839" t="s">
        <v>1900</v>
      </c>
      <c r="H62" s="834" t="str">
        <f>IF(G62="商业",项目基本情况!B37,IF(G62="办公",项目基本情况!C37,IF(G62="住宅",项目基本情况!D37,项目基本情况!E37)))</f>
        <v>二级</v>
      </c>
      <c r="I62" s="838">
        <f>SUMIF(修正!A57:A68,H62,修正!G57:G68)</f>
        <v>0.2</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1">
        <v>0.25</v>
      </c>
      <c r="E63" s="209">
        <f>'数据-汇总表'!E14</f>
        <v>0</v>
      </c>
      <c r="F63" s="833" t="e">
        <f t="shared" si="15"/>
        <v>#DIV/0!</v>
      </c>
      <c r="G63" s="1833" t="s">
        <v>1892</v>
      </c>
      <c r="H63" s="834">
        <f>项目基本情况!B37</f>
        <v>0</v>
      </c>
      <c r="I63" s="838">
        <f>SUMIF(修正!A57:A68,H63,修正!G57:G68)</f>
        <v>0</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v>
      </c>
      <c r="D64" s="891">
        <v>0.25</v>
      </c>
      <c r="E64" s="209">
        <f>'数据-汇总表'!E15</f>
        <v>0</v>
      </c>
      <c r="F64" s="833" t="e">
        <f t="shared" si="15"/>
        <v>#DIV/0!</v>
      </c>
      <c r="G64" s="1834"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44.28</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2024-1-1</v>
      </c>
      <c r="D67" s="656">
        <f>EDATE(C67,-3)</f>
        <v>45200</v>
      </c>
      <c r="E67" s="656">
        <f>EDATE(D67,-3)</f>
        <v>45108</v>
      </c>
      <c r="F67" s="656">
        <f t="shared" ref="F67:O67" si="18">EDATE(E67,-3)</f>
        <v>45017</v>
      </c>
      <c r="G67" s="656">
        <f t="shared" si="18"/>
        <v>44927</v>
      </c>
      <c r="H67" s="656">
        <f t="shared" si="18"/>
        <v>44835</v>
      </c>
      <c r="I67" s="656">
        <f t="shared" si="18"/>
        <v>44743</v>
      </c>
      <c r="J67" s="656">
        <f t="shared" si="18"/>
        <v>44652</v>
      </c>
      <c r="K67" s="656">
        <f t="shared" si="18"/>
        <v>44562</v>
      </c>
      <c r="L67" s="656">
        <f t="shared" si="18"/>
        <v>44470</v>
      </c>
      <c r="M67" s="656">
        <f t="shared" si="18"/>
        <v>44378</v>
      </c>
      <c r="N67" s="656">
        <f t="shared" si="18"/>
        <v>44287</v>
      </c>
      <c r="O67" s="656">
        <f t="shared" si="18"/>
        <v>44197</v>
      </c>
      <c r="P67" s="2486"/>
      <c r="Q67" s="2486"/>
      <c r="R67" s="2486"/>
      <c r="S67" s="2486"/>
      <c r="T67" s="2486"/>
      <c r="U67" s="2486"/>
      <c r="V67" s="2486"/>
      <c r="W67" s="2486"/>
      <c r="X67" s="2486"/>
      <c r="Y67" s="2486"/>
      <c r="Z67" s="2486"/>
      <c r="AA67" s="2486"/>
      <c r="AB67" s="2486"/>
      <c r="AC67" s="2486"/>
    </row>
    <row r="68" spans="1:29" ht="21.75"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5">
      <c r="A69" s="1629" t="s">
        <v>1904</v>
      </c>
      <c r="B69" s="1046"/>
      <c r="C69" s="1100" t="str">
        <f>YEAR(C67)&amp;"-"&amp;ROUNDUP(MONTH(C67)/3,0)</f>
        <v>2024-1</v>
      </c>
      <c r="D69" s="1100" t="str">
        <f>YEAR(D67)&amp;"-"&amp;ROUNDUP(MONTH(D67)/3,0)</f>
        <v>2023-4</v>
      </c>
      <c r="E69" s="1100" t="str">
        <f t="shared" ref="E69:O69" si="19">YEAR(E67)&amp;"-"&amp;ROUNDUP(MONTH(E67)/3,0)</f>
        <v>2023-3</v>
      </c>
      <c r="F69" s="1100" t="str">
        <f t="shared" si="19"/>
        <v>2023-2</v>
      </c>
      <c r="G69" s="1100" t="str">
        <f t="shared" si="19"/>
        <v>2023-1</v>
      </c>
      <c r="H69" s="1100" t="str">
        <f t="shared" si="19"/>
        <v>2022-4</v>
      </c>
      <c r="I69" s="1100" t="str">
        <f t="shared" si="19"/>
        <v>2022-3</v>
      </c>
      <c r="J69" s="1100" t="str">
        <f t="shared" si="19"/>
        <v>2022-2</v>
      </c>
      <c r="K69" s="1100" t="str">
        <f t="shared" si="19"/>
        <v>2022-1</v>
      </c>
      <c r="L69" s="1100" t="str">
        <f t="shared" si="19"/>
        <v>2021-4</v>
      </c>
      <c r="M69" s="1100" t="str">
        <f t="shared" si="19"/>
        <v>2021-3</v>
      </c>
      <c r="N69" s="1100" t="str">
        <f t="shared" si="19"/>
        <v>2021-2</v>
      </c>
      <c r="O69" s="1100" t="str">
        <f t="shared" si="19"/>
        <v>2021-1</v>
      </c>
      <c r="P69" s="2509"/>
      <c r="Q69" s="2509"/>
      <c r="R69" s="2509"/>
      <c r="S69" s="2509"/>
      <c r="T69" s="2509"/>
      <c r="U69" s="2509"/>
      <c r="V69" s="2509"/>
      <c r="W69" s="2509"/>
      <c r="X69" s="2509"/>
      <c r="Y69" s="2509"/>
      <c r="Z69" s="2509"/>
      <c r="AA69" s="2509"/>
      <c r="AB69" s="2509"/>
      <c r="AC69" s="2509"/>
    </row>
    <row r="70" spans="1:29" s="102" customFormat="1" ht="30" customHeight="1">
      <c r="A70" s="1835"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9"/>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M9" sqref="M9"/>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96" t="s">
        <v>1770</v>
      </c>
      <c r="D4" s="3397"/>
      <c r="E4" s="3398" t="s">
        <v>1771</v>
      </c>
      <c r="F4" s="3399"/>
      <c r="G4" s="3396" t="s">
        <v>1772</v>
      </c>
      <c r="H4" s="3397"/>
      <c r="I4" s="3396" t="s">
        <v>1773</v>
      </c>
      <c r="J4" s="3397"/>
      <c r="K4" s="537" t="s">
        <v>1774</v>
      </c>
      <c r="L4" s="2485"/>
      <c r="M4" s="2486"/>
      <c r="N4" s="2486"/>
      <c r="O4" s="2486"/>
      <c r="P4" s="3400" t="s">
        <v>1775</v>
      </c>
      <c r="Q4" s="3401"/>
      <c r="R4" s="3406" t="s">
        <v>1771</v>
      </c>
      <c r="S4" s="3407"/>
      <c r="T4" s="3406" t="s">
        <v>1772</v>
      </c>
      <c r="U4" s="3407"/>
      <c r="V4" s="3382" t="s">
        <v>1773</v>
      </c>
      <c r="W4" s="3382"/>
      <c r="X4" s="1264"/>
      <c r="Y4" s="3406" t="s">
        <v>1775</v>
      </c>
      <c r="Z4" s="3407"/>
      <c r="AA4" s="3393" t="s">
        <v>1771</v>
      </c>
      <c r="AB4" s="3394" t="s">
        <v>1772</v>
      </c>
      <c r="AC4" s="3393" t="s">
        <v>1773</v>
      </c>
    </row>
    <row r="5" spans="1:29" ht="15">
      <c r="A5" s="348"/>
      <c r="B5" s="349"/>
      <c r="C5" s="3421" t="s">
        <v>1673</v>
      </c>
      <c r="D5" s="3422"/>
      <c r="E5" s="3423" t="s">
        <v>1674</v>
      </c>
      <c r="F5" s="3415"/>
      <c r="G5" s="3421" t="s">
        <v>1675</v>
      </c>
      <c r="H5" s="3422"/>
      <c r="I5" s="3421" t="s">
        <v>1676</v>
      </c>
      <c r="J5" s="3422"/>
      <c r="K5" s="537"/>
      <c r="L5" s="2485"/>
      <c r="M5" s="2486"/>
      <c r="N5" s="2486"/>
      <c r="O5" s="2486"/>
      <c r="P5" s="3402"/>
      <c r="Q5" s="3403"/>
      <c r="R5" s="3408"/>
      <c r="S5" s="3409"/>
      <c r="T5" s="3408"/>
      <c r="U5" s="3409"/>
      <c r="V5" s="3382"/>
      <c r="W5" s="3382"/>
      <c r="X5" s="1264"/>
      <c r="Y5" s="3408"/>
      <c r="Z5" s="3409"/>
      <c r="AA5" s="3394"/>
      <c r="AB5" s="3394"/>
      <c r="AC5" s="3394"/>
    </row>
    <row r="6" spans="1:29" ht="15.75" thickBot="1">
      <c r="A6" s="350"/>
      <c r="B6" s="351"/>
      <c r="C6" s="3444" t="s">
        <v>1919</v>
      </c>
      <c r="D6" s="3445"/>
      <c r="E6" s="3446" t="s">
        <v>1919</v>
      </c>
      <c r="F6" s="3447"/>
      <c r="G6" s="3444" t="s">
        <v>1919</v>
      </c>
      <c r="H6" s="3445"/>
      <c r="I6" s="3444" t="s">
        <v>1919</v>
      </c>
      <c r="J6" s="3445"/>
      <c r="K6" s="537" t="s">
        <v>1678</v>
      </c>
      <c r="L6" s="2485"/>
      <c r="M6" s="2486"/>
      <c r="N6" s="2486"/>
      <c r="O6" s="2486"/>
      <c r="P6" s="3404"/>
      <c r="Q6" s="3405"/>
      <c r="R6" s="3408"/>
      <c r="S6" s="3409"/>
      <c r="T6" s="3410"/>
      <c r="U6" s="3411"/>
      <c r="V6" s="3382"/>
      <c r="W6" s="3382"/>
      <c r="X6" s="1264"/>
      <c r="Y6" s="3410"/>
      <c r="Z6" s="3411"/>
      <c r="AA6" s="3395"/>
      <c r="AB6" s="3395"/>
      <c r="AC6" s="3395"/>
    </row>
    <row r="7" spans="1:29" s="102" customFormat="1" ht="15.75" thickBot="1">
      <c r="A7" s="352" t="s">
        <v>1679</v>
      </c>
      <c r="B7" s="353"/>
      <c r="C7" s="354">
        <f>'数据-取费表'!B2</f>
        <v>45301</v>
      </c>
      <c r="D7" s="355">
        <v>100</v>
      </c>
      <c r="E7" s="356"/>
      <c r="F7" s="357">
        <f>SUMIF(65:65,YEAR(E7)&amp;"-"&amp;INT((MONTH(E7)+2)/3),66:66)</f>
        <v>0</v>
      </c>
      <c r="G7" s="1820"/>
      <c r="H7" s="355">
        <f>SUMIF(65:65,YEAR(G7)&amp;"-"&amp;INT((MONTH(G7)+2)/3),66:66)</f>
        <v>0</v>
      </c>
      <c r="I7" s="1820"/>
      <c r="J7" s="355">
        <f>SUMIF(65:65,YEAR(I7)&amp;"-"&amp;INT((MONTH(I7)+2)/3),66:66)</f>
        <v>0</v>
      </c>
      <c r="K7" s="38"/>
      <c r="L7" s="2487"/>
      <c r="M7" s="2438"/>
      <c r="N7" s="2438"/>
      <c r="O7" s="2438"/>
      <c r="P7" s="3416" t="s">
        <v>1680</v>
      </c>
      <c r="Q7" s="3418"/>
      <c r="R7" s="664" t="s">
        <v>14</v>
      </c>
      <c r="S7" s="665">
        <f t="shared" ref="S7:S15" si="0">F7</f>
        <v>0</v>
      </c>
      <c r="T7" s="664" t="s">
        <v>14</v>
      </c>
      <c r="U7" s="665">
        <f t="shared" ref="U7:U15" si="1">H7</f>
        <v>0</v>
      </c>
      <c r="V7" s="664" t="s">
        <v>14</v>
      </c>
      <c r="W7" s="665">
        <f t="shared" ref="W7:W15" si="2">J7</f>
        <v>0</v>
      </c>
      <c r="X7" s="666"/>
      <c r="Y7" s="3416" t="s">
        <v>1680</v>
      </c>
      <c r="Z7" s="3417"/>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416" t="s">
        <v>1683</v>
      </c>
      <c r="Q8" s="3417"/>
      <c r="R8" s="664" t="s">
        <v>14</v>
      </c>
      <c r="S8" s="665">
        <f t="shared" si="0"/>
        <v>0</v>
      </c>
      <c r="T8" s="664" t="s">
        <v>14</v>
      </c>
      <c r="U8" s="665">
        <f t="shared" si="1"/>
        <v>0</v>
      </c>
      <c r="V8" s="664" t="s">
        <v>14</v>
      </c>
      <c r="W8" s="665">
        <f t="shared" si="2"/>
        <v>0</v>
      </c>
      <c r="X8" s="666"/>
      <c r="Y8" s="3416" t="s">
        <v>1683</v>
      </c>
      <c r="Z8" s="3417"/>
      <c r="AA8" s="50" t="e">
        <f t="shared" ref="AA8:AA40" si="3">D8/F8</f>
        <v>#DIV/0!</v>
      </c>
      <c r="AB8" s="50" t="e">
        <f t="shared" ref="AB8:AB40" si="4">D8/H8</f>
        <v>#DIV/0!</v>
      </c>
      <c r="AC8" s="50" t="e">
        <f t="shared" ref="AC8:AC40" si="5">D8/J8</f>
        <v>#DIV/0!</v>
      </c>
    </row>
    <row r="9" spans="1:29" s="102" customFormat="1">
      <c r="A9" s="359" t="s">
        <v>1684</v>
      </c>
      <c r="B9" s="60" t="s">
        <v>1685</v>
      </c>
      <c r="C9" s="1823"/>
      <c r="D9" s="59">
        <v>100</v>
      </c>
      <c r="E9" s="1823"/>
      <c r="F9" s="59">
        <f>SUMIF(70:70,E9,71:71)-SUMIF(70:70,C9,71:71)+100</f>
        <v>100</v>
      </c>
      <c r="G9" s="1823"/>
      <c r="H9" s="59">
        <f>SUMIF(70:70,G9,71:71)-SUMIF(70:70,C9,71:71)+100</f>
        <v>100</v>
      </c>
      <c r="I9" s="1823"/>
      <c r="J9" s="59">
        <f>SUMIF(70:70,I9,71:71)-SUMIF(70:70,C9,71:71)+100</f>
        <v>100</v>
      </c>
      <c r="K9" s="38"/>
      <c r="L9" s="2487"/>
      <c r="M9" s="2438"/>
      <c r="N9" s="2438"/>
      <c r="O9" s="2539"/>
      <c r="P9" s="3381" t="s">
        <v>1686</v>
      </c>
      <c r="Q9" s="530" t="str">
        <f t="shared" ref="Q9:Q15" si="6">B9</f>
        <v>用途</v>
      </c>
      <c r="R9" s="664" t="s">
        <v>14</v>
      </c>
      <c r="S9" s="665">
        <f t="shared" si="0"/>
        <v>100</v>
      </c>
      <c r="T9" s="664" t="s">
        <v>14</v>
      </c>
      <c r="U9" s="665">
        <f t="shared" si="1"/>
        <v>100</v>
      </c>
      <c r="V9" s="664" t="s">
        <v>14</v>
      </c>
      <c r="W9" s="665">
        <f t="shared" si="2"/>
        <v>100</v>
      </c>
      <c r="X9" s="666"/>
      <c r="Y9" s="3256"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103</v>
      </c>
      <c r="G10" s="371"/>
      <c r="H10" s="119">
        <f>ROUND(100/'数据-取费表'!G16,0)</f>
        <v>103</v>
      </c>
      <c r="I10" s="371"/>
      <c r="J10" s="119">
        <f>ROUND(100/'数据-取费表'!G16,0)</f>
        <v>103</v>
      </c>
      <c r="K10" s="592"/>
      <c r="L10" s="2488"/>
      <c r="M10" s="2489"/>
      <c r="N10" s="2489"/>
      <c r="O10" s="2540"/>
      <c r="P10" s="3381"/>
      <c r="Q10" s="530" t="str">
        <f t="shared" si="6"/>
        <v>土地使用年限（年）</v>
      </c>
      <c r="R10" s="664" t="s">
        <v>14</v>
      </c>
      <c r="S10" s="665">
        <f t="shared" si="0"/>
        <v>103</v>
      </c>
      <c r="T10" s="664" t="s">
        <v>14</v>
      </c>
      <c r="U10" s="665">
        <f t="shared" si="1"/>
        <v>103</v>
      </c>
      <c r="V10" s="664" t="s">
        <v>14</v>
      </c>
      <c r="W10" s="665">
        <f t="shared" si="2"/>
        <v>103</v>
      </c>
      <c r="X10" s="666"/>
      <c r="Y10" s="3256"/>
      <c r="Z10" s="50" t="str">
        <f t="shared" si="7"/>
        <v>土地使用年限（年）</v>
      </c>
      <c r="AA10" s="50">
        <f t="shared" si="3"/>
        <v>0.970873786407767</v>
      </c>
      <c r="AB10" s="50">
        <f t="shared" si="4"/>
        <v>0.970873786407767</v>
      </c>
      <c r="AC10" s="50">
        <f t="shared" si="5"/>
        <v>0.970873786407767</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381"/>
      <c r="Q11" s="530" t="str">
        <f t="shared" si="6"/>
        <v>容积率</v>
      </c>
      <c r="R11" s="664" t="s">
        <v>14</v>
      </c>
      <c r="S11" s="665" t="e">
        <f t="shared" si="0"/>
        <v>#N/A</v>
      </c>
      <c r="T11" s="664" t="s">
        <v>14</v>
      </c>
      <c r="U11" s="665" t="e">
        <f t="shared" si="1"/>
        <v>#N/A</v>
      </c>
      <c r="V11" s="664" t="s">
        <v>14</v>
      </c>
      <c r="W11" s="665" t="e">
        <f t="shared" si="2"/>
        <v>#N/A</v>
      </c>
      <c r="X11" s="666"/>
      <c r="Y11" s="3256"/>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381"/>
      <c r="Q12" s="530">
        <f t="shared" si="6"/>
        <v>111</v>
      </c>
      <c r="R12" s="664" t="s">
        <v>14</v>
      </c>
      <c r="S12" s="665">
        <f t="shared" si="0"/>
        <v>100</v>
      </c>
      <c r="T12" s="664" t="s">
        <v>14</v>
      </c>
      <c r="U12" s="665">
        <f t="shared" si="1"/>
        <v>100</v>
      </c>
      <c r="V12" s="664" t="s">
        <v>14</v>
      </c>
      <c r="W12" s="665">
        <f t="shared" si="2"/>
        <v>100</v>
      </c>
      <c r="X12" s="666"/>
      <c r="Y12" s="3256"/>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381"/>
      <c r="Q13" s="530">
        <f t="shared" si="6"/>
        <v>111</v>
      </c>
      <c r="R13" s="664" t="s">
        <v>14</v>
      </c>
      <c r="S13" s="665">
        <f t="shared" si="0"/>
        <v>100</v>
      </c>
      <c r="T13" s="664" t="s">
        <v>14</v>
      </c>
      <c r="U13" s="665">
        <f t="shared" si="1"/>
        <v>100</v>
      </c>
      <c r="V13" s="664" t="s">
        <v>14</v>
      </c>
      <c r="W13" s="665">
        <f t="shared" si="2"/>
        <v>100</v>
      </c>
      <c r="X13" s="666"/>
      <c r="Y13" s="3256"/>
      <c r="Z13" s="50">
        <f t="shared" si="7"/>
        <v>111</v>
      </c>
      <c r="AA13" s="50">
        <f t="shared" si="3"/>
        <v>1</v>
      </c>
      <c r="AB13" s="50">
        <f t="shared" si="4"/>
        <v>1</v>
      </c>
      <c r="AC13" s="50">
        <f t="shared" si="5"/>
        <v>1</v>
      </c>
    </row>
    <row r="14" spans="1:29" ht="15.75" thickBot="1">
      <c r="A14" s="375"/>
      <c r="B14" s="1747">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381"/>
      <c r="Q14" s="530">
        <f t="shared" si="6"/>
        <v>111</v>
      </c>
      <c r="R14" s="664" t="s">
        <v>14</v>
      </c>
      <c r="S14" s="665">
        <f t="shared" si="0"/>
        <v>100</v>
      </c>
      <c r="T14" s="664" t="s">
        <v>14</v>
      </c>
      <c r="U14" s="665">
        <f t="shared" si="1"/>
        <v>100</v>
      </c>
      <c r="V14" s="664" t="s">
        <v>14</v>
      </c>
      <c r="W14" s="665">
        <f t="shared" si="2"/>
        <v>100</v>
      </c>
      <c r="X14" s="666"/>
      <c r="Y14" s="3256"/>
      <c r="Z14" s="50">
        <f t="shared" si="7"/>
        <v>111</v>
      </c>
      <c r="AA14" s="50">
        <f t="shared" si="3"/>
        <v>1</v>
      </c>
      <c r="AB14" s="50">
        <f t="shared" si="4"/>
        <v>1</v>
      </c>
      <c r="AC14" s="50">
        <f t="shared" si="5"/>
        <v>1</v>
      </c>
    </row>
    <row r="15" spans="1:29" ht="57">
      <c r="A15" s="379" t="s">
        <v>1690</v>
      </c>
      <c r="B15" s="554" t="s">
        <v>1920</v>
      </c>
      <c r="C15" s="1817"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383" t="s">
        <v>1691</v>
      </c>
      <c r="Q15" s="1262" t="str">
        <f t="shared" si="6"/>
        <v>产业集聚程度</v>
      </c>
      <c r="R15" s="667" t="s">
        <v>14</v>
      </c>
      <c r="S15" s="668">
        <f t="shared" si="0"/>
        <v>100</v>
      </c>
      <c r="T15" s="667" t="s">
        <v>14</v>
      </c>
      <c r="U15" s="668">
        <f t="shared" si="1"/>
        <v>100</v>
      </c>
      <c r="V15" s="667" t="s">
        <v>14</v>
      </c>
      <c r="W15" s="668">
        <f t="shared" si="2"/>
        <v>100</v>
      </c>
      <c r="X15" s="1264"/>
      <c r="Y15" s="3383" t="s">
        <v>1691</v>
      </c>
      <c r="Z15" s="1263" t="str">
        <f t="shared" si="7"/>
        <v>产业集聚程度</v>
      </c>
      <c r="AA15" s="1263">
        <f t="shared" si="3"/>
        <v>1</v>
      </c>
      <c r="AB15" s="1263">
        <f t="shared" si="4"/>
        <v>1</v>
      </c>
      <c r="AC15" s="1263">
        <f t="shared" si="5"/>
        <v>1</v>
      </c>
    </row>
    <row r="16" spans="1:29" ht="15">
      <c r="A16" s="367"/>
      <c r="B16" s="555"/>
      <c r="C16" s="386"/>
      <c r="D16" s="387"/>
      <c r="E16" s="1756"/>
      <c r="F16" s="387"/>
      <c r="G16" s="1756"/>
      <c r="H16" s="389"/>
      <c r="I16" s="1756"/>
      <c r="J16" s="387"/>
      <c r="K16" s="592"/>
      <c r="L16" s="2491"/>
      <c r="M16" s="2486"/>
      <c r="N16" s="2486"/>
      <c r="O16" s="2541"/>
      <c r="P16" s="3384"/>
      <c r="Q16" s="1262"/>
      <c r="R16" s="667"/>
      <c r="S16" s="668"/>
      <c r="T16" s="667"/>
      <c r="U16" s="668"/>
      <c r="V16" s="667"/>
      <c r="W16" s="668"/>
      <c r="X16" s="1264"/>
      <c r="Y16" s="3384"/>
      <c r="Z16" s="1263"/>
      <c r="AA16" s="1263">
        <v>1</v>
      </c>
      <c r="AB16" s="1263">
        <v>1</v>
      </c>
      <c r="AC16" s="1263">
        <v>1</v>
      </c>
    </row>
    <row r="17" spans="1:29" ht="85.5">
      <c r="A17" s="367"/>
      <c r="B17" s="556" t="s">
        <v>1833</v>
      </c>
      <c r="C17" s="1752"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384"/>
      <c r="Q17" s="1262" t="str">
        <f>B17</f>
        <v>交通便捷度</v>
      </c>
      <c r="R17" s="667" t="s">
        <v>14</v>
      </c>
      <c r="S17" s="668">
        <f>F17</f>
        <v>100</v>
      </c>
      <c r="T17" s="667" t="s">
        <v>14</v>
      </c>
      <c r="U17" s="668">
        <f>H17</f>
        <v>100</v>
      </c>
      <c r="V17" s="667" t="s">
        <v>14</v>
      </c>
      <c r="W17" s="668">
        <f>J17</f>
        <v>100</v>
      </c>
      <c r="X17" s="1264"/>
      <c r="Y17" s="3384"/>
      <c r="Z17" s="1263" t="str">
        <f>Q17</f>
        <v>交通便捷度</v>
      </c>
      <c r="AA17" s="1263">
        <f t="shared" si="3"/>
        <v>1</v>
      </c>
      <c r="AB17" s="1263">
        <f t="shared" si="4"/>
        <v>1</v>
      </c>
      <c r="AC17" s="1263">
        <f t="shared" si="5"/>
        <v>1</v>
      </c>
    </row>
    <row r="18" spans="1:29" ht="15">
      <c r="A18" s="367"/>
      <c r="B18" s="401"/>
      <c r="C18" s="386"/>
      <c r="D18" s="387"/>
      <c r="E18" s="1750"/>
      <c r="F18" s="387"/>
      <c r="G18" s="1750"/>
      <c r="H18" s="387"/>
      <c r="I18" s="1749"/>
      <c r="J18" s="387"/>
      <c r="K18" s="592"/>
      <c r="L18" s="2491"/>
      <c r="M18" s="2486"/>
      <c r="N18" s="2486"/>
      <c r="O18" s="2541"/>
      <c r="P18" s="3384"/>
      <c r="Q18" s="1262"/>
      <c r="R18" s="667"/>
      <c r="S18" s="668"/>
      <c r="T18" s="667"/>
      <c r="U18" s="668"/>
      <c r="V18" s="667"/>
      <c r="W18" s="668"/>
      <c r="X18" s="1264"/>
      <c r="Y18" s="3384"/>
      <c r="Z18" s="1263"/>
      <c r="AA18" s="1263">
        <v>1</v>
      </c>
      <c r="AB18" s="1263">
        <v>1</v>
      </c>
      <c r="AC18" s="1263">
        <v>1</v>
      </c>
    </row>
    <row r="19" spans="1:29" ht="15">
      <c r="A19" s="367"/>
      <c r="B19" s="556" t="s">
        <v>1871</v>
      </c>
      <c r="C19" s="1752">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384"/>
      <c r="Q19" s="1262" t="str">
        <f t="shared" ref="Q19:Q33" si="8">B19</f>
        <v>区域土地利用方向</v>
      </c>
      <c r="R19" s="667" t="s">
        <v>14</v>
      </c>
      <c r="S19" s="668">
        <f>F19</f>
        <v>100</v>
      </c>
      <c r="T19" s="667" t="s">
        <v>14</v>
      </c>
      <c r="U19" s="668">
        <f>H19</f>
        <v>100</v>
      </c>
      <c r="V19" s="667" t="s">
        <v>14</v>
      </c>
      <c r="W19" s="668">
        <f>J19</f>
        <v>100</v>
      </c>
      <c r="X19" s="1264"/>
      <c r="Y19" s="3384"/>
      <c r="Z19" s="1263" t="str">
        <f>Q19</f>
        <v>区域土地利用方向</v>
      </c>
      <c r="AA19" s="1263">
        <f t="shared" si="3"/>
        <v>1</v>
      </c>
      <c r="AB19" s="1263">
        <f t="shared" si="4"/>
        <v>1</v>
      </c>
      <c r="AC19" s="1263">
        <f t="shared" si="5"/>
        <v>1</v>
      </c>
    </row>
    <row r="20" spans="1:29" ht="15">
      <c r="A20" s="348"/>
      <c r="B20" s="401"/>
      <c r="C20" s="386"/>
      <c r="D20" s="387"/>
      <c r="E20" s="1750"/>
      <c r="F20" s="387"/>
      <c r="G20" s="1750"/>
      <c r="H20" s="387"/>
      <c r="I20" s="1750"/>
      <c r="J20" s="387"/>
      <c r="K20" s="698"/>
      <c r="L20" s="2491"/>
      <c r="M20" s="2486"/>
      <c r="N20" s="2486"/>
      <c r="O20" s="2541"/>
      <c r="P20" s="3384"/>
      <c r="Q20" s="1262"/>
      <c r="R20" s="667"/>
      <c r="S20" s="668"/>
      <c r="T20" s="667"/>
      <c r="U20" s="668"/>
      <c r="V20" s="667"/>
      <c r="W20" s="668"/>
      <c r="X20" s="1264"/>
      <c r="Y20" s="3384"/>
      <c r="Z20" s="1263"/>
      <c r="AA20" s="1263"/>
      <c r="AB20" s="1263"/>
      <c r="AC20" s="1263"/>
    </row>
    <row r="21" spans="1:29" ht="71.25">
      <c r="A21" s="348"/>
      <c r="B21" s="556" t="s">
        <v>1921</v>
      </c>
      <c r="C21" s="1752"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384"/>
      <c r="Q21" s="1262" t="str">
        <f t="shared" si="8"/>
        <v>环境状况</v>
      </c>
      <c r="R21" s="667" t="s">
        <v>14</v>
      </c>
      <c r="S21" s="668">
        <f>F21</f>
        <v>100</v>
      </c>
      <c r="T21" s="667" t="s">
        <v>14</v>
      </c>
      <c r="U21" s="668">
        <f>H21</f>
        <v>100</v>
      </c>
      <c r="V21" s="667" t="s">
        <v>14</v>
      </c>
      <c r="W21" s="668">
        <f>J21</f>
        <v>100</v>
      </c>
      <c r="X21" s="1264"/>
      <c r="Y21" s="3384"/>
      <c r="Z21" s="1263" t="str">
        <f>Q21</f>
        <v>环境状况</v>
      </c>
      <c r="AA21" s="1263">
        <f t="shared" si="3"/>
        <v>1</v>
      </c>
      <c r="AB21" s="1263">
        <f t="shared" si="4"/>
        <v>1</v>
      </c>
      <c r="AC21" s="1263">
        <f t="shared" si="5"/>
        <v>1</v>
      </c>
    </row>
    <row r="22" spans="1:29" ht="15">
      <c r="A22" s="348"/>
      <c r="B22" s="401"/>
      <c r="C22" s="386"/>
      <c r="D22" s="387"/>
      <c r="E22" s="1756"/>
      <c r="F22" s="387"/>
      <c r="G22" s="1756"/>
      <c r="H22" s="387"/>
      <c r="I22" s="386"/>
      <c r="J22" s="387"/>
      <c r="K22" s="592"/>
      <c r="L22" s="2491"/>
      <c r="M22" s="2486"/>
      <c r="N22" s="2486"/>
      <c r="O22" s="2541"/>
      <c r="P22" s="3384"/>
      <c r="Q22" s="1262"/>
      <c r="R22" s="667"/>
      <c r="S22" s="668"/>
      <c r="T22" s="667"/>
      <c r="U22" s="668"/>
      <c r="V22" s="667"/>
      <c r="W22" s="668"/>
      <c r="X22" s="1264"/>
      <c r="Y22" s="3384"/>
      <c r="Z22" s="1263"/>
      <c r="AA22" s="1263">
        <v>1</v>
      </c>
      <c r="AB22" s="1263">
        <v>1</v>
      </c>
      <c r="AC22" s="1263">
        <v>1</v>
      </c>
    </row>
    <row r="23" spans="1:29" s="102" customFormat="1" ht="42.75">
      <c r="A23" s="443"/>
      <c r="B23" s="557" t="s">
        <v>1778</v>
      </c>
      <c r="C23" s="1752"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384"/>
      <c r="Q23" s="530" t="str">
        <f t="shared" si="8"/>
        <v>公共配套设施</v>
      </c>
      <c r="R23" s="664" t="s">
        <v>14</v>
      </c>
      <c r="S23" s="665">
        <f>F23</f>
        <v>100</v>
      </c>
      <c r="T23" s="664" t="s">
        <v>14</v>
      </c>
      <c r="U23" s="665">
        <f>H23</f>
        <v>100</v>
      </c>
      <c r="V23" s="664" t="s">
        <v>14</v>
      </c>
      <c r="W23" s="665">
        <f>J23</f>
        <v>100</v>
      </c>
      <c r="X23" s="666"/>
      <c r="Y23" s="3384"/>
      <c r="Z23" s="50" t="str">
        <f>Q23</f>
        <v>公共配套设施</v>
      </c>
      <c r="AA23" s="1263">
        <f>D23/F23</f>
        <v>1</v>
      </c>
      <c r="AB23" s="1263">
        <f>D23/H23</f>
        <v>1</v>
      </c>
      <c r="AC23" s="1263">
        <f>D23/J23</f>
        <v>1</v>
      </c>
    </row>
    <row r="24" spans="1:29" s="102" customFormat="1" ht="15">
      <c r="A24" s="443"/>
      <c r="B24" s="401"/>
      <c r="C24" s="1824"/>
      <c r="D24" s="387"/>
      <c r="E24" s="1756"/>
      <c r="F24" s="387"/>
      <c r="G24" s="1756"/>
      <c r="H24" s="387"/>
      <c r="I24" s="386"/>
      <c r="J24" s="387"/>
      <c r="K24" s="592"/>
      <c r="L24" s="2487"/>
      <c r="M24" s="2438"/>
      <c r="N24" s="2438"/>
      <c r="O24" s="2539"/>
      <c r="P24" s="3384"/>
      <c r="Q24" s="530"/>
      <c r="R24" s="664"/>
      <c r="S24" s="665"/>
      <c r="T24" s="664"/>
      <c r="U24" s="665"/>
      <c r="V24" s="664"/>
      <c r="W24" s="665"/>
      <c r="X24" s="666"/>
      <c r="Y24" s="3384"/>
      <c r="Z24" s="50"/>
      <c r="AA24" s="50">
        <v>1</v>
      </c>
      <c r="AB24" s="50">
        <v>1</v>
      </c>
      <c r="AC24" s="50">
        <v>1</v>
      </c>
    </row>
    <row r="25" spans="1:29" s="102" customFormat="1" ht="28.5">
      <c r="A25" s="443"/>
      <c r="B25" s="557" t="s">
        <v>1779</v>
      </c>
      <c r="C25" s="1752"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384"/>
      <c r="Q25" s="530" t="str">
        <f t="shared" ref="Q25" si="9">B25</f>
        <v>基础设施水平</v>
      </c>
      <c r="R25" s="664" t="s">
        <v>14</v>
      </c>
      <c r="S25" s="665">
        <f>F25</f>
        <v>100</v>
      </c>
      <c r="T25" s="664" t="s">
        <v>14</v>
      </c>
      <c r="U25" s="665">
        <f>H25</f>
        <v>100</v>
      </c>
      <c r="V25" s="664" t="s">
        <v>14</v>
      </c>
      <c r="W25" s="665">
        <f>J25</f>
        <v>100</v>
      </c>
      <c r="X25" s="666"/>
      <c r="Y25" s="3384"/>
      <c r="Z25" s="50" t="str">
        <f>Q25</f>
        <v>基础设施水平</v>
      </c>
      <c r="AA25" s="1263">
        <f>D25/F25</f>
        <v>1</v>
      </c>
      <c r="AB25" s="1263">
        <f>D25/H25</f>
        <v>1</v>
      </c>
      <c r="AC25" s="1263">
        <f>D25/J25</f>
        <v>1</v>
      </c>
    </row>
    <row r="26" spans="1:29" s="102" customFormat="1" ht="15">
      <c r="A26" s="443"/>
      <c r="B26" s="401"/>
      <c r="C26" s="1824"/>
      <c r="D26" s="387"/>
      <c r="E26" s="1825"/>
      <c r="F26" s="387"/>
      <c r="G26" s="1825"/>
      <c r="H26" s="387"/>
      <c r="I26" s="1825"/>
      <c r="J26" s="387"/>
      <c r="K26" s="592"/>
      <c r="L26" s="2487"/>
      <c r="M26" s="2438"/>
      <c r="N26" s="2438"/>
      <c r="O26" s="2539"/>
      <c r="P26" s="3384"/>
      <c r="Q26" s="530"/>
      <c r="R26" s="664"/>
      <c r="S26" s="665"/>
      <c r="T26" s="664"/>
      <c r="U26" s="665"/>
      <c r="V26" s="664"/>
      <c r="W26" s="665"/>
      <c r="X26" s="666"/>
      <c r="Y26" s="3384"/>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384"/>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384"/>
      <c r="Z27" s="1263" t="str">
        <f t="shared" ref="Z27:Z40" si="13">Q27</f>
        <v>临街状况</v>
      </c>
      <c r="AA27" s="1263">
        <f t="shared" si="3"/>
        <v>1</v>
      </c>
      <c r="AB27" s="1263">
        <f t="shared" si="4"/>
        <v>1</v>
      </c>
      <c r="AC27" s="1263">
        <f t="shared" si="5"/>
        <v>1</v>
      </c>
    </row>
    <row r="28" spans="1:29" ht="27">
      <c r="A28" s="367"/>
      <c r="B28" s="557" t="s">
        <v>1815</v>
      </c>
      <c r="C28" s="1836">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384"/>
      <c r="Q28" s="1262" t="str">
        <f t="shared" si="8"/>
        <v>毗邻道路的类型与等级</v>
      </c>
      <c r="R28" s="667" t="s">
        <v>14</v>
      </c>
      <c r="S28" s="668">
        <f t="shared" si="10"/>
        <v>100</v>
      </c>
      <c r="T28" s="667" t="s">
        <v>14</v>
      </c>
      <c r="U28" s="668">
        <f t="shared" si="11"/>
        <v>100</v>
      </c>
      <c r="V28" s="667" t="s">
        <v>14</v>
      </c>
      <c r="W28" s="668">
        <f t="shared" si="12"/>
        <v>100</v>
      </c>
      <c r="X28" s="1264"/>
      <c r="Y28" s="3384"/>
      <c r="Z28" s="1263" t="str">
        <f t="shared" si="13"/>
        <v>毗邻道路的类型与等级</v>
      </c>
      <c r="AA28" s="1263">
        <f t="shared" si="3"/>
        <v>1</v>
      </c>
      <c r="AB28" s="1263">
        <f t="shared" si="4"/>
        <v>1</v>
      </c>
      <c r="AC28" s="1263">
        <f t="shared" si="5"/>
        <v>1</v>
      </c>
    </row>
    <row r="29" spans="1:29" ht="15">
      <c r="A29" s="367"/>
      <c r="B29" s="401"/>
      <c r="C29" s="386"/>
      <c r="D29" s="387"/>
      <c r="E29" s="1756"/>
      <c r="F29" s="387"/>
      <c r="G29" s="1756"/>
      <c r="H29" s="387"/>
      <c r="I29" s="1756"/>
      <c r="J29" s="387"/>
      <c r="K29" s="539"/>
      <c r="L29" s="2491"/>
      <c r="M29" s="2486"/>
      <c r="N29" s="2486"/>
      <c r="O29" s="2541"/>
      <c r="P29" s="3384"/>
      <c r="Q29" s="1262"/>
      <c r="R29" s="667"/>
      <c r="S29" s="668"/>
      <c r="T29" s="667"/>
      <c r="U29" s="668"/>
      <c r="V29" s="667"/>
      <c r="W29" s="668"/>
      <c r="X29" s="1264"/>
      <c r="Y29" s="3384"/>
      <c r="Z29" s="1263"/>
      <c r="AA29" s="1263">
        <v>1</v>
      </c>
      <c r="AB29" s="1263">
        <v>1</v>
      </c>
      <c r="AC29" s="1263">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384"/>
      <c r="Q30" s="1262" t="str">
        <f t="shared" si="8"/>
        <v>土地级别</v>
      </c>
      <c r="R30" s="667" t="s">
        <v>14</v>
      </c>
      <c r="S30" s="668">
        <f t="shared" si="10"/>
        <v>100</v>
      </c>
      <c r="T30" s="667" t="s">
        <v>14</v>
      </c>
      <c r="U30" s="668">
        <f t="shared" si="11"/>
        <v>100</v>
      </c>
      <c r="V30" s="667" t="s">
        <v>14</v>
      </c>
      <c r="W30" s="668">
        <f t="shared" si="12"/>
        <v>100</v>
      </c>
      <c r="X30" s="1264"/>
      <c r="Y30" s="3384"/>
      <c r="Z30" s="1263" t="str">
        <f t="shared" si="13"/>
        <v>土地级别</v>
      </c>
      <c r="AA30" s="1263">
        <f t="shared" si="3"/>
        <v>1</v>
      </c>
      <c r="AB30" s="1263">
        <f t="shared" si="4"/>
        <v>1</v>
      </c>
      <c r="AC30" s="1263">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384"/>
      <c r="Q31" s="1262">
        <f t="shared" si="8"/>
        <v>111</v>
      </c>
      <c r="R31" s="667" t="s">
        <v>14</v>
      </c>
      <c r="S31" s="668">
        <f t="shared" si="10"/>
        <v>100</v>
      </c>
      <c r="T31" s="667" t="s">
        <v>14</v>
      </c>
      <c r="U31" s="668">
        <f t="shared" si="11"/>
        <v>100</v>
      </c>
      <c r="V31" s="667" t="s">
        <v>14</v>
      </c>
      <c r="W31" s="668">
        <f t="shared" si="12"/>
        <v>100</v>
      </c>
      <c r="X31" s="1264"/>
      <c r="Y31" s="3384"/>
      <c r="Z31" s="1263">
        <f t="shared" si="13"/>
        <v>111</v>
      </c>
      <c r="AA31" s="1263">
        <f t="shared" si="3"/>
        <v>1</v>
      </c>
      <c r="AB31" s="1263">
        <f t="shared" si="4"/>
        <v>1</v>
      </c>
      <c r="AC31" s="1263">
        <f t="shared" si="5"/>
        <v>1</v>
      </c>
    </row>
    <row r="32" spans="1:29" ht="15">
      <c r="A32" s="595"/>
      <c r="B32" s="1837">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39" t="s">
        <v>1696</v>
      </c>
      <c r="Q32" s="1262">
        <f t="shared" si="8"/>
        <v>111</v>
      </c>
      <c r="R32" s="667" t="s">
        <v>14</v>
      </c>
      <c r="S32" s="668">
        <f t="shared" si="10"/>
        <v>100</v>
      </c>
      <c r="T32" s="667" t="s">
        <v>14</v>
      </c>
      <c r="U32" s="668">
        <f t="shared" si="11"/>
        <v>100</v>
      </c>
      <c r="V32" s="667" t="s">
        <v>14</v>
      </c>
      <c r="W32" s="668">
        <f t="shared" si="12"/>
        <v>100</v>
      </c>
      <c r="X32" s="1264"/>
      <c r="Y32" s="3388" t="s">
        <v>1696</v>
      </c>
      <c r="Z32" s="1263">
        <f t="shared" si="13"/>
        <v>111</v>
      </c>
      <c r="AA32" s="1263">
        <f t="shared" si="3"/>
        <v>1</v>
      </c>
      <c r="AB32" s="1263">
        <f t="shared" si="4"/>
        <v>1</v>
      </c>
      <c r="AC32" s="1263">
        <f t="shared" si="5"/>
        <v>1</v>
      </c>
    </row>
    <row r="33" spans="1:31" s="408" customFormat="1" ht="15.75" thickBot="1">
      <c r="A33" s="596"/>
      <c r="B33" s="1838">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388"/>
      <c r="Q33" s="1262">
        <f t="shared" si="8"/>
        <v>111</v>
      </c>
      <c r="R33" s="669" t="s">
        <v>14</v>
      </c>
      <c r="S33" s="670">
        <f t="shared" si="10"/>
        <v>100</v>
      </c>
      <c r="T33" s="669" t="s">
        <v>14</v>
      </c>
      <c r="U33" s="670">
        <f t="shared" si="11"/>
        <v>100</v>
      </c>
      <c r="V33" s="669" t="s">
        <v>14</v>
      </c>
      <c r="W33" s="670">
        <f t="shared" si="12"/>
        <v>100</v>
      </c>
      <c r="X33" s="671"/>
      <c r="Y33" s="3388"/>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388"/>
      <c r="Q34" s="1262" t="str">
        <f>B34</f>
        <v>宗地面积</v>
      </c>
      <c r="R34" s="667" t="s">
        <v>14</v>
      </c>
      <c r="S34" s="668" t="e">
        <f t="shared" si="10"/>
        <v>#N/A</v>
      </c>
      <c r="T34" s="667" t="s">
        <v>14</v>
      </c>
      <c r="U34" s="668" t="e">
        <f t="shared" si="11"/>
        <v>#N/A</v>
      </c>
      <c r="V34" s="667" t="s">
        <v>14</v>
      </c>
      <c r="W34" s="668" t="e">
        <f t="shared" si="12"/>
        <v>#N/A</v>
      </c>
      <c r="X34" s="1264"/>
      <c r="Y34" s="3388"/>
      <c r="Z34" s="1263" t="str">
        <f t="shared" si="13"/>
        <v>宗地面积</v>
      </c>
      <c r="AA34" s="1263" t="e">
        <f t="shared" si="3"/>
        <v>#N/A</v>
      </c>
      <c r="AB34" s="1263" t="e">
        <f t="shared" si="4"/>
        <v>#N/A</v>
      </c>
      <c r="AC34" s="1263" t="e">
        <f t="shared" si="5"/>
        <v>#N/A</v>
      </c>
    </row>
    <row r="35" spans="1:31" ht="15">
      <c r="A35" s="409"/>
      <c r="B35" s="364" t="s">
        <v>1875</v>
      </c>
      <c r="C35" s="1758"/>
      <c r="D35" s="374">
        <v>100</v>
      </c>
      <c r="E35" s="1758"/>
      <c r="F35" s="374">
        <f>SUMIF(110:110,E35,111:111)-SUMIF(110:110,C35,111:111)+100</f>
        <v>100</v>
      </c>
      <c r="G35" s="1758"/>
      <c r="H35" s="374">
        <f>SUMIF(110:110,G35,111:111)-SUMIF(110:110,C35,111:111)+100</f>
        <v>100</v>
      </c>
      <c r="I35" s="1758"/>
      <c r="J35" s="374">
        <f>SUMIF(110:110,I35,111:111)-SUMIF(110:110,C35,111:111)+100</f>
        <v>100</v>
      </c>
      <c r="K35" s="538"/>
      <c r="L35" s="2491"/>
      <c r="M35" s="2486"/>
      <c r="N35" s="2486"/>
      <c r="O35" s="2541"/>
      <c r="P35" s="3388"/>
      <c r="Q35" s="1262" t="str">
        <f t="shared" ref="Q35:Q40" si="14">B35</f>
        <v>宗地形状</v>
      </c>
      <c r="R35" s="667" t="s">
        <v>14</v>
      </c>
      <c r="S35" s="668">
        <f t="shared" si="10"/>
        <v>100</v>
      </c>
      <c r="T35" s="667" t="s">
        <v>14</v>
      </c>
      <c r="U35" s="668">
        <f t="shared" si="11"/>
        <v>100</v>
      </c>
      <c r="V35" s="667" t="s">
        <v>14</v>
      </c>
      <c r="W35" s="668">
        <f t="shared" si="12"/>
        <v>100</v>
      </c>
      <c r="X35" s="1264"/>
      <c r="Y35" s="3388"/>
      <c r="Z35" s="1263" t="str">
        <f t="shared" si="13"/>
        <v>宗地形状</v>
      </c>
      <c r="AA35" s="1263">
        <f t="shared" si="3"/>
        <v>1</v>
      </c>
      <c r="AB35" s="1263">
        <f t="shared" si="4"/>
        <v>1</v>
      </c>
      <c r="AC35" s="1263">
        <f t="shared" si="5"/>
        <v>1</v>
      </c>
    </row>
    <row r="36" spans="1:31" s="102" customFormat="1" ht="15">
      <c r="A36" s="410"/>
      <c r="B36" s="364" t="s">
        <v>1877</v>
      </c>
      <c r="C36" s="1826"/>
      <c r="D36" s="119">
        <v>100</v>
      </c>
      <c r="E36" s="1826"/>
      <c r="F36" s="374">
        <f>SUMIF(112:112,E36,113:113)-SUMIF(112:112,C36,113:113)+100</f>
        <v>100</v>
      </c>
      <c r="G36" s="1826"/>
      <c r="H36" s="374">
        <f>SUMIF(112:112,G36,113:113)-SUMIF(112:112,C36,113:113)+100</f>
        <v>100</v>
      </c>
      <c r="I36" s="1826"/>
      <c r="J36" s="374">
        <f>SUMIF(112:112,I36,113:113)-SUMIF(112:112,C36,113:113)+100</f>
        <v>100</v>
      </c>
      <c r="K36" s="538"/>
      <c r="L36" s="2487"/>
      <c r="M36" s="2438"/>
      <c r="N36" s="2438"/>
      <c r="O36" s="2539"/>
      <c r="P36" s="3388"/>
      <c r="Q36" s="1262" t="str">
        <f t="shared" si="14"/>
        <v>宗地开发程度</v>
      </c>
      <c r="R36" s="664" t="s">
        <v>14</v>
      </c>
      <c r="S36" s="665">
        <f t="shared" si="10"/>
        <v>100</v>
      </c>
      <c r="T36" s="664" t="s">
        <v>14</v>
      </c>
      <c r="U36" s="665">
        <f t="shared" si="11"/>
        <v>100</v>
      </c>
      <c r="V36" s="664" t="s">
        <v>14</v>
      </c>
      <c r="W36" s="665">
        <f t="shared" si="12"/>
        <v>100</v>
      </c>
      <c r="X36" s="666"/>
      <c r="Y36" s="3388"/>
      <c r="Z36" s="50" t="str">
        <f t="shared" si="13"/>
        <v>宗地开发程度</v>
      </c>
      <c r="AA36" s="50">
        <f t="shared" si="3"/>
        <v>1</v>
      </c>
      <c r="AB36" s="50">
        <f t="shared" si="4"/>
        <v>1</v>
      </c>
      <c r="AC36" s="50">
        <f t="shared" si="5"/>
        <v>1</v>
      </c>
    </row>
    <row r="37" spans="1:31" ht="15">
      <c r="A37" s="409"/>
      <c r="B37" s="364" t="s">
        <v>1878</v>
      </c>
      <c r="C37" s="1758"/>
      <c r="D37" s="374">
        <v>100</v>
      </c>
      <c r="E37" s="1758"/>
      <c r="F37" s="374">
        <f>SUMIF(114:114,E37,115:115)-SUMIF(114:114,C37,115:115)+100</f>
        <v>100</v>
      </c>
      <c r="G37" s="1758"/>
      <c r="H37" s="374">
        <f>SUMIF(114:114,G37,115:115)-SUMIF(114:114,C37,115:115)+100</f>
        <v>100</v>
      </c>
      <c r="I37" s="1758"/>
      <c r="J37" s="374">
        <f>SUMIF(114:114,I37,115:115)-SUMIF(114:114,C37,115:115)+100</f>
        <v>100</v>
      </c>
      <c r="K37" s="538"/>
      <c r="L37" s="2491"/>
      <c r="M37" s="2486"/>
      <c r="N37" s="2486"/>
      <c r="O37" s="2541"/>
      <c r="P37" s="3388" t="s">
        <v>1696</v>
      </c>
      <c r="Q37" s="1262" t="str">
        <f t="shared" si="14"/>
        <v>工程地质条件</v>
      </c>
      <c r="R37" s="667" t="s">
        <v>14</v>
      </c>
      <c r="S37" s="668">
        <f t="shared" si="10"/>
        <v>100</v>
      </c>
      <c r="T37" s="667" t="s">
        <v>14</v>
      </c>
      <c r="U37" s="668">
        <f t="shared" si="11"/>
        <v>100</v>
      </c>
      <c r="V37" s="667" t="s">
        <v>14</v>
      </c>
      <c r="W37" s="668">
        <f t="shared" si="12"/>
        <v>100</v>
      </c>
      <c r="X37" s="1264"/>
      <c r="Y37" s="3388" t="s">
        <v>1696</v>
      </c>
      <c r="Z37" s="1263" t="str">
        <f t="shared" si="13"/>
        <v>工程地质条件</v>
      </c>
      <c r="AA37" s="1263">
        <f t="shared" si="3"/>
        <v>1</v>
      </c>
      <c r="AB37" s="1263">
        <f t="shared" si="4"/>
        <v>1</v>
      </c>
      <c r="AC37" s="1263">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388"/>
      <c r="Q38" s="1262">
        <f t="shared" si="14"/>
        <v>111</v>
      </c>
      <c r="R38" s="667" t="s">
        <v>14</v>
      </c>
      <c r="S38" s="668">
        <f t="shared" si="10"/>
        <v>100</v>
      </c>
      <c r="T38" s="667" t="s">
        <v>14</v>
      </c>
      <c r="U38" s="668">
        <f t="shared" si="11"/>
        <v>100</v>
      </c>
      <c r="V38" s="667" t="s">
        <v>14</v>
      </c>
      <c r="W38" s="668">
        <f t="shared" si="12"/>
        <v>100</v>
      </c>
      <c r="X38" s="1264"/>
      <c r="Y38" s="3388"/>
      <c r="Z38" s="1263">
        <f t="shared" si="13"/>
        <v>111</v>
      </c>
      <c r="AA38" s="1263">
        <f t="shared" si="3"/>
        <v>1</v>
      </c>
      <c r="AB38" s="1263">
        <f t="shared" si="4"/>
        <v>1</v>
      </c>
      <c r="AC38" s="1263">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388"/>
      <c r="Q39" s="1262">
        <f t="shared" si="14"/>
        <v>111</v>
      </c>
      <c r="R39" s="667" t="s">
        <v>14</v>
      </c>
      <c r="S39" s="668">
        <f t="shared" si="10"/>
        <v>100</v>
      </c>
      <c r="T39" s="667" t="s">
        <v>14</v>
      </c>
      <c r="U39" s="668">
        <f t="shared" si="11"/>
        <v>100</v>
      </c>
      <c r="V39" s="667" t="s">
        <v>14</v>
      </c>
      <c r="W39" s="668">
        <f t="shared" si="12"/>
        <v>100</v>
      </c>
      <c r="X39" s="1264"/>
      <c r="Y39" s="3388"/>
      <c r="Z39" s="1263">
        <f t="shared" si="13"/>
        <v>111</v>
      </c>
      <c r="AA39" s="1263">
        <f t="shared" si="3"/>
        <v>1</v>
      </c>
      <c r="AB39" s="1263">
        <f t="shared" si="4"/>
        <v>1</v>
      </c>
      <c r="AC39" s="1263">
        <f t="shared" si="5"/>
        <v>1</v>
      </c>
    </row>
    <row r="40" spans="1:31" s="408" customFormat="1" ht="15.75" thickBot="1">
      <c r="A40" s="406"/>
      <c r="B40" s="1067">
        <v>111</v>
      </c>
      <c r="C40" s="1827"/>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388"/>
      <c r="Q40" s="1262">
        <f t="shared" si="14"/>
        <v>111</v>
      </c>
      <c r="R40" s="669" t="s">
        <v>14</v>
      </c>
      <c r="S40" s="670">
        <f t="shared" si="10"/>
        <v>100</v>
      </c>
      <c r="T40" s="669" t="s">
        <v>14</v>
      </c>
      <c r="U40" s="670">
        <f t="shared" si="11"/>
        <v>100</v>
      </c>
      <c r="V40" s="669" t="s">
        <v>14</v>
      </c>
      <c r="W40" s="670">
        <f t="shared" si="12"/>
        <v>100</v>
      </c>
      <c r="X40" s="671"/>
      <c r="Y40" s="3388"/>
      <c r="Z40" s="672">
        <f t="shared" si="13"/>
        <v>111</v>
      </c>
      <c r="AA40" s="1263">
        <f t="shared" si="3"/>
        <v>1</v>
      </c>
      <c r="AB40" s="1263">
        <f t="shared" si="4"/>
        <v>1</v>
      </c>
      <c r="AC40" s="1263">
        <f t="shared" si="5"/>
        <v>1</v>
      </c>
    </row>
    <row r="41" spans="1:31" ht="15">
      <c r="A41" s="416" t="s">
        <v>1844</v>
      </c>
      <c r="B41" s="1828" t="s">
        <v>1922</v>
      </c>
      <c r="C41" s="602" t="s">
        <v>0</v>
      </c>
      <c r="D41" s="418"/>
      <c r="E41" s="419"/>
      <c r="F41" s="420"/>
      <c r="G41" s="421"/>
      <c r="H41" s="422"/>
      <c r="I41" s="419"/>
      <c r="J41" s="422"/>
      <c r="K41" s="674"/>
      <c r="L41" s="2493"/>
      <c r="M41" s="2486"/>
      <c r="N41" s="2486"/>
      <c r="O41" s="2486"/>
      <c r="P41" s="3381" t="str">
        <f>A41</f>
        <v>成交单价</v>
      </c>
      <c r="Q41" s="3381"/>
      <c r="R41" s="3382">
        <f>E41</f>
        <v>0</v>
      </c>
      <c r="S41" s="3382"/>
      <c r="T41" s="3382">
        <f>G41</f>
        <v>0</v>
      </c>
      <c r="U41" s="3382"/>
      <c r="V41" s="3382">
        <f>I41</f>
        <v>0</v>
      </c>
      <c r="W41" s="3382"/>
      <c r="X41" s="385"/>
      <c r="Y41" s="673"/>
      <c r="Z41" s="385"/>
      <c r="AA41" s="385"/>
      <c r="AB41" s="385"/>
      <c r="AC41" s="385"/>
    </row>
    <row r="42" spans="1:31" ht="15.75" thickBot="1">
      <c r="A42" s="423" t="s">
        <v>1793</v>
      </c>
      <c r="B42" s="603"/>
      <c r="C42" s="426" t="e">
        <f>R43</f>
        <v>#DIV/0!</v>
      </c>
      <c r="D42" s="2139" t="s">
        <v>2138</v>
      </c>
      <c r="E42" s="426" t="e">
        <f>R42</f>
        <v>#DIV/0!</v>
      </c>
      <c r="F42" s="2140"/>
      <c r="G42" s="425" t="e">
        <f>T42</f>
        <v>#DIV/0!</v>
      </c>
      <c r="H42" s="2140"/>
      <c r="I42" s="426" t="e">
        <f>V42</f>
        <v>#DIV/0!</v>
      </c>
      <c r="J42" s="2140"/>
      <c r="K42" s="2142">
        <f>F42+H42+J42</f>
        <v>0</v>
      </c>
      <c r="L42" s="2493"/>
      <c r="M42" s="2486"/>
      <c r="N42" s="2486"/>
      <c r="O42" s="2486"/>
      <c r="P42" s="3381" t="str">
        <f>A42</f>
        <v>比较价值（元/平方米）</v>
      </c>
      <c r="Q42" s="3381"/>
      <c r="R42" s="3441" t="e">
        <f>ROUND(PRODUCT(R41,AA7:AA40),0)</f>
        <v>#DIV/0!</v>
      </c>
      <c r="S42" s="3441"/>
      <c r="T42" s="3441" t="e">
        <f>ROUND(PRODUCT(T41,AB7:AB40),0)</f>
        <v>#DIV/0!</v>
      </c>
      <c r="U42" s="3441"/>
      <c r="V42" s="3441" t="e">
        <f>ROUND(PRODUCT(V41,AC7:AC40),0)</f>
        <v>#DIV/0!</v>
      </c>
      <c r="W42" s="3441"/>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3"/>
      <c r="M43" s="2486"/>
      <c r="N43" s="2486"/>
      <c r="O43" s="2486"/>
      <c r="P43" s="3378" t="str">
        <f>A43</f>
        <v>估价对象XX用房的比较价值（楼面单价，元/平方米）</v>
      </c>
      <c r="Q43" s="3379"/>
      <c r="R43" s="3442" t="e">
        <f>ROUND(IF(D42="简单平均",AVERAGE(R42:W42),R42*F42+T42*H42+V42*J42),0)</f>
        <v>#DIV/0!</v>
      </c>
      <c r="S43" s="3442"/>
      <c r="T43" s="3442"/>
      <c r="U43" s="3442"/>
      <c r="V43" s="3442"/>
      <c r="W43" s="3442"/>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29" t="s">
        <v>1883</v>
      </c>
      <c r="D50" s="1830" t="s">
        <v>1884</v>
      </c>
      <c r="E50" s="606" t="s">
        <v>1885</v>
      </c>
      <c r="F50" s="607" t="s">
        <v>1886</v>
      </c>
      <c r="G50" s="3396" t="s">
        <v>1887</v>
      </c>
      <c r="H50" s="3443"/>
      <c r="I50" s="1263" t="s">
        <v>1923</v>
      </c>
      <c r="J50" s="1263">
        <f>项目基本情况!F35</f>
        <v>0</v>
      </c>
      <c r="K50" s="1832"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44.28</v>
      </c>
      <c r="F51" s="611" t="e">
        <f t="shared" ref="F51:F60" si="15">ROUND(B51*E51/10000,0)</f>
        <v>#DIV/0!</v>
      </c>
      <c r="G51" s="3392"/>
      <c r="H51" s="3381"/>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1">
        <v>0.25</v>
      </c>
      <c r="E52" s="614"/>
      <c r="F52" s="611" t="e">
        <f t="shared" si="15"/>
        <v>#DIV/0!</v>
      </c>
      <c r="G52" s="2749" t="s">
        <v>1892</v>
      </c>
      <c r="H52" s="834">
        <f>项目基本情况!B37</f>
        <v>0</v>
      </c>
      <c r="I52" s="727">
        <f>SUMIF(修正!A57:A68,H52,修正!B57:B68)</f>
        <v>0</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1">
        <v>0.25</v>
      </c>
      <c r="E53" s="614"/>
      <c r="F53" s="611" t="e">
        <f t="shared" si="15"/>
        <v>#DIV/0!</v>
      </c>
      <c r="G53" s="2750"/>
      <c r="H53" s="834">
        <f>项目基本情况!B37</f>
        <v>0</v>
      </c>
      <c r="I53" s="727">
        <f>SUMIF(修正!A57:A68,H53,修正!C57:C68)</f>
        <v>0</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1">
        <v>0.25</v>
      </c>
      <c r="E54" s="614"/>
      <c r="F54" s="611" t="e">
        <f t="shared" si="15"/>
        <v>#DIV/0!</v>
      </c>
      <c r="G54" s="2750"/>
      <c r="H54" s="834">
        <f>项目基本情况!B37</f>
        <v>0</v>
      </c>
      <c r="I54" s="727">
        <f>SUMIF(修正!A57:A68,H54,修正!D57:D68)</f>
        <v>0</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3"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0.2</v>
      </c>
      <c r="D58" s="891">
        <v>0.25</v>
      </c>
      <c r="E58" s="209">
        <f>'数据-汇总表'!E13</f>
        <v>0</v>
      </c>
      <c r="F58" s="611" t="e">
        <f t="shared" si="15"/>
        <v>#DIV/0!</v>
      </c>
      <c r="G58" s="839" t="s">
        <v>1900</v>
      </c>
      <c r="H58" s="834" t="str">
        <f>IF(G58="商业",项目基本情况!B37,IF(G58="办公",项目基本情况!C37,IF(G58="住宅",项目基本情况!D37,项目基本情况!E37)))</f>
        <v>二级</v>
      </c>
      <c r="I58" s="727">
        <f>SUMIF(修正!A57:A68,H58,修正!G57:G68)</f>
        <v>0.2</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1">
        <v>0.25</v>
      </c>
      <c r="E59" s="209">
        <f>'数据-汇总表'!E14</f>
        <v>0</v>
      </c>
      <c r="F59" s="611" t="e">
        <f t="shared" si="15"/>
        <v>#DIV/0!</v>
      </c>
      <c r="G59" s="1833" t="s">
        <v>1892</v>
      </c>
      <c r="H59" s="834">
        <f>项目基本情况!B37</f>
        <v>0</v>
      </c>
      <c r="I59" s="727">
        <f>SUMIF(修正!A57:A68,H59,修正!G57:G68)</f>
        <v>0</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v>
      </c>
      <c r="D60" s="891">
        <v>0.25</v>
      </c>
      <c r="E60" s="209">
        <f>'数据-汇总表'!E15</f>
        <v>0</v>
      </c>
      <c r="F60" s="611" t="e">
        <f t="shared" si="15"/>
        <v>#DIV/0!</v>
      </c>
      <c r="G60" s="1834"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2024-1-1</v>
      </c>
      <c r="D63" s="656">
        <f>EDATE(C63,-3)</f>
        <v>45200</v>
      </c>
      <c r="E63" s="656">
        <f>EDATE(D63,-3)</f>
        <v>45108</v>
      </c>
      <c r="F63" s="656">
        <f t="shared" ref="F63:O63" si="18">EDATE(E63,-3)</f>
        <v>45017</v>
      </c>
      <c r="G63" s="656">
        <f t="shared" si="18"/>
        <v>44927</v>
      </c>
      <c r="H63" s="656">
        <f t="shared" si="18"/>
        <v>44835</v>
      </c>
      <c r="I63" s="656">
        <f t="shared" si="18"/>
        <v>44743</v>
      </c>
      <c r="J63" s="656">
        <f t="shared" si="18"/>
        <v>44652</v>
      </c>
      <c r="K63" s="656">
        <f t="shared" si="18"/>
        <v>44562</v>
      </c>
      <c r="L63" s="656">
        <f t="shared" si="18"/>
        <v>44470</v>
      </c>
      <c r="M63" s="656">
        <f t="shared" si="18"/>
        <v>44378</v>
      </c>
      <c r="N63" s="656">
        <f t="shared" si="18"/>
        <v>44287</v>
      </c>
      <c r="O63" s="656">
        <f t="shared" si="18"/>
        <v>44197</v>
      </c>
      <c r="P63" s="2486"/>
      <c r="Q63" s="2486"/>
      <c r="R63" s="2486"/>
      <c r="S63" s="2486"/>
      <c r="T63" s="2486"/>
      <c r="U63" s="2486"/>
      <c r="V63" s="2486"/>
      <c r="W63" s="2486"/>
      <c r="X63" s="2486"/>
      <c r="Y63" s="2486"/>
      <c r="Z63" s="2486"/>
      <c r="AA63" s="2486"/>
      <c r="AB63" s="2486"/>
      <c r="AC63" s="2486"/>
      <c r="AD63" s="2486"/>
      <c r="AE63" s="2486"/>
    </row>
    <row r="64" spans="1:31" ht="21.75"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5">
      <c r="A65" s="1629" t="s">
        <v>1904</v>
      </c>
      <c r="B65" s="1046"/>
      <c r="C65" s="1100" t="str">
        <f>YEAR(C63)&amp;"-"&amp;ROUNDUP(MONTH(C63)/3,0)</f>
        <v>2024-1</v>
      </c>
      <c r="D65" s="1100" t="str">
        <f t="shared" ref="D65:O65" si="19">YEAR(D63)&amp;"-"&amp;ROUNDUP(MONTH(D63)/3,0)</f>
        <v>2023-4</v>
      </c>
      <c r="E65" s="1100" t="str">
        <f t="shared" si="19"/>
        <v>2023-3</v>
      </c>
      <c r="F65" s="1100" t="str">
        <f t="shared" si="19"/>
        <v>2023-2</v>
      </c>
      <c r="G65" s="1100" t="str">
        <f t="shared" si="19"/>
        <v>2023-1</v>
      </c>
      <c r="H65" s="1100" t="str">
        <f t="shared" si="19"/>
        <v>2022-4</v>
      </c>
      <c r="I65" s="1100" t="str">
        <f t="shared" si="19"/>
        <v>2022-3</v>
      </c>
      <c r="J65" s="1100" t="str">
        <f t="shared" si="19"/>
        <v>2022-2</v>
      </c>
      <c r="K65" s="1100" t="str">
        <f t="shared" si="19"/>
        <v>2022-1</v>
      </c>
      <c r="L65" s="1100" t="str">
        <f t="shared" si="19"/>
        <v>2021-4</v>
      </c>
      <c r="M65" s="1100" t="str">
        <f t="shared" si="19"/>
        <v>2021-3</v>
      </c>
      <c r="N65" s="1100" t="str">
        <f t="shared" si="19"/>
        <v>2021-2</v>
      </c>
      <c r="O65" s="1100" t="str">
        <f t="shared" si="19"/>
        <v>2021-1</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39"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M9" sqref="M9"/>
      <selection pane="bottomLeft" activeCell="M9" sqref="M9"/>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1" t="s">
        <v>2084</v>
      </c>
      <c r="D1" s="3452"/>
      <c r="E1" s="3452"/>
      <c r="F1" s="3452"/>
      <c r="G1" s="3452"/>
      <c r="H1" s="3452"/>
      <c r="I1" s="3452"/>
      <c r="J1" s="3452"/>
      <c r="K1" s="3452"/>
      <c r="L1" s="3452"/>
      <c r="M1" s="3452"/>
      <c r="N1" s="3452"/>
      <c r="O1" s="3452"/>
      <c r="P1" s="3452"/>
      <c r="Q1" s="3452"/>
      <c r="R1" s="3452"/>
      <c r="S1" s="3453"/>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3"/>
      <c r="G4" s="1223"/>
      <c r="H4" s="1223"/>
      <c r="I4" s="1223"/>
      <c r="J4" s="1223"/>
      <c r="K4" s="1223"/>
      <c r="L4" s="1223"/>
      <c r="M4" s="1224"/>
      <c r="N4" s="1224"/>
      <c r="O4" s="1223"/>
      <c r="P4" s="1223"/>
      <c r="Q4" s="1223"/>
      <c r="R4" s="1223"/>
      <c r="S4" s="1225"/>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8" t="s">
        <v>2087</v>
      </c>
      <c r="C5" s="940"/>
      <c r="D5" s="941"/>
      <c r="E5" s="941"/>
      <c r="F5" s="1226"/>
      <c r="G5" s="1226"/>
      <c r="H5" s="1226"/>
      <c r="I5" s="1226"/>
      <c r="J5" s="1226"/>
      <c r="K5" s="1226"/>
      <c r="L5" s="1227"/>
      <c r="M5" s="1228"/>
      <c r="N5" s="1228"/>
      <c r="O5" s="1226"/>
      <c r="P5" s="1226"/>
      <c r="Q5" s="1226"/>
      <c r="R5" s="1226"/>
      <c r="S5" s="1229"/>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49" t="s">
        <v>2088</v>
      </c>
      <c r="C7" s="851"/>
      <c r="D7" s="845"/>
      <c r="E7" s="845"/>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49" t="s">
        <v>2089</v>
      </c>
      <c r="C9" s="851"/>
      <c r="D9" s="845"/>
      <c r="E9" s="845"/>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8"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8"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8"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4" t="s">
        <v>2093</v>
      </c>
      <c r="B17" s="1985"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6" t="s">
        <v>2095</v>
      </c>
      <c r="E19" s="1252"/>
      <c r="F19" s="1252"/>
      <c r="G19" s="1252"/>
      <c r="H19" s="996"/>
      <c r="I19" s="151"/>
      <c r="J19" s="151"/>
      <c r="K19" s="151"/>
      <c r="L19" s="151"/>
      <c r="M19" s="151"/>
      <c r="N19" s="151"/>
      <c r="O19" s="151"/>
      <c r="P19" s="151"/>
      <c r="Q19" s="151"/>
      <c r="R19" s="151"/>
      <c r="S19" s="121"/>
    </row>
    <row r="20" spans="1:45" ht="16.5" thickBot="1">
      <c r="A20" s="632" t="s">
        <v>2096</v>
      </c>
      <c r="B20" s="286" t="e">
        <f ca="1">IF(D20="——",S22,S22-F20)</f>
        <v>#REF!</v>
      </c>
      <c r="C20" s="151"/>
      <c r="D20" s="1987"/>
      <c r="E20" s="1253"/>
      <c r="F20" s="929" t="e">
        <f ca="1">SUMIF(INDIRECT("'"&amp;H20&amp;"'"&amp;"!A:A"),"承租人权益价值",INDIRECT("'"&amp;H20&amp;"'"&amp;"!c:c"))</f>
        <v>#REF!</v>
      </c>
      <c r="G20" s="929" t="s">
        <v>2097</v>
      </c>
      <c r="H20" s="1988"/>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8" t="s">
        <v>27</v>
      </c>
      <c r="D22" s="3449"/>
      <c r="E22" s="3449"/>
      <c r="F22" s="3449"/>
      <c r="G22" s="3449"/>
      <c r="H22" s="3449"/>
      <c r="I22" s="3449"/>
      <c r="J22" s="3449"/>
      <c r="K22" s="3449"/>
      <c r="L22" s="3449"/>
      <c r="M22" s="3449"/>
      <c r="N22" s="3449"/>
      <c r="O22" s="3449"/>
      <c r="P22" s="3449"/>
      <c r="Q22" s="3450"/>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M9" sqref="M9"/>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3"/>
      <c r="G1" s="2543"/>
      <c r="H1" s="2543"/>
      <c r="I1" s="2543"/>
      <c r="J1" s="2543"/>
      <c r="K1" s="2543"/>
      <c r="L1" s="2543"/>
      <c r="M1" s="2543"/>
      <c r="N1" s="2543"/>
      <c r="O1" s="2543"/>
      <c r="P1" s="2543"/>
    </row>
    <row r="2" spans="1:16" ht="15.75">
      <c r="A2" s="1982" t="s">
        <v>2073</v>
      </c>
      <c r="B2" s="2386">
        <f ca="1">SUMIF(B6:B13,"&lt;&gt;#ref!",B6:B13)</f>
        <v>138</v>
      </c>
      <c r="C2" s="1982" t="s">
        <v>2074</v>
      </c>
      <c r="D2" s="1982" t="s">
        <v>2075</v>
      </c>
      <c r="E2" s="2396">
        <f ca="1">SUMIF(E6:E13,"&lt;&gt;#ref!",E6:E13)</f>
        <v>44.28</v>
      </c>
      <c r="F2" s="2543"/>
      <c r="G2" s="2543"/>
      <c r="H2" s="2543"/>
      <c r="I2" s="2543"/>
      <c r="J2" s="2543"/>
      <c r="K2" s="2543"/>
      <c r="L2" s="2543"/>
      <c r="M2" s="2543"/>
      <c r="N2" s="2543"/>
      <c r="O2" s="2543"/>
      <c r="P2" s="2543"/>
    </row>
    <row r="3" spans="1:16" ht="15.75">
      <c r="A3" s="1982" t="s">
        <v>2076</v>
      </c>
      <c r="B3" s="2386">
        <f ca="1">ROUND(B2*10000/E2,0)</f>
        <v>31165</v>
      </c>
      <c r="C3" s="1982"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3"/>
      <c r="D5" s="2543"/>
      <c r="E5" s="2395" t="s">
        <v>2079</v>
      </c>
      <c r="F5" s="2543"/>
      <c r="G5" s="2543"/>
      <c r="H5" s="2543"/>
      <c r="I5" s="2543"/>
      <c r="J5" s="2543"/>
      <c r="K5" s="2543"/>
      <c r="L5" s="2543"/>
      <c r="M5" s="2543"/>
      <c r="N5" s="2543"/>
      <c r="O5" s="2543"/>
      <c r="P5" s="2543"/>
    </row>
    <row r="6" spans="1:16" ht="15.75">
      <c r="A6" s="2393" t="s">
        <v>2080</v>
      </c>
      <c r="B6" s="2386">
        <f ca="1">SUMIF(INDIRECT("'"&amp;A6&amp;"'"&amp;"!A:A"),"总价",INDIRECT("'"&amp;A6&amp;"'"&amp;"!B:B"))</f>
        <v>138</v>
      </c>
      <c r="C6" s="1982" t="s">
        <v>2074</v>
      </c>
      <c r="D6" s="2543"/>
      <c r="E6" s="2396">
        <f ca="1">SUMIF(INDIRECT("'"&amp;A6&amp;"'"&amp;"!C:C"),"建筑面积",INDIRECT("'"&amp;A6&amp;"'"&amp;"!D:D"))</f>
        <v>44.28</v>
      </c>
      <c r="F6" s="2543"/>
      <c r="G6" s="2543"/>
      <c r="H6" s="2543"/>
      <c r="I6" s="2543"/>
      <c r="J6" s="2543"/>
      <c r="K6" s="2543"/>
      <c r="L6" s="2543"/>
      <c r="M6" s="2543"/>
      <c r="N6" s="2543"/>
      <c r="O6" s="2543"/>
      <c r="P6" s="2543"/>
    </row>
    <row r="7" spans="1:16" ht="15.75">
      <c r="A7" s="2393"/>
      <c r="B7" s="2386" t="e">
        <f ca="1">SUMIF(INDIRECT("'"&amp;A7&amp;"'"&amp;"!A:A"),"总价",INDIRECT("'"&amp;A7&amp;"'"&amp;"!B:B"))</f>
        <v>#REF!</v>
      </c>
      <c r="C7" s="1982"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2"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2"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2"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2"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2"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2"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25" zoomScaleNormal="70" zoomScaleSheetLayoutView="100" workbookViewId="0">
      <selection activeCell="F50" sqref="F50"/>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3"/>
      <c r="C1" s="1716" t="s">
        <v>1563</v>
      </c>
      <c r="D1" s="190"/>
      <c r="E1" s="190"/>
      <c r="F1" s="190"/>
      <c r="G1" s="1062">
        <f>MATCH(B1,'数据-取费表'!A6:A16,0)+5</f>
        <v>7</v>
      </c>
      <c r="H1" s="998" t="str">
        <f>IF(ISERROR(FIND("住宅",B1)),"非住宅","住宅")</f>
        <v>非住宅</v>
      </c>
    </row>
    <row r="2" spans="1:8" s="192" customFormat="1" ht="18" customHeight="1">
      <c r="A2" s="193" t="s">
        <v>1462</v>
      </c>
      <c r="B2" s="3121">
        <f ca="1">ROUND(IF(D2="——",C52/10000,C52/10000-E2),4)</f>
        <v>235.7123</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53232</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1425099</v>
      </c>
      <c r="D5" s="203" t="s">
        <v>1469</v>
      </c>
      <c r="E5" s="204" t="s">
        <v>1470</v>
      </c>
      <c r="F5" s="204" t="s">
        <v>1471</v>
      </c>
      <c r="G5" s="205"/>
    </row>
    <row r="6" spans="1:8" s="206" customFormat="1" ht="13.5" customHeight="1">
      <c r="A6" s="732" t="s">
        <v>1472</v>
      </c>
      <c r="B6" s="207" t="s">
        <v>1473</v>
      </c>
      <c r="C6" s="208">
        <f>ROUND(基准地价修正!C33*基准地价修正!D33,0)</f>
        <v>1376045</v>
      </c>
      <c r="D6" s="209"/>
      <c r="E6" s="210"/>
      <c r="F6" s="210"/>
      <c r="G6" s="211"/>
    </row>
    <row r="7" spans="1:8" s="206" customFormat="1" ht="13.5" customHeight="1">
      <c r="A7" s="732" t="s">
        <v>1474</v>
      </c>
      <c r="B7" s="207" t="s">
        <v>1475</v>
      </c>
      <c r="C7" s="212">
        <f>ROUND(C6*F7,0)</f>
        <v>41969</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7085</v>
      </c>
      <c r="D8" s="214"/>
      <c r="E8" s="212"/>
      <c r="F8" s="213"/>
      <c r="G8" s="1713" t="s">
        <v>3439</v>
      </c>
    </row>
    <row r="9" spans="1:8" s="206" customFormat="1" ht="13.5" customHeight="1">
      <c r="A9" s="733" t="s">
        <v>355</v>
      </c>
      <c r="B9" s="216" t="s">
        <v>1478</v>
      </c>
      <c r="C9" s="217">
        <f ca="1">ROUND(D9*E9,0)</f>
        <v>7085</v>
      </c>
      <c r="D9" s="795">
        <f ca="1">IF(B1="",'数据-汇总表'!E5,IF(INDIRECT("'数据-取费表'!c"&amp;$G$1)="住宅",INDIRECT("'数据-取费表'!k"&amp;$G$1),0))</f>
        <v>44.28</v>
      </c>
      <c r="E9" s="217">
        <f>'数据-取费表'!B27</f>
        <v>160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44.28</v>
      </c>
      <c r="E19" s="203">
        <f>'数据-取费表'!B31</f>
        <v>200</v>
      </c>
      <c r="F19" s="223"/>
      <c r="G19" s="1713" t="s">
        <v>3440</v>
      </c>
    </row>
    <row r="20" spans="1:7" s="206" customFormat="1" ht="13.5" customHeight="1">
      <c r="A20" s="247" t="s">
        <v>1574</v>
      </c>
      <c r="B20" s="202" t="s">
        <v>1575</v>
      </c>
      <c r="C20" s="224">
        <f ca="1">ROUND((C5+C19)*F20,0)</f>
        <v>42753</v>
      </c>
      <c r="D20" s="224"/>
      <c r="E20" s="224"/>
      <c r="F20" s="225">
        <f>'数据-取费表'!B37</f>
        <v>0.03</v>
      </c>
      <c r="G20" s="226" t="s">
        <v>1576</v>
      </c>
    </row>
    <row r="21" spans="1:7" s="206" customFormat="1" ht="13.5" customHeight="1">
      <c r="A21" s="247" t="s">
        <v>1577</v>
      </c>
      <c r="B21" s="202" t="s">
        <v>1578</v>
      </c>
      <c r="C21" s="227">
        <f>F21</f>
        <v>0.03</v>
      </c>
      <c r="D21" s="228" t="s">
        <v>1579</v>
      </c>
      <c r="E21" s="224"/>
      <c r="F21" s="225">
        <f>'数据-取费表'!B38</f>
        <v>0.03</v>
      </c>
      <c r="G21" s="226" t="s">
        <v>1580</v>
      </c>
    </row>
    <row r="22" spans="1:7" s="206" customFormat="1" ht="13.5" customHeight="1">
      <c r="A22" s="247" t="s">
        <v>1581</v>
      </c>
      <c r="B22" s="202" t="s">
        <v>1582</v>
      </c>
      <c r="C22" s="224">
        <f ca="1">ROUND(SUM(C23:C25),0)</f>
        <v>68707</v>
      </c>
      <c r="D22" s="227">
        <f ca="1">C26</f>
        <v>6.9999999999999999E-4</v>
      </c>
      <c r="E22" s="228" t="s">
        <v>1579</v>
      </c>
      <c r="F22" s="229">
        <f ca="1">'数据-取费表'!B40</f>
        <v>4.7500000000000001E-2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67692</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1015</v>
      </c>
      <c r="D25" s="230"/>
      <c r="E25" s="233"/>
      <c r="F25" s="231"/>
      <c r="G25" s="234" t="s">
        <v>1588</v>
      </c>
    </row>
    <row r="26" spans="1:7" s="206" customFormat="1">
      <c r="A26" s="734" t="s">
        <v>350</v>
      </c>
      <c r="B26" s="207" t="s">
        <v>1511</v>
      </c>
      <c r="C26" s="230">
        <f ca="1">ROUND(IF('数据-取费表'!B22&lt;=1,F21*F22*'数据-取费表'!B22/2,F21*(POWER((1+F22),'数据-取费表'!B22/2)-1)),4)</f>
        <v>6.9999999999999999E-4</v>
      </c>
      <c r="D26" s="230"/>
      <c r="E26" s="233"/>
      <c r="F26" s="231"/>
      <c r="G26" s="235"/>
    </row>
    <row r="27" spans="1:7" s="206" customFormat="1" ht="24.75">
      <c r="A27" s="247" t="s">
        <v>1512</v>
      </c>
      <c r="B27" s="236" t="s">
        <v>1513</v>
      </c>
      <c r="C27" s="237">
        <f ca="1">C28</f>
        <v>440356</v>
      </c>
      <c r="D27" s="227">
        <f ca="1">C29</f>
        <v>8.9999999999999993E-3</v>
      </c>
      <c r="E27" s="228" t="s">
        <v>1514</v>
      </c>
      <c r="F27" s="238">
        <f ca="1">IF(B1="",'数据-取费表'!Q16,INDIRECT("'数据-取费表'!q"&amp;$G$1))</f>
        <v>0.3</v>
      </c>
      <c r="G27" s="239" t="s">
        <v>1515</v>
      </c>
    </row>
    <row r="28" spans="1:7" s="206" customFormat="1" ht="13.5" customHeight="1">
      <c r="A28" s="734" t="s">
        <v>346</v>
      </c>
      <c r="B28" s="240" t="s">
        <v>1516</v>
      </c>
      <c r="C28" s="241">
        <f ca="1">ROUND((C5+C19+C20)*F27,0)</f>
        <v>440356</v>
      </c>
      <c r="D28" s="227"/>
      <c r="E28" s="228"/>
      <c r="F28" s="238"/>
      <c r="G28" s="239"/>
    </row>
    <row r="29" spans="1:7" s="206" customFormat="1" ht="13.5" customHeight="1">
      <c r="A29" s="734" t="s">
        <v>347</v>
      </c>
      <c r="B29" s="240" t="s">
        <v>1517</v>
      </c>
      <c r="C29" s="230">
        <f ca="1">ROUND(C21*F27,4)</f>
        <v>8.9999999999999993E-3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2179620</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181659</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154980</v>
      </c>
      <c r="D34" s="209"/>
      <c r="E34" s="212"/>
      <c r="F34" s="249"/>
      <c r="G34" s="211"/>
    </row>
    <row r="35" spans="1:7" ht="13.5" customHeight="1">
      <c r="A35" s="734" t="s">
        <v>351</v>
      </c>
      <c r="B35" s="207" t="s">
        <v>1527</v>
      </c>
      <c r="C35" s="212">
        <f ca="1">ROUND(C34*F35,0)</f>
        <v>7749</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7749</v>
      </c>
      <c r="D36" s="212"/>
      <c r="E36" s="212"/>
      <c r="F36" s="251">
        <f>'数据-取费表'!B34</f>
        <v>0.05</v>
      </c>
      <c r="G36" s="252" t="s">
        <v>1530</v>
      </c>
    </row>
    <row r="37" spans="1:7" s="250" customFormat="1" ht="13.5" customHeight="1">
      <c r="A37" s="734" t="s">
        <v>353</v>
      </c>
      <c r="B37" s="207" t="s">
        <v>1531</v>
      </c>
      <c r="C37" s="241">
        <f ca="1">ROUND(E37*D37,0)</f>
        <v>8856</v>
      </c>
      <c r="D37" s="209">
        <f ca="1">D19</f>
        <v>44.28</v>
      </c>
      <c r="E37" s="241">
        <f>'数据-取费表'!B35</f>
        <v>200</v>
      </c>
      <c r="F37" s="251"/>
      <c r="G37" s="253"/>
    </row>
    <row r="38" spans="1:7" ht="13.5" customHeight="1">
      <c r="A38" s="734" t="s">
        <v>354</v>
      </c>
      <c r="B38" s="207" t="s">
        <v>1533</v>
      </c>
      <c r="C38" s="212">
        <f ca="1">ROUND(C34*F38,0)</f>
        <v>2325</v>
      </c>
      <c r="D38" s="212"/>
      <c r="E38" s="212"/>
      <c r="F38" s="251">
        <f>'数据-取费表'!B36</f>
        <v>1.4999999999999999E-2</v>
      </c>
      <c r="G38" s="211" t="s">
        <v>1528</v>
      </c>
    </row>
    <row r="39" spans="1:7" s="206" customFormat="1" ht="13.5" customHeight="1">
      <c r="A39" s="247" t="s">
        <v>1534</v>
      </c>
      <c r="B39" s="202" t="s">
        <v>1535</v>
      </c>
      <c r="C39" s="224">
        <f ca="1">ROUND(C33*F20,0)</f>
        <v>5450</v>
      </c>
      <c r="D39" s="224"/>
      <c r="E39" s="224"/>
      <c r="F39" s="225">
        <f>F20</f>
        <v>0.03</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4443</v>
      </c>
      <c r="D41" s="227">
        <f ca="1">C44</f>
        <v>6.9999999999999999E-4</v>
      </c>
      <c r="E41" s="228" t="s">
        <v>1539</v>
      </c>
      <c r="F41" s="229">
        <f ca="1">F22</f>
        <v>4.7500000000000001E-2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4314</v>
      </c>
      <c r="D42" s="230"/>
      <c r="E42" s="230"/>
      <c r="F42" s="231"/>
      <c r="G42" s="3349" t="s">
        <v>1591</v>
      </c>
    </row>
    <row r="43" spans="1:7" ht="13.5" customHeight="1">
      <c r="A43" s="734" t="s">
        <v>347</v>
      </c>
      <c r="B43" s="207" t="s">
        <v>1545</v>
      </c>
      <c r="C43" s="230">
        <f ca="1">ROUND(IF('数据-取费表'!B22&lt;=1,C39*F22*'数据-取费表'!B20/2,C39*(POWER((1+F22),'数据-取费表'!B20/2)-1)),0)</f>
        <v>129</v>
      </c>
      <c r="D43" s="230"/>
      <c r="E43" s="230"/>
      <c r="F43" s="231"/>
      <c r="G43" s="3350"/>
    </row>
    <row r="44" spans="1:7" ht="13.5" customHeight="1">
      <c r="A44" s="734" t="s">
        <v>348</v>
      </c>
      <c r="B44" s="207" t="s">
        <v>1546</v>
      </c>
      <c r="C44" s="230">
        <f ca="1">ROUND(IF('数据-取费表'!B22&lt;=1,C40*F22*'数据-取费表'!B20/2,C40*(POWER((1+F22),'数据-取费表'!B20/2)-1)),4)</f>
        <v>6.9999999999999999E-4</v>
      </c>
      <c r="D44" s="230"/>
      <c r="E44" s="230"/>
      <c r="F44" s="231"/>
      <c r="G44" s="3351"/>
    </row>
    <row r="45" spans="1:7" s="206" customFormat="1" ht="13.5" customHeight="1">
      <c r="A45" s="247" t="s">
        <v>1547</v>
      </c>
      <c r="B45" s="236" t="s">
        <v>1513</v>
      </c>
      <c r="C45" s="237">
        <f ca="1">C46</f>
        <v>56133</v>
      </c>
      <c r="D45" s="227">
        <f ca="1">C47</f>
        <v>8.9999999999999993E-3</v>
      </c>
      <c r="E45" s="228" t="s">
        <v>1539</v>
      </c>
      <c r="F45" s="238">
        <f ca="1">F27</f>
        <v>0.3</v>
      </c>
      <c r="G45" s="239" t="s">
        <v>1548</v>
      </c>
    </row>
    <row r="46" spans="1:7" s="206" customFormat="1" ht="13.5" customHeight="1">
      <c r="A46" s="734" t="s">
        <v>346</v>
      </c>
      <c r="B46" s="240" t="s">
        <v>1549</v>
      </c>
      <c r="C46" s="241">
        <f ca="1">ROUND((C33+C39)*F27,0)</f>
        <v>56133</v>
      </c>
      <c r="D46" s="255"/>
      <c r="E46" s="228"/>
      <c r="F46" s="238"/>
      <c r="G46" s="239"/>
    </row>
    <row r="47" spans="1:7" s="206" customFormat="1" ht="13.5" customHeight="1">
      <c r="A47" s="734" t="s">
        <v>347</v>
      </c>
      <c r="B47" s="240" t="s">
        <v>1550</v>
      </c>
      <c r="C47" s="230">
        <f ca="1">ROUND(C40*F27,4)</f>
        <v>8.9999999999999993E-3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273082</v>
      </c>
      <c r="D49" s="224"/>
      <c r="E49" s="224"/>
      <c r="F49" s="256"/>
      <c r="G49" s="226" t="s">
        <v>1554</v>
      </c>
    </row>
    <row r="50" spans="1:7" s="250" customFormat="1">
      <c r="A50" s="247" t="s">
        <v>1555</v>
      </c>
      <c r="B50" s="202" t="s">
        <v>1556</v>
      </c>
      <c r="C50" s="224"/>
      <c r="D50" s="224"/>
      <c r="E50" s="224"/>
      <c r="F50" s="256">
        <f>IF('数据-取费表'!B24=0,'数据-取费表'!N16,1)</f>
        <v>0.65</v>
      </c>
      <c r="G50" s="239"/>
    </row>
    <row r="51" spans="1:7" ht="16.5" customHeight="1">
      <c r="A51" s="247" t="s">
        <v>1558</v>
      </c>
      <c r="B51" s="202" t="s">
        <v>1593</v>
      </c>
      <c r="C51" s="224">
        <f ca="1">ROUND(C49*F50,0)</f>
        <v>177503</v>
      </c>
      <c r="D51" s="224"/>
      <c r="E51" s="224"/>
      <c r="F51" s="256"/>
      <c r="G51" s="226" t="s">
        <v>1560</v>
      </c>
    </row>
    <row r="52" spans="1:7" s="200" customFormat="1" ht="16.5" thickBot="1">
      <c r="A52" s="257" t="s">
        <v>1561</v>
      </c>
      <c r="B52" s="258"/>
      <c r="C52" s="259">
        <f ca="1">C31+C51</f>
        <v>2357123</v>
      </c>
      <c r="D52" s="258"/>
      <c r="E52" s="258"/>
      <c r="F52" s="258"/>
      <c r="G52" s="260"/>
    </row>
    <row r="55" spans="1:7" ht="15">
      <c r="B55" s="262" t="s">
        <v>1562</v>
      </c>
      <c r="C55" s="263"/>
    </row>
    <row r="56" spans="1:7">
      <c r="B56" s="265" t="s">
        <v>802</v>
      </c>
      <c r="C56" s="267">
        <f ca="1">1-C57</f>
        <v>0.92500000000000004</v>
      </c>
    </row>
    <row r="57" spans="1:7">
      <c r="B57" s="265" t="s">
        <v>803</v>
      </c>
      <c r="C57" s="266">
        <f ca="1">ROUND(C51/C52,3)</f>
        <v>7.4999999999999997E-2</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6" zoomScaleNormal="80" zoomScaleSheetLayoutView="100" workbookViewId="0">
      <selection activeCell="E25" sqref="E25"/>
    </sheetView>
  </sheetViews>
  <sheetFormatPr defaultColWidth="12" defaultRowHeight="12.75"/>
  <cols>
    <col min="1" max="1" width="9.75" style="1893" customWidth="1"/>
    <col min="2" max="2" width="22.5" style="1981" customWidth="1"/>
    <col min="3" max="3" width="12" style="1843"/>
    <col min="4" max="4" width="14.875" style="1843" customWidth="1"/>
    <col min="5" max="5" width="14.625" style="1843" customWidth="1"/>
    <col min="6" max="8" width="12" style="1843"/>
    <col min="9" max="9" width="12.25" style="1843" bestFit="1" customWidth="1"/>
    <col min="10" max="10" width="12" style="1843"/>
    <col min="11" max="11" width="8.125" style="1889" customWidth="1"/>
    <col min="12" max="12" width="19.5" style="1843" customWidth="1"/>
    <col min="13" max="13" width="8.5" style="1843" customWidth="1"/>
    <col min="14" max="14" width="9.75" style="1843" customWidth="1"/>
    <col min="15" max="25" width="12" style="1843"/>
    <col min="26" max="26" width="9.375" style="1893" customWidth="1"/>
    <col min="27" max="32" width="9.375" style="1058" customWidth="1"/>
    <col min="33" max="36" width="9.375" style="1893" customWidth="1"/>
    <col min="37" max="38" width="9.375" style="1843" customWidth="1"/>
    <col min="39" max="16384" width="12" style="1843"/>
  </cols>
  <sheetData>
    <row r="1" spans="1:36" ht="28.5">
      <c r="A1" s="188" t="s">
        <v>1926</v>
      </c>
      <c r="B1" s="189"/>
      <c r="C1" s="193" t="s">
        <v>1927</v>
      </c>
      <c r="D1" s="333">
        <f>SUM(D33:D34,D37:D42)</f>
        <v>44.28</v>
      </c>
      <c r="E1" s="1840"/>
      <c r="F1" s="1840"/>
      <c r="G1" s="1840"/>
      <c r="H1" s="1840"/>
      <c r="I1" s="1840"/>
      <c r="J1" s="1840"/>
      <c r="K1" s="1056"/>
      <c r="L1" s="1841" t="s">
        <v>1928</v>
      </c>
      <c r="M1" s="810">
        <f>SUMPRODUCT((区片价!B5:B9=I2)*(区片价!C3:G3=E2)*(区片价!C5:G9))</f>
        <v>0</v>
      </c>
      <c r="N1" s="813">
        <f>SUMPRODUCT((因素修正幅度!B5:B9=I2)*(因素修正幅度!C3:G3=E2)*(因素修正幅度!C5:G9))</f>
        <v>0</v>
      </c>
      <c r="O1" s="1842"/>
      <c r="P1" s="1842"/>
      <c r="Q1" s="1056"/>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3" t="s">
        <v>1934</v>
      </c>
      <c r="B2" s="196">
        <f>C30</f>
        <v>138</v>
      </c>
      <c r="C2" s="1844" t="s">
        <v>1935</v>
      </c>
      <c r="D2" s="162" t="s">
        <v>1936</v>
      </c>
      <c r="E2" s="3119" t="s">
        <v>3388</v>
      </c>
      <c r="F2" s="162" t="s">
        <v>1937</v>
      </c>
      <c r="G2" s="163" t="str">
        <f>IF(E2="商业",项目基本情况!B37,IF(E2="办公",项目基本情况!C37,IF(E2="住宅",项目基本情况!D37,IF(E2="工业",项目基本情况!E37,项目基本情况!F37))))</f>
        <v>二级</v>
      </c>
      <c r="H2" s="162" t="s">
        <v>1938</v>
      </c>
      <c r="I2" s="163" t="str">
        <f>IF(E2="商业",项目基本情况!B38,IF(E2="办公",项目基本情况!C38,IF(E2="住宅",项目基本情况!D38,IF(E2="工业",项目基本情况!E38,项目基本情况!F38))))</f>
        <v>Ⅱ—10</v>
      </c>
      <c r="J2" s="1840"/>
      <c r="K2" s="1056"/>
      <c r="L2" s="1845" t="s">
        <v>1939</v>
      </c>
      <c r="M2" s="811">
        <f>SUMPRODUCT((区片价!B10:B29=I2)*(区片价!C3:G3=E2)*(区片价!C10:G29))</f>
        <v>26590</v>
      </c>
      <c r="N2" s="813">
        <f>SUMPRODUCT((因素修正幅度!B10:B29=I2)*(因素修正幅度!C3:G3=E2)*(因素修正幅度!C10:G29))</f>
        <v>8.1000000000000003E-2</v>
      </c>
      <c r="O2" s="1056"/>
      <c r="P2" s="1056"/>
      <c r="Q2" s="1056"/>
      <c r="R2" s="1128">
        <v>1</v>
      </c>
      <c r="S2" s="3062">
        <f>ROUND(SUMPRODUCT((B106:B110=R2)*(C105:N105=G2)*(C106:N110)),4)</f>
        <v>1.5206</v>
      </c>
      <c r="T2" s="3062">
        <f t="shared" ref="T2:T16" si="0">ROUND($C$5*$C$22*$C$23*$C$24*S2*$C$28,0)</f>
        <v>48821</v>
      </c>
      <c r="U2" s="1129"/>
      <c r="V2" s="3062">
        <f>ROUND(T2*U2/10000,0)</f>
        <v>0</v>
      </c>
      <c r="W2" s="1132"/>
      <c r="X2" s="1132"/>
      <c r="Y2" s="1132"/>
      <c r="Z2" s="1132"/>
      <c r="AA2" s="1132"/>
      <c r="AB2" s="1132"/>
      <c r="AC2" s="1133"/>
      <c r="AD2" s="1134"/>
      <c r="AE2" s="1134"/>
      <c r="AF2" s="1134"/>
      <c r="AG2" s="1134"/>
      <c r="AH2" s="1134"/>
      <c r="AI2" s="1134"/>
      <c r="AJ2" s="1135"/>
    </row>
    <row r="3" spans="1:36" ht="15.75">
      <c r="A3" s="195" t="s">
        <v>1940</v>
      </c>
      <c r="B3" s="196">
        <f>ROUND(B2*10000/D1,0)</f>
        <v>31165</v>
      </c>
      <c r="C3" s="1844" t="s">
        <v>1941</v>
      </c>
      <c r="D3" s="162" t="s">
        <v>1942</v>
      </c>
      <c r="E3" s="3117" t="s">
        <v>3430</v>
      </c>
      <c r="F3" s="1846" t="s">
        <v>3431</v>
      </c>
      <c r="G3" s="708">
        <f>IF(F3="宗地容积率",'数据-汇总表'!I4,IF(F3="估价对象容积率",'数据-汇总表'!I6,'数据-汇总表'!I7))</f>
        <v>3</v>
      </c>
      <c r="H3" s="162" t="s">
        <v>1943</v>
      </c>
      <c r="I3" s="729"/>
      <c r="J3" s="1840" t="s">
        <v>1944</v>
      </c>
      <c r="K3" s="1056"/>
      <c r="L3" s="1845" t="s">
        <v>1945</v>
      </c>
      <c r="M3" s="811">
        <f>SUMPRODUCT((区片价!B30:B54=I2)*(区片价!C3:G3=E2)*(区片价!C30:G54))</f>
        <v>0</v>
      </c>
      <c r="N3" s="813">
        <f>SUMPRODUCT((因素修正幅度!B30:B54=I2)*(因素修正幅度!C3:G3=E2)*(因素修正幅度!C30:G54))</f>
        <v>0</v>
      </c>
      <c r="O3" s="1056"/>
      <c r="P3" s="1056"/>
      <c r="Q3" s="1056"/>
      <c r="R3" s="1128">
        <v>2</v>
      </c>
      <c r="S3" s="3062">
        <f>ROUND(SUMPRODUCT((B106:B110=R3)*(C105:N105=G2)*(C106:N110)),4)</f>
        <v>1.2072000000000001</v>
      </c>
      <c r="T3" s="3062">
        <f t="shared" si="0"/>
        <v>38759</v>
      </c>
      <c r="U3" s="1129"/>
      <c r="V3" s="3062">
        <f t="shared" ref="V3:V16" si="1">ROUND(T3*U3/10000,0)</f>
        <v>0</v>
      </c>
      <c r="W3" s="1132"/>
      <c r="X3" s="1132"/>
      <c r="Y3" s="1132"/>
      <c r="Z3" s="1132"/>
      <c r="AA3" s="1132"/>
      <c r="AB3" s="1132"/>
      <c r="AC3" s="1133"/>
      <c r="AD3" s="1134"/>
      <c r="AE3" s="1134"/>
      <c r="AF3" s="1134"/>
      <c r="AG3" s="1134"/>
      <c r="AH3" s="1134"/>
      <c r="AI3" s="1134"/>
      <c r="AJ3" s="1135"/>
    </row>
    <row r="4" spans="1:36" ht="15.75">
      <c r="A4" s="3461"/>
      <c r="B4" s="3462"/>
      <c r="C4" s="3462"/>
      <c r="D4" s="3463"/>
      <c r="E4" s="3463"/>
      <c r="F4" s="3463"/>
      <c r="G4" s="3463"/>
      <c r="H4" s="3463"/>
      <c r="I4" s="3463"/>
      <c r="J4" s="3464"/>
      <c r="K4" s="1056"/>
      <c r="L4" s="1845" t="s">
        <v>1946</v>
      </c>
      <c r="M4" s="811">
        <f>SUMPRODUCT((区片价!B55:B86=I2)*(区片价!C3:G3=E2)*(区片价!C55:G86))</f>
        <v>0</v>
      </c>
      <c r="N4" s="813">
        <f>SUMPRODUCT((因素修正幅度!B55:B86=I2)*(因素修正幅度!C3:G3=E2)*(因素修正幅度!C55:G86))</f>
        <v>0</v>
      </c>
      <c r="O4" s="1056"/>
      <c r="P4" s="1056"/>
      <c r="Q4" s="1056"/>
      <c r="R4" s="1128">
        <v>3</v>
      </c>
      <c r="S4" s="3062">
        <f>ROUND(SUMPRODUCT((B106:B110=R4)*(C105:N105=G2)*(C106:N110)),4)</f>
        <v>1.0430999999999999</v>
      </c>
      <c r="T4" s="3062">
        <f t="shared" si="0"/>
        <v>33490</v>
      </c>
      <c r="U4" s="1129"/>
      <c r="V4" s="3062">
        <f t="shared" si="1"/>
        <v>0</v>
      </c>
      <c r="W4" s="1132"/>
      <c r="X4" s="1132"/>
      <c r="Y4" s="1132"/>
      <c r="Z4" s="1132"/>
      <c r="AA4" s="1132"/>
      <c r="AB4" s="1132"/>
      <c r="AC4" s="1133"/>
      <c r="AD4" s="1134"/>
      <c r="AE4" s="1134"/>
      <c r="AF4" s="1134"/>
      <c r="AG4" s="1134"/>
      <c r="AH4" s="1134"/>
      <c r="AI4" s="1134"/>
      <c r="AJ4" s="1135"/>
    </row>
    <row r="5" spans="1:36" s="1856" customFormat="1" ht="15.75" thickBot="1">
      <c r="A5" s="1847" t="s">
        <v>362</v>
      </c>
      <c r="B5" s="1848" t="s">
        <v>1947</v>
      </c>
      <c r="C5" s="709">
        <f>ROUND(IF(E2="商业",C6*C7*C17+C20,(IF(E2="住宅",C6*C13*C17+C20,IF(E2="办公",C6*C12*C17+C20,C6+C20)))),0)</f>
        <v>29249</v>
      </c>
      <c r="D5" s="1251">
        <f>ROUND(C6*C17+C20,0)</f>
        <v>26590</v>
      </c>
      <c r="E5" s="1251"/>
      <c r="F5" s="1849"/>
      <c r="G5" s="1850"/>
      <c r="H5" s="1850"/>
      <c r="I5" s="1850"/>
      <c r="J5" s="1851"/>
      <c r="K5" s="1852"/>
      <c r="L5" s="1845" t="s">
        <v>1948</v>
      </c>
      <c r="M5" s="811">
        <f>SUMPRODUCT((区片价!B87:B126=I2)*(区片价!C3:G3=E2)*(区片价!C87:G126))</f>
        <v>0</v>
      </c>
      <c r="N5" s="813">
        <f>SUMPRODUCT((因素修正幅度!B87:B126=I2)*(因素修正幅度!C3:G3=E2)*(因素修正幅度!C87:G126))</f>
        <v>0</v>
      </c>
      <c r="O5" s="1056"/>
      <c r="P5" s="1056"/>
      <c r="Q5" s="1056"/>
      <c r="R5" s="1128">
        <v>4</v>
      </c>
      <c r="S5" s="3062">
        <f>ROUND(SUMPRODUCT((B106:B110=R5)*(C105:N105=G2)*(C106:N110)),4)</f>
        <v>0.94389999999999996</v>
      </c>
      <c r="T5" s="3062">
        <f t="shared" si="0"/>
        <v>30305</v>
      </c>
      <c r="U5" s="1129"/>
      <c r="V5" s="3062">
        <f t="shared" si="1"/>
        <v>0</v>
      </c>
      <c r="W5" s="1132"/>
      <c r="X5" s="1132"/>
      <c r="Y5" s="1132"/>
      <c r="Z5" s="1132"/>
      <c r="AA5" s="1132"/>
      <c r="AB5" s="1132"/>
      <c r="AC5" s="1853"/>
      <c r="AD5" s="1854"/>
      <c r="AE5" s="1854"/>
      <c r="AF5" s="1854"/>
      <c r="AG5" s="1854"/>
      <c r="AH5" s="1854"/>
      <c r="AI5" s="1854"/>
      <c r="AJ5" s="1855"/>
    </row>
    <row r="6" spans="1:36" ht="15.75" thickBot="1">
      <c r="A6" s="1857" t="s">
        <v>1949</v>
      </c>
      <c r="B6" s="1858" t="s">
        <v>1950</v>
      </c>
      <c r="C6" s="710">
        <f>SUMIF(L1:L12,G2,M1:M12)</f>
        <v>26590</v>
      </c>
      <c r="D6" s="1859"/>
      <c r="E6" s="1860"/>
      <c r="F6" s="1860"/>
      <c r="G6" s="1861"/>
      <c r="H6" s="1861"/>
      <c r="I6" s="1861"/>
      <c r="J6" s="1862"/>
      <c r="K6" s="1291"/>
      <c r="L6" s="1845" t="s">
        <v>1951</v>
      </c>
      <c r="M6" s="811">
        <f>SUMPRODUCT((区片价!B127:B189=I2)*(区片价!C3:G3=E2)*(区片价!C127:G189))</f>
        <v>0</v>
      </c>
      <c r="N6" s="813">
        <f>SUMPRODUCT((因素修正幅度!B127:B189=I2)*(因素修正幅度!C3:G3=E2)*(因素修正幅度!C127:G189))</f>
        <v>0</v>
      </c>
      <c r="O6" s="1056"/>
      <c r="P6" s="1056"/>
      <c r="Q6" s="1056"/>
      <c r="R6" s="1128">
        <v>5</v>
      </c>
      <c r="S6" s="3062">
        <f>ROUND(SUMPRODUCT((B106:B110=R6)*(C105:N105=G2)*(C106:N110)),4)</f>
        <v>0.89959999999999996</v>
      </c>
      <c r="T6" s="3062">
        <f t="shared" si="0"/>
        <v>28883</v>
      </c>
      <c r="U6" s="1129"/>
      <c r="V6" s="3062">
        <f t="shared" si="1"/>
        <v>0</v>
      </c>
      <c r="W6" s="1132"/>
      <c r="X6" s="1132"/>
      <c r="Y6" s="1132"/>
      <c r="Z6" s="1132"/>
      <c r="AA6" s="1132"/>
      <c r="AB6" s="1132"/>
      <c r="AC6" s="1853"/>
      <c r="AD6" s="1854"/>
      <c r="AE6" s="1854"/>
      <c r="AF6" s="1854"/>
      <c r="AG6" s="1854"/>
      <c r="AH6" s="1854"/>
      <c r="AI6" s="1854"/>
      <c r="AJ6" s="1855"/>
    </row>
    <row r="7" spans="1:36" ht="24.75" thickBot="1">
      <c r="A7" s="3011" t="s">
        <v>3240</v>
      </c>
      <c r="B7" s="1863" t="s">
        <v>1952</v>
      </c>
      <c r="C7" s="711" t="e">
        <f>IF(C8="不临65条商业街",1,ROUND(1+(1.6*E8+1.2*E9+0.8*E10+0.4*E11)*C9,4))</f>
        <v>#DIV/0!</v>
      </c>
      <c r="D7" s="1864" t="s">
        <v>1953</v>
      </c>
      <c r="E7" s="730"/>
      <c r="F7" s="1865"/>
      <c r="G7" s="1866"/>
      <c r="H7" s="1866"/>
      <c r="I7" s="1866"/>
      <c r="J7" s="1867"/>
      <c r="K7" s="1291"/>
      <c r="L7" s="1845" t="s">
        <v>1954</v>
      </c>
      <c r="M7" s="811">
        <f>SUMPRODUCT((区片价!B190:B233=I2)*(区片价!C3:G3=E2)*(区片价!C190:G233))</f>
        <v>0</v>
      </c>
      <c r="N7" s="813">
        <f>SUMPRODUCT((因素修正幅度!B190:B233=I2)*(因素修正幅度!C3:G3=E2)*(因素修正幅度!C190:G233))</f>
        <v>0</v>
      </c>
      <c r="O7" s="1056"/>
      <c r="P7" s="1056"/>
      <c r="Q7" s="1056"/>
      <c r="R7" s="1128">
        <v>6</v>
      </c>
      <c r="S7" s="3116"/>
      <c r="T7" s="3062">
        <f t="shared" si="0"/>
        <v>0</v>
      </c>
      <c r="U7" s="1129"/>
      <c r="V7" s="3062">
        <f t="shared" si="1"/>
        <v>0</v>
      </c>
      <c r="W7" s="1266" t="s">
        <v>1955</v>
      </c>
      <c r="X7" s="1130" t="str">
        <f>G2</f>
        <v>二级</v>
      </c>
      <c r="Y7" s="1130" t="s">
        <v>1956</v>
      </c>
      <c r="Z7" s="1131">
        <f>G3</f>
        <v>3</v>
      </c>
      <c r="AA7" s="1132"/>
      <c r="AB7" s="1132"/>
      <c r="AC7" s="1133"/>
      <c r="AD7" s="1134"/>
      <c r="AE7" s="1134"/>
      <c r="AF7" s="1134"/>
      <c r="AG7" s="1134"/>
      <c r="AH7" s="1134"/>
      <c r="AI7" s="1134"/>
      <c r="AJ7" s="1135"/>
    </row>
    <row r="8" spans="1:36" ht="15">
      <c r="A8" s="3008"/>
      <c r="B8" s="162" t="s">
        <v>1957</v>
      </c>
      <c r="C8" s="1868"/>
      <c r="D8" s="712" t="s">
        <v>112</v>
      </c>
      <c r="E8" s="713" t="e">
        <f>ROUND(C11/E7,4)</f>
        <v>#DIV/0!</v>
      </c>
      <c r="F8" s="1869" t="s">
        <v>1958</v>
      </c>
      <c r="G8" s="1870"/>
      <c r="H8" s="1870"/>
      <c r="I8" s="1870"/>
      <c r="J8" s="1871"/>
      <c r="K8" s="1056"/>
      <c r="L8" s="1845" t="s">
        <v>1959</v>
      </c>
      <c r="M8" s="811">
        <f>SUMPRODUCT((区片价!B234:B276=I2)*(区片价!C3:G3=E2)*(区片价!C234:G276))</f>
        <v>0</v>
      </c>
      <c r="N8" s="813">
        <f>SUMPRODUCT((因素修正幅度!B234:B276=I2)*(因素修正幅度!C3:G3=E2)*(因素修正幅度!C234:G276))</f>
        <v>0</v>
      </c>
      <c r="O8" s="1056"/>
      <c r="P8" s="1056"/>
      <c r="Q8" s="1056"/>
      <c r="R8" s="1128">
        <v>7</v>
      </c>
      <c r="S8" s="1129"/>
      <c r="T8" s="3062">
        <f t="shared" si="0"/>
        <v>0</v>
      </c>
      <c r="U8" s="1129"/>
      <c r="V8" s="3062">
        <f t="shared" si="1"/>
        <v>0</v>
      </c>
      <c r="W8" s="3458" t="s">
        <v>1960</v>
      </c>
      <c r="X8" s="3459"/>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8"/>
      <c r="B9" s="162" t="s">
        <v>1973</v>
      </c>
      <c r="C9" s="714">
        <f>SUMIF(修正!C71:C138,C8,修正!E71:E138)</f>
        <v>0</v>
      </c>
      <c r="D9" s="163" t="s">
        <v>113</v>
      </c>
      <c r="E9" s="163" t="e">
        <f>ROUND(C11/E7,4)</f>
        <v>#DIV/0!</v>
      </c>
      <c r="F9" s="1869" t="s">
        <v>1974</v>
      </c>
      <c r="G9" s="1870"/>
      <c r="H9" s="1870"/>
      <c r="I9" s="1870"/>
      <c r="J9" s="1871"/>
      <c r="K9" s="1056"/>
      <c r="L9" s="1845" t="s">
        <v>1975</v>
      </c>
      <c r="M9" s="811">
        <f>SUMPRODUCT((区片价!B277:B326=I2)*(区片价!C3:G3=E2)*(区片价!C277:G326))</f>
        <v>0</v>
      </c>
      <c r="N9" s="813">
        <f>SUMPRODUCT((因素修正幅度!B277:B326=I2)*(因素修正幅度!C3:G3=E2)*(因素修正幅度!C277:G326))</f>
        <v>0</v>
      </c>
      <c r="O9" s="1056"/>
      <c r="P9" s="1056"/>
      <c r="Q9" s="1056"/>
      <c r="R9" s="1128">
        <v>8</v>
      </c>
      <c r="S9" s="1129"/>
      <c r="T9" s="3062">
        <f t="shared" si="0"/>
        <v>0</v>
      </c>
      <c r="U9" s="1129"/>
      <c r="V9" s="3062">
        <f t="shared" si="1"/>
        <v>0</v>
      </c>
      <c r="W9" s="3460"/>
      <c r="X9" s="3063" t="s">
        <v>3271</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69" t="s">
        <v>1977</v>
      </c>
      <c r="G10" s="1870"/>
      <c r="H10" s="1870"/>
      <c r="I10" s="1870"/>
      <c r="J10" s="1871"/>
      <c r="K10" s="1056"/>
      <c r="L10" s="1845" t="s">
        <v>1978</v>
      </c>
      <c r="M10" s="811">
        <f>SUMPRODUCT((区片价!B327:B357=I2)*(区片价!C3:G3=E2)*(区片价!C327:G357))</f>
        <v>0</v>
      </c>
      <c r="N10" s="813">
        <f>SUMPRODUCT((因素修正幅度!B327:B357=I2)*(因素修正幅度!C3:G3=E2)*(因素修正幅度!C327:G357))</f>
        <v>0</v>
      </c>
      <c r="O10" s="1056"/>
      <c r="P10" s="1056"/>
      <c r="Q10" s="1056"/>
      <c r="R10" s="1128">
        <v>9</v>
      </c>
      <c r="S10" s="1129"/>
      <c r="T10" s="3062">
        <f t="shared" si="0"/>
        <v>0</v>
      </c>
      <c r="U10" s="1129"/>
      <c r="V10" s="3062">
        <f t="shared" si="1"/>
        <v>0</v>
      </c>
      <c r="W10" s="3460"/>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2" t="s">
        <v>1979</v>
      </c>
      <c r="C11" s="715">
        <f>C10/4</f>
        <v>0</v>
      </c>
      <c r="D11" s="715" t="s">
        <v>115</v>
      </c>
      <c r="E11" s="715" t="e">
        <f>ROUND(C11/E7,4)</f>
        <v>#DIV/0!</v>
      </c>
      <c r="F11" s="1873" t="s">
        <v>1980</v>
      </c>
      <c r="G11" s="1874"/>
      <c r="H11" s="1874"/>
      <c r="I11" s="1874"/>
      <c r="J11" s="1875"/>
      <c r="K11" s="1056"/>
      <c r="L11" s="1845" t="s">
        <v>1981</v>
      </c>
      <c r="M11" s="811">
        <f>SUMPRODUCT((区片价!B358:B377=I2)*(区片价!C3:G3=E2)*(区片价!C358:G377))</f>
        <v>0</v>
      </c>
      <c r="N11" s="813">
        <f>SUMPRODUCT((因素修正幅度!B358:B377=I2)*(因素修正幅度!C3:G3=E2)*(因素修正幅度!C358:G377))</f>
        <v>0</v>
      </c>
      <c r="O11" s="1056"/>
      <c r="P11" s="1056"/>
      <c r="Q11" s="1056"/>
      <c r="R11" s="1128">
        <v>10</v>
      </c>
      <c r="S11" s="1129"/>
      <c r="T11" s="3062">
        <f t="shared" si="0"/>
        <v>0</v>
      </c>
      <c r="U11" s="1129"/>
      <c r="V11" s="3062">
        <f t="shared" si="1"/>
        <v>0</v>
      </c>
      <c r="W11" s="1132"/>
      <c r="X11" s="1132"/>
      <c r="Y11" s="1132"/>
      <c r="Z11" s="1132"/>
      <c r="AA11" s="1132"/>
      <c r="AB11" s="1132"/>
      <c r="AC11" s="1133"/>
      <c r="AD11" s="2552"/>
      <c r="AE11" s="2552"/>
      <c r="AF11" s="2552"/>
      <c r="AG11" s="2552"/>
      <c r="AH11" s="2552"/>
      <c r="AI11" s="2552"/>
      <c r="AJ11" s="2553"/>
    </row>
    <row r="12" spans="1:36" ht="25.5" thickBot="1">
      <c r="A12" s="3011" t="s">
        <v>3241</v>
      </c>
      <c r="B12" s="3012" t="s">
        <v>3242</v>
      </c>
      <c r="C12" s="3013"/>
      <c r="D12" s="3014" t="s">
        <v>3243</v>
      </c>
      <c r="E12" s="3015" t="s">
        <v>3244</v>
      </c>
      <c r="F12" s="3016"/>
      <c r="G12" s="3017"/>
      <c r="H12" s="3017"/>
      <c r="I12" s="3017"/>
      <c r="J12" s="3018"/>
      <c r="K12" s="1056"/>
      <c r="L12" s="1794" t="s">
        <v>1984</v>
      </c>
      <c r="M12" s="812">
        <f>SUMPRODUCT((区片价!B378:B384=I2)*(区片价!C3:G3=E2)*(区片价!C378:G384))</f>
        <v>0</v>
      </c>
      <c r="N12" s="813">
        <f>SUMPRODUCT((因素修正幅度!B378:B384=I2)*(因素修正幅度!C3:G3=E2)*(因素修正幅度!C378:G384))</f>
        <v>0</v>
      </c>
      <c r="O12" s="1056"/>
      <c r="P12" s="1056"/>
      <c r="Q12" s="1056"/>
      <c r="R12" s="1128">
        <v>11</v>
      </c>
      <c r="S12" s="1129"/>
      <c r="T12" s="3062">
        <f t="shared" si="0"/>
        <v>0</v>
      </c>
      <c r="U12" s="1129"/>
      <c r="V12" s="3062">
        <f t="shared" si="1"/>
        <v>0</v>
      </c>
      <c r="W12" s="1132"/>
      <c r="X12" s="1132"/>
      <c r="Y12" s="1132"/>
      <c r="Z12" s="1132"/>
      <c r="AA12" s="1132"/>
      <c r="AB12" s="1132"/>
      <c r="AC12" s="1133"/>
      <c r="AD12" s="2552"/>
      <c r="AE12" s="2552"/>
      <c r="AF12" s="2552"/>
      <c r="AG12" s="2552"/>
      <c r="AH12" s="2552"/>
      <c r="AI12" s="2552"/>
      <c r="AJ12" s="2553"/>
    </row>
    <row r="13" spans="1:36" ht="15.75" thickBot="1">
      <c r="A13" s="3011" t="s">
        <v>3245</v>
      </c>
      <c r="B13" s="1876" t="s">
        <v>1982</v>
      </c>
      <c r="C13" s="711">
        <f>ROUND(C16*D16*E16*F16*G16*H16*I16*J16,4)</f>
        <v>1.1000000000000001</v>
      </c>
      <c r="D13" s="1877" t="s">
        <v>1983</v>
      </c>
      <c r="E13" s="1878"/>
      <c r="F13" s="1878"/>
      <c r="G13" s="1879"/>
      <c r="H13" s="1879"/>
      <c r="I13" s="1879"/>
      <c r="J13" s="1880"/>
      <c r="K13" s="1056"/>
      <c r="L13" s="3"/>
      <c r="M13" s="4"/>
      <c r="N13" s="3009"/>
      <c r="O13" s="1056"/>
      <c r="P13" s="1056"/>
      <c r="Q13" s="1056"/>
      <c r="R13" s="1128">
        <v>12</v>
      </c>
      <c r="S13" s="1129"/>
      <c r="T13" s="3062">
        <f t="shared" si="0"/>
        <v>0</v>
      </c>
      <c r="U13" s="1129"/>
      <c r="V13" s="3062">
        <f t="shared" si="1"/>
        <v>0</v>
      </c>
      <c r="W13" s="1132"/>
      <c r="X13" s="1132"/>
      <c r="Y13" s="1132"/>
      <c r="Z13" s="1132"/>
      <c r="AA13" s="1132"/>
      <c r="AB13" s="1132"/>
      <c r="AC13" s="1133"/>
      <c r="AD13" s="2552"/>
      <c r="AE13" s="2552"/>
      <c r="AF13" s="2552"/>
      <c r="AG13" s="2552"/>
      <c r="AH13" s="2552"/>
      <c r="AI13" s="2552"/>
      <c r="AJ13" s="2553"/>
    </row>
    <row r="14" spans="1:36" ht="15">
      <c r="A14" s="3007"/>
      <c r="B14" s="1881" t="s">
        <v>1985</v>
      </c>
      <c r="C14" s="1882" t="s">
        <v>1986</v>
      </c>
      <c r="D14" s="1260" t="s">
        <v>1987</v>
      </c>
      <c r="E14" s="27" t="s">
        <v>1988</v>
      </c>
      <c r="F14" s="3019" t="s">
        <v>3246</v>
      </c>
      <c r="G14" s="3019" t="s">
        <v>3246</v>
      </c>
      <c r="H14" s="3019" t="s">
        <v>3246</v>
      </c>
      <c r="I14" s="3019" t="s">
        <v>3246</v>
      </c>
      <c r="J14" s="3019" t="s">
        <v>3246</v>
      </c>
      <c r="K14" s="1056"/>
      <c r="L14" s="1056"/>
      <c r="M14" s="1056"/>
      <c r="N14" s="1056"/>
      <c r="O14" s="1056"/>
      <c r="P14" s="1056"/>
      <c r="Q14" s="1056"/>
      <c r="R14" s="1128">
        <v>13</v>
      </c>
      <c r="S14" s="1129"/>
      <c r="T14" s="3062">
        <f t="shared" si="0"/>
        <v>0</v>
      </c>
      <c r="U14" s="1129"/>
      <c r="V14" s="3062">
        <f t="shared" si="1"/>
        <v>0</v>
      </c>
      <c r="W14" s="1132"/>
      <c r="X14" s="1132"/>
      <c r="Y14" s="1132"/>
      <c r="Z14" s="1132"/>
      <c r="AA14" s="1132"/>
      <c r="AB14" s="1132"/>
      <c r="AC14" s="1133"/>
      <c r="AD14" s="2552"/>
      <c r="AE14" s="2552"/>
      <c r="AF14" s="2552"/>
      <c r="AG14" s="2552"/>
      <c r="AH14" s="2552"/>
      <c r="AI14" s="2552"/>
      <c r="AJ14" s="2553"/>
    </row>
    <row r="15" spans="1:36" ht="15">
      <c r="A15" s="3007"/>
      <c r="B15" s="1883"/>
      <c r="C15" s="1884"/>
      <c r="D15" s="1885"/>
      <c r="E15" s="1886" t="s">
        <v>3433</v>
      </c>
      <c r="F15" s="1469" t="s">
        <v>3247</v>
      </c>
      <c r="G15" s="1926"/>
      <c r="H15" s="3020"/>
      <c r="I15" s="3021"/>
      <c r="J15" s="3022"/>
      <c r="K15" s="1056"/>
      <c r="L15" s="1056"/>
      <c r="M15" s="1056"/>
      <c r="N15" s="1056"/>
      <c r="O15" s="1056"/>
      <c r="P15" s="1056"/>
      <c r="Q15" s="1056"/>
      <c r="R15" s="1128">
        <v>14</v>
      </c>
      <c r="S15" s="1129"/>
      <c r="T15" s="3062">
        <f t="shared" si="0"/>
        <v>0</v>
      </c>
      <c r="U15" s="1129"/>
      <c r="V15" s="3062">
        <f t="shared" si="1"/>
        <v>0</v>
      </c>
      <c r="W15" s="1132"/>
      <c r="X15" s="1132"/>
      <c r="Y15" s="1132"/>
      <c r="Z15" s="1132"/>
      <c r="AA15" s="1132"/>
      <c r="AB15" s="1132"/>
      <c r="AC15" s="1133"/>
      <c r="AD15" s="2552"/>
      <c r="AE15" s="2552"/>
      <c r="AF15" s="2552"/>
      <c r="AG15" s="2552"/>
      <c r="AH15" s="2552"/>
      <c r="AI15" s="2552"/>
      <c r="AJ15" s="2553"/>
    </row>
    <row r="16" spans="1:36" ht="15.75" thickBot="1">
      <c r="A16" s="3007"/>
      <c r="B16" s="3025" t="s">
        <v>1989</v>
      </c>
      <c r="C16" s="3023">
        <v>1</v>
      </c>
      <c r="D16" s="3023">
        <v>1</v>
      </c>
      <c r="E16" s="3023">
        <v>1.1000000000000001</v>
      </c>
      <c r="F16" s="3023">
        <v>1</v>
      </c>
      <c r="G16" s="3023">
        <v>1</v>
      </c>
      <c r="H16" s="3023">
        <v>1</v>
      </c>
      <c r="I16" s="3023">
        <v>1</v>
      </c>
      <c r="J16" s="3024">
        <v>1</v>
      </c>
      <c r="K16" s="1056"/>
      <c r="L16" s="1842"/>
      <c r="M16" s="1842"/>
      <c r="N16" s="1842"/>
      <c r="O16" s="1842"/>
      <c r="P16" s="1842"/>
      <c r="Q16" s="1056"/>
      <c r="R16" s="1128">
        <v>15</v>
      </c>
      <c r="S16" s="1129"/>
      <c r="T16" s="3062">
        <f t="shared" si="0"/>
        <v>0</v>
      </c>
      <c r="U16" s="1129"/>
      <c r="V16" s="3062">
        <f t="shared" si="1"/>
        <v>0</v>
      </c>
      <c r="W16" s="1132"/>
      <c r="X16" s="1132"/>
      <c r="Y16" s="1132"/>
      <c r="Z16" s="1132"/>
      <c r="AA16" s="1132"/>
      <c r="AB16" s="1132"/>
      <c r="AC16" s="1133"/>
      <c r="AD16" s="2552"/>
      <c r="AE16" s="2552"/>
      <c r="AF16" s="2552"/>
      <c r="AG16" s="2552"/>
      <c r="AH16" s="2552"/>
      <c r="AI16" s="2552"/>
      <c r="AJ16" s="2553"/>
    </row>
    <row r="17" spans="1:37">
      <c r="A17" s="3034" t="s">
        <v>3248</v>
      </c>
      <c r="B17" s="3026" t="s">
        <v>3249</v>
      </c>
      <c r="C17" s="3035">
        <f>ROUND(IF(OR(E2="工业",E2="公共服务"),1,IF(AND(E18=0,E19=0),1,IF(AND(E18=J24,E19=G19),0.8,IF(E19=0,1+E17*(-0.2),1+E17*G17*(-0.2))))),4)</f>
        <v>1</v>
      </c>
      <c r="D17" s="3027" t="s">
        <v>3250</v>
      </c>
      <c r="E17" s="3035">
        <f>ROUND(G18/I18,2)</f>
        <v>0</v>
      </c>
      <c r="F17" s="3027" t="s">
        <v>3253</v>
      </c>
      <c r="G17" s="3035" t="e">
        <f>ROUND(E19/G19,2)</f>
        <v>#DIV/0!</v>
      </c>
      <c r="H17" s="3035"/>
      <c r="I17" s="3035"/>
      <c r="J17" s="3036"/>
      <c r="K17" s="1056"/>
      <c r="L17" s="1842"/>
      <c r="M17" s="1842"/>
      <c r="N17" s="1842"/>
      <c r="O17" s="1842"/>
      <c r="P17" s="1842"/>
      <c r="Q17" s="1056"/>
      <c r="R17" s="1056"/>
      <c r="S17" s="1056"/>
      <c r="T17" s="1056"/>
      <c r="U17" s="1056"/>
      <c r="V17" s="1056"/>
      <c r="W17" s="1056"/>
      <c r="X17" s="1056"/>
      <c r="Y17" s="1056"/>
      <c r="Z17" s="1057"/>
      <c r="AA17" s="1057"/>
      <c r="AB17" s="1057"/>
      <c r="AC17" s="1057"/>
      <c r="AD17" s="1057"/>
      <c r="AE17" s="1056"/>
      <c r="AF17" s="1056"/>
      <c r="AG17" s="1842"/>
      <c r="AH17" s="1842"/>
      <c r="AI17" s="1842"/>
      <c r="AJ17" s="1842"/>
    </row>
    <row r="18" spans="1:37" s="1856" customFormat="1" ht="14.25">
      <c r="A18" s="3037"/>
      <c r="B18" s="2308"/>
      <c r="C18" s="3033"/>
      <c r="D18" s="3028" t="s">
        <v>3251</v>
      </c>
      <c r="E18" s="2355"/>
      <c r="F18" s="3029" t="s">
        <v>3254</v>
      </c>
      <c r="G18" s="3033">
        <f>ROUND(1-(1/(POWER(1+G24,E18))),4)</f>
        <v>0</v>
      </c>
      <c r="H18" s="3029" t="s">
        <v>3256</v>
      </c>
      <c r="I18" s="3033">
        <f>ROUND(1-(1/(POWER(1+G24,J24))),4)</f>
        <v>0.96709999999999996</v>
      </c>
      <c r="J18" s="3038"/>
      <c r="K18" s="1056"/>
      <c r="L18" s="1842"/>
      <c r="M18" s="1842"/>
      <c r="N18" s="1842"/>
      <c r="O18" s="1842"/>
      <c r="P18" s="1842"/>
      <c r="Q18" s="1056"/>
      <c r="R18" s="1060"/>
      <c r="S18" s="1060"/>
      <c r="T18" s="1057"/>
      <c r="U18" s="1057"/>
      <c r="V18" s="1057"/>
      <c r="W18" s="1056"/>
      <c r="X18" s="1056"/>
      <c r="Y18" s="1056"/>
      <c r="Z18" s="1061"/>
      <c r="AA18" s="1061"/>
      <c r="AB18" s="1061"/>
      <c r="AC18" s="1061"/>
      <c r="AD18" s="1061"/>
      <c r="AE18" s="1057"/>
      <c r="AF18" s="1057"/>
      <c r="AG18" s="1978"/>
      <c r="AH18" s="1978"/>
      <c r="AI18" s="1978"/>
      <c r="AJ18" s="2551"/>
    </row>
    <row r="19" spans="1:37" s="1856" customFormat="1" ht="15" thickBot="1">
      <c r="A19" s="3039"/>
      <c r="B19" s="3040"/>
      <c r="C19" s="3041"/>
      <c r="D19" s="3041" t="s">
        <v>3252</v>
      </c>
      <c r="E19" s="3042"/>
      <c r="F19" s="3043" t="s">
        <v>3255</v>
      </c>
      <c r="G19" s="3042"/>
      <c r="H19" s="3041"/>
      <c r="I19" s="3041"/>
      <c r="J19" s="3044"/>
      <c r="K19" s="1056"/>
      <c r="L19" s="1842"/>
      <c r="M19" s="1842"/>
      <c r="N19" s="1842"/>
      <c r="O19" s="1842"/>
      <c r="P19" s="1842"/>
      <c r="Q19" s="1060"/>
      <c r="R19" s="1060"/>
      <c r="S19" s="1060"/>
      <c r="T19" s="1057"/>
      <c r="U19" s="1057"/>
      <c r="V19" s="1057"/>
      <c r="W19" s="1056"/>
      <c r="X19" s="1056"/>
      <c r="Y19" s="1056"/>
      <c r="Z19" s="1061"/>
      <c r="AA19" s="1061"/>
      <c r="AB19" s="1061"/>
      <c r="AC19" s="1061"/>
      <c r="AD19" s="1061"/>
      <c r="AE19" s="1061"/>
      <c r="AF19" s="1060"/>
      <c r="AG19" s="2554"/>
      <c r="AH19" s="1978"/>
      <c r="AI19" s="561"/>
      <c r="AJ19" s="561"/>
      <c r="AK19" s="1897"/>
    </row>
    <row r="20" spans="1:37" s="1856" customFormat="1" ht="14.25">
      <c r="A20" s="3465" t="s">
        <v>3257</v>
      </c>
      <c r="B20" s="159" t="s">
        <v>1994</v>
      </c>
      <c r="C20" s="3030">
        <f>ROUND(IF(F21="与级别开发程度一致",0,(G21-E21)/C21),0)</f>
        <v>0</v>
      </c>
      <c r="D20" s="3045" t="s">
        <v>1998</v>
      </c>
      <c r="E20" s="3046"/>
      <c r="F20" s="3471" t="s">
        <v>1995</v>
      </c>
      <c r="G20" s="3472"/>
      <c r="H20" s="3031"/>
      <c r="I20" s="3031"/>
      <c r="J20" s="3032"/>
      <c r="K20" s="1887"/>
      <c r="L20" s="1887"/>
      <c r="M20" s="1887"/>
      <c r="N20" s="1887"/>
      <c r="O20" s="1888"/>
      <c r="P20" s="1842"/>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6" customFormat="1" ht="26.25" thickBot="1">
      <c r="A21" s="3466"/>
      <c r="B21" s="2000" t="s">
        <v>1997</v>
      </c>
      <c r="C21" s="2001">
        <f>IF(E3="M4科研用地",SUMPRODUCT((修正!A2:A7=E3)*(修正!B1:M1=G2)*(修正!B2:M7)),SUMPRODUCT((修正!A2:A7=E2)*(修正!B1:M1=G2)*(修正!B2:M7)))</f>
        <v>2.5</v>
      </c>
      <c r="D21" s="179" t="str">
        <f>IF(OR(G2="八级",G2="九级",G2="十级",G2="十一级",G2="十二级"),"五通一平","七通一平")</f>
        <v>七通一平</v>
      </c>
      <c r="E21" s="1991">
        <f>SUMPRODUCT((修正!B1:M1=G2)*(修正!B17:M17))</f>
        <v>375</v>
      </c>
      <c r="F21" s="1992" t="s">
        <v>3432</v>
      </c>
      <c r="G21" s="1993">
        <f>SUM(H21:O21)</f>
        <v>0</v>
      </c>
      <c r="H21" s="2001">
        <f>SUMPRODUCT((七通一平=H20)*(修正!B1:M1=G2)*(修正!B8:M16))</f>
        <v>0</v>
      </c>
      <c r="I21" s="2001">
        <f>SUMPRODUCT((七通一平=I20)*(修正!B1:M1=G2)*(修正!B8:M16))</f>
        <v>0</v>
      </c>
      <c r="J21" s="2002">
        <f>SUMPRODUCT((七通一平=J20)*(修正!B1:M1=G2)*(修正!B8:M16))</f>
        <v>0</v>
      </c>
      <c r="K21" s="2001">
        <f>SUMPRODUCT((七通一平=K20)*(修正!B1:M1=G2)*(修正!B8:M16))</f>
        <v>0</v>
      </c>
      <c r="L21" s="2001">
        <f>SUMPRODUCT((七通一平=L20)*(修正!B1:M1=G2)*(修正!B8:M16))</f>
        <v>0</v>
      </c>
      <c r="M21" s="2001">
        <f>SUMPRODUCT((七通一平=M20)*(修正!B1:M1=G2)*(修正!B8:M16))</f>
        <v>0</v>
      </c>
      <c r="N21" s="2001">
        <f>SUMPRODUCT((七通一平=N20)*(修正!B1:M1=G2)*(修正!B8:M16))</f>
        <v>0</v>
      </c>
      <c r="O21" s="2003">
        <f>SUMPRODUCT((七通一平=O20)*(修正!B1:M1=G2)*(修正!B8:M16))</f>
        <v>0</v>
      </c>
      <c r="P21" s="1842"/>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6" customFormat="1" ht="15.75" thickBot="1">
      <c r="A22" s="1994" t="s">
        <v>363</v>
      </c>
      <c r="B22" s="1995" t="s">
        <v>2000</v>
      </c>
      <c r="C22" s="1996">
        <f>SUMIF(修正!C20:C51,E3,修正!E20:E51)</f>
        <v>1</v>
      </c>
      <c r="D22" s="1997"/>
      <c r="E22" s="1998"/>
      <c r="F22" s="1998"/>
      <c r="G22" s="1998"/>
      <c r="H22" s="1998"/>
      <c r="I22" s="1998"/>
      <c r="J22" s="1999"/>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6.25" thickBot="1">
      <c r="A23" s="1890" t="s">
        <v>364</v>
      </c>
      <c r="B23" s="1891"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1.0859000000000001</v>
      </c>
      <c r="D23" s="1894" t="s">
        <v>2002</v>
      </c>
      <c r="E23" s="717">
        <v>44197</v>
      </c>
      <c r="F23" s="1894" t="s">
        <v>2003</v>
      </c>
      <c r="G23" s="718">
        <f>'数据-取费表'!B2</f>
        <v>45301</v>
      </c>
      <c r="H23" s="3047" t="s">
        <v>3259</v>
      </c>
      <c r="I23" s="3048" t="str">
        <f>IF(H23="季度增幅（自定义）",SUMIF(N25:N28,E2,O25:O28),"")</f>
        <v/>
      </c>
      <c r="J23" s="3140" t="s">
        <v>3258</v>
      </c>
      <c r="K23" s="1061"/>
      <c r="L23" s="1895" t="s">
        <v>2004</v>
      </c>
      <c r="M23" s="1240">
        <f>ROUND(SUMIF(地价!B2:G2,E2,地价!B16:G16),0)</f>
        <v>687</v>
      </c>
      <c r="N23" s="1896" t="s">
        <v>2005</v>
      </c>
      <c r="O23" s="719">
        <f>ROUNDDOWN(DATEDIF(E23,G23,"M")/3,0)</f>
        <v>12</v>
      </c>
      <c r="P23" s="1057"/>
      <c r="Q23" s="2551"/>
      <c r="R23" s="1060"/>
      <c r="S23" s="1060"/>
      <c r="T23" s="1057"/>
      <c r="U23" s="1057"/>
      <c r="V23" s="1057"/>
      <c r="W23" s="1056"/>
      <c r="X23" s="1056"/>
      <c r="Y23" s="1056"/>
      <c r="Z23" s="1061"/>
      <c r="AA23" s="1061"/>
      <c r="AB23" s="1061"/>
      <c r="AC23" s="1061"/>
      <c r="AD23" s="1061"/>
      <c r="AE23" s="1057"/>
      <c r="AF23" s="1057"/>
      <c r="AG23" s="1978"/>
      <c r="AH23" s="1978"/>
      <c r="AI23" s="1978"/>
      <c r="AJ23" s="1978"/>
      <c r="AK23" s="1893"/>
    </row>
    <row r="24" spans="1:37" s="1856" customFormat="1" ht="24.75" thickBot="1">
      <c r="A24" s="1898" t="s">
        <v>365</v>
      </c>
      <c r="B24" s="1899" t="s">
        <v>2006</v>
      </c>
      <c r="C24" s="720">
        <f>ROUND(POWER(1+G24,J24-I24)*(POWER(1+G24,I24)-1)/(POWER(1+G24,J24)-1),4)</f>
        <v>0.97030000000000005</v>
      </c>
      <c r="D24" s="1900" t="s">
        <v>2007</v>
      </c>
      <c r="E24" s="1247">
        <f>存贷款利率!E24/100</f>
        <v>4.3499999999999997E-2</v>
      </c>
      <c r="F24" s="1900" t="s">
        <v>1999</v>
      </c>
      <c r="G24" s="724">
        <f>SUMIF(M30:Q30,E2,M33:Q33)</f>
        <v>0.05</v>
      </c>
      <c r="H24" s="1900" t="s">
        <v>2008</v>
      </c>
      <c r="I24" s="725">
        <f>SUMIF('数据-取费表'!C6:C15,E2,'数据-取费表'!F6:F15)/COUNTIF('数据-取费表'!C6:C15,E2)</f>
        <v>57.13</v>
      </c>
      <c r="J24" s="726">
        <f>IF(E2="住宅",70,IF(E2="商业",40,50))</f>
        <v>70</v>
      </c>
      <c r="K24" s="1061"/>
      <c r="L24" s="1901" t="s">
        <v>2009</v>
      </c>
      <c r="M24" s="1241">
        <f>ROUND(SUMPRODUCT((地价!A4:A16=YEAR(G23)&amp;"-"&amp;ROUNDUP(MONTH(G23)/3,0))*(地价!B2:G2=E2)*(地价!B4:G16)),0)</f>
        <v>0</v>
      </c>
      <c r="N24" s="1902" t="s">
        <v>2010</v>
      </c>
      <c r="O24" s="1903" t="s">
        <v>2011</v>
      </c>
      <c r="P24" s="1904" t="s">
        <v>2012</v>
      </c>
      <c r="Q24" s="1842"/>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5">
      <c r="A25" s="1905" t="s">
        <v>366</v>
      </c>
      <c r="B25" s="1906" t="s">
        <v>3338</v>
      </c>
      <c r="C25" s="461">
        <f>IF(B25="容积率修正",IF(G3&lt;10,D26,J26),C27)</f>
        <v>0.96789999999999998</v>
      </c>
      <c r="D25" s="1907"/>
      <c r="E25" s="1907"/>
      <c r="F25" s="1907"/>
      <c r="G25" s="1907"/>
      <c r="H25" s="1907"/>
      <c r="I25" s="1907"/>
      <c r="J25" s="1908"/>
      <c r="K25" s="1061"/>
      <c r="L25" s="2551"/>
      <c r="M25" s="2551"/>
      <c r="N25" s="1909"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78"/>
      <c r="AH25" s="1978"/>
      <c r="AI25" s="1978"/>
      <c r="AJ25" s="1978"/>
    </row>
    <row r="26" spans="1:37" ht="14.25">
      <c r="A26" s="1804" t="s">
        <v>2014</v>
      </c>
      <c r="B26" s="1910" t="s">
        <v>2015</v>
      </c>
      <c r="C26" s="1910" t="s">
        <v>3260</v>
      </c>
      <c r="D26" s="1262">
        <f>IF(E26=G26,F26,IF(G3&lt;10,ROUND(F26+(H26-F26)*(G3-E26)/(G26-E26),4),"——"))</f>
        <v>0.96789999999999998</v>
      </c>
      <c r="E26" s="708">
        <f>ROUNDDOWN(G3,1)</f>
        <v>3</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0.96789999999999998</v>
      </c>
      <c r="G26" s="708">
        <f>ROUNDUP(G3,1)</f>
        <v>3</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0.96789999999999998</v>
      </c>
      <c r="I26" s="1910" t="s">
        <v>3261</v>
      </c>
      <c r="J26" s="374" t="str">
        <f>IF(G3&gt;=10,D115,"——")</f>
        <v>——</v>
      </c>
      <c r="K26" s="1061"/>
      <c r="L26" s="2551"/>
      <c r="M26" s="2551"/>
      <c r="N26" s="1909" t="s">
        <v>2016</v>
      </c>
      <c r="O26" s="1093"/>
      <c r="P26" s="1094">
        <f>SUMPRODUCT((地价!A3:A40=YEAR(G23)&amp;"-"&amp;ROUNDUP(MONTH(G23)/3,0))*(地价!AD2:AH2=N26)*(地价!AD3:AH40))</f>
        <v>0</v>
      </c>
      <c r="Q26" s="1842"/>
      <c r="R26" s="1060"/>
      <c r="S26" s="1060"/>
      <c r="T26" s="1057"/>
      <c r="U26" s="1057"/>
      <c r="V26" s="1057"/>
      <c r="W26" s="1056"/>
      <c r="X26" s="1056"/>
      <c r="Y26" s="1056"/>
      <c r="Z26" s="1061"/>
      <c r="AA26" s="1061"/>
      <c r="AB26" s="1061"/>
      <c r="AC26" s="1061"/>
      <c r="AD26" s="1061"/>
      <c r="AE26" s="1057"/>
      <c r="AF26" s="1057"/>
      <c r="AG26" s="1978"/>
      <c r="AH26" s="1978"/>
      <c r="AI26" s="1978"/>
      <c r="AJ26" s="1978"/>
    </row>
    <row r="27" spans="1:37" ht="15.75" thickBot="1">
      <c r="A27" s="1804" t="s">
        <v>2017</v>
      </c>
      <c r="B27" s="1911" t="s">
        <v>2018</v>
      </c>
      <c r="C27" s="791">
        <f>ROUND(IF(I3&lt;6,SUMPRODUCT((B106:B110=I3)*(C105:N105=G2)*(C106:N110)),SUMIF(C105:N105,G2,C112:N112)),4)</f>
        <v>0</v>
      </c>
      <c r="D27" s="1840"/>
      <c r="E27" s="1840"/>
      <c r="F27" s="1912"/>
      <c r="G27" s="1913"/>
      <c r="H27" s="1914"/>
      <c r="I27" s="1915"/>
      <c r="J27" s="1916"/>
      <c r="K27" s="1056"/>
      <c r="L27" s="1842"/>
      <c r="M27" s="1842"/>
      <c r="N27" s="1909" t="s">
        <v>2019</v>
      </c>
      <c r="O27" s="1093"/>
      <c r="P27" s="1094">
        <f>SUMPRODUCT((地价!A3:A40=YEAR(G23)&amp;"-"&amp;ROUNDUP(MONTH(G23)/3,0))*(地价!AD2:AH2=N27)*(地价!AD3:AH40))</f>
        <v>0</v>
      </c>
      <c r="Q27" s="1842"/>
      <c r="R27" s="1060"/>
      <c r="S27" s="1060"/>
      <c r="T27" s="1057"/>
      <c r="U27" s="1057"/>
      <c r="V27" s="1057"/>
      <c r="W27" s="1056"/>
      <c r="X27" s="1056"/>
      <c r="Y27" s="1056"/>
      <c r="Z27" s="1061"/>
      <c r="AA27" s="1061"/>
      <c r="AB27" s="1061"/>
      <c r="AC27" s="1061"/>
      <c r="AD27" s="1061"/>
      <c r="AE27" s="1057"/>
      <c r="AF27" s="1057"/>
      <c r="AG27" s="1978"/>
      <c r="AH27" s="1978"/>
      <c r="AI27" s="1978"/>
      <c r="AJ27" s="1978"/>
    </row>
    <row r="28" spans="1:37" ht="15.75" thickBot="1">
      <c r="A28" s="1898" t="s">
        <v>367</v>
      </c>
      <c r="B28" s="1891" t="s">
        <v>2020</v>
      </c>
      <c r="C28" s="716">
        <f>SUMIF(A47:A101,E2,B47:B101)</f>
        <v>1.0418000000000001</v>
      </c>
      <c r="D28" s="1892"/>
      <c r="E28" s="1917"/>
      <c r="F28" s="1917"/>
      <c r="G28" s="1917"/>
      <c r="H28" s="1917"/>
      <c r="I28" s="1917"/>
      <c r="J28" s="1918"/>
      <c r="K28" s="1061"/>
      <c r="L28" s="2551"/>
      <c r="M28" s="2551"/>
      <c r="N28" s="1919"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8"/>
      <c r="AH28" s="1978"/>
      <c r="AI28" s="1978"/>
      <c r="AJ28" s="1978"/>
    </row>
    <row r="29" spans="1:37" ht="15.75" thickBot="1">
      <c r="A29" s="1898" t="s">
        <v>368</v>
      </c>
      <c r="B29" s="1920" t="s">
        <v>2022</v>
      </c>
      <c r="C29" s="721"/>
      <c r="D29" s="1866"/>
      <c r="E29" s="1866"/>
      <c r="F29" s="1921"/>
      <c r="G29" s="1866"/>
      <c r="H29" s="1866"/>
      <c r="I29" s="1866"/>
      <c r="J29" s="1867"/>
      <c r="K29" s="1056"/>
      <c r="L29" s="1842"/>
      <c r="M29" s="1842"/>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2"/>
      <c r="AH29" s="1842"/>
      <c r="AI29" s="1842"/>
      <c r="AJ29" s="1842"/>
    </row>
    <row r="30" spans="1:37" ht="15">
      <c r="A30" s="1922"/>
      <c r="B30" s="1910" t="s">
        <v>2024</v>
      </c>
      <c r="C30" s="2143">
        <f>IF(B25="容积率修正",E33+SUM(E37:E42),SUM(V2:V16)+SUM(E37:E42))</f>
        <v>138</v>
      </c>
      <c r="D30" s="1923"/>
      <c r="E30" s="1840"/>
      <c r="F30" s="1924"/>
      <c r="G30" s="1840"/>
      <c r="H30" s="1840"/>
      <c r="I30" s="1840"/>
      <c r="J30" s="1925"/>
      <c r="K30" s="1056"/>
      <c r="L30" s="3054" t="s">
        <v>1936</v>
      </c>
      <c r="M30" s="3055" t="s">
        <v>1990</v>
      </c>
      <c r="N30" s="3055" t="s">
        <v>1991</v>
      </c>
      <c r="O30" s="3055" t="s">
        <v>1992</v>
      </c>
      <c r="P30" s="3055" t="s">
        <v>1993</v>
      </c>
      <c r="Q30" s="3058" t="s">
        <v>3265</v>
      </c>
      <c r="R30" s="1060"/>
      <c r="S30" s="1060"/>
      <c r="T30" s="1057"/>
      <c r="U30" s="1057"/>
      <c r="V30" s="1057"/>
      <c r="W30" s="1056"/>
      <c r="X30" s="1056"/>
      <c r="Y30" s="1056"/>
      <c r="Z30" s="1061"/>
      <c r="AA30" s="1061"/>
      <c r="AB30" s="1061"/>
      <c r="AC30" s="1061"/>
      <c r="AD30" s="1061"/>
      <c r="AE30" s="1056"/>
      <c r="AF30" s="1056"/>
      <c r="AG30" s="1842"/>
      <c r="AH30" s="1842"/>
      <c r="AI30" s="1842"/>
      <c r="AJ30" s="1842"/>
    </row>
    <row r="31" spans="1:37" ht="15.75" thickBot="1">
      <c r="A31" s="1922"/>
      <c r="B31" s="1926" t="s">
        <v>2025</v>
      </c>
      <c r="C31" s="722">
        <f>E34+SUM(I37:I42)</f>
        <v>0</v>
      </c>
      <c r="D31" s="1927"/>
      <c r="E31" s="1928"/>
      <c r="F31" s="1929"/>
      <c r="G31" s="1928"/>
      <c r="H31" s="1928"/>
      <c r="I31" s="1928"/>
      <c r="J31" s="1930"/>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2"/>
      <c r="AH31" s="1842"/>
      <c r="AI31" s="1842"/>
      <c r="AJ31" s="1842"/>
    </row>
    <row r="32" spans="1:37" ht="15.75" thickBot="1">
      <c r="A32" s="1931"/>
      <c r="B32" s="1932" t="s">
        <v>2026</v>
      </c>
      <c r="C32" s="1933" t="s">
        <v>2027</v>
      </c>
      <c r="D32" s="1933" t="s">
        <v>2028</v>
      </c>
      <c r="E32" s="1934" t="s">
        <v>2029</v>
      </c>
      <c r="F32" s="1935"/>
      <c r="G32" s="1879"/>
      <c r="H32" s="1879"/>
      <c r="I32" s="1879"/>
      <c r="J32" s="1880"/>
      <c r="K32" s="1056"/>
      <c r="L32" s="3057" t="s">
        <v>1999</v>
      </c>
      <c r="M32" s="2354">
        <f>ROUND($E$24*(1+M31),3)</f>
        <v>5.3999999999999999E-2</v>
      </c>
      <c r="N32" s="2354">
        <f>ROUND($E$24*(1+N31),3)</f>
        <v>5.1999999999999998E-2</v>
      </c>
      <c r="O32" s="2354">
        <f>ROUND($E$24*(1+O31),3)</f>
        <v>0.05</v>
      </c>
      <c r="P32" s="2354">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2"/>
      <c r="AH32" s="1842"/>
      <c r="AI32" s="1842"/>
      <c r="AJ32" s="1842"/>
    </row>
    <row r="33" spans="1:37" ht="14.25">
      <c r="A33" s="1936"/>
      <c r="B33" s="1937" t="s">
        <v>2030</v>
      </c>
      <c r="C33" s="167">
        <f>ROUND(C5*C22*C23*C24*C25*C28,0)</f>
        <v>31076</v>
      </c>
      <c r="D33" s="1938">
        <f>'数据-汇总表'!F19</f>
        <v>44.28</v>
      </c>
      <c r="E33" s="727">
        <f>ROUND(C33*D33/10000,0)</f>
        <v>138</v>
      </c>
      <c r="F33" s="3049" t="s">
        <v>3263</v>
      </c>
      <c r="G33" s="1939"/>
      <c r="H33" s="1939"/>
      <c r="I33" s="1939"/>
      <c r="J33" s="1940"/>
      <c r="K33" s="1056"/>
      <c r="L33" s="3052" t="s">
        <v>3266</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78"/>
      <c r="AH33" s="1978"/>
      <c r="AI33" s="1978"/>
      <c r="AJ33" s="1978"/>
    </row>
    <row r="34" spans="1:37" ht="25.5" thickBot="1">
      <c r="A34" s="1941"/>
      <c r="B34" s="1942" t="s">
        <v>2031</v>
      </c>
      <c r="C34" s="179">
        <f>ROUND(IF(E2="工业",C33*M42,IF(B25="楼层修正",SUM(V2:V16)*M41*10000/D34,C33*M41)),0)</f>
        <v>7769</v>
      </c>
      <c r="D34" s="1943"/>
      <c r="E34" s="727">
        <f>ROUND(IF(B25="楼层修正",SUM(V2:V16)*M40,C34*D34/10000),0)</f>
        <v>0</v>
      </c>
      <c r="F34" s="1944" t="s">
        <v>2032</v>
      </c>
      <c r="G34" s="1945"/>
      <c r="H34" s="1945"/>
      <c r="I34" s="1945"/>
      <c r="J34" s="1946"/>
      <c r="K34" s="1056"/>
      <c r="L34" s="3052" t="s">
        <v>3267</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78"/>
      <c r="AH34" s="1978"/>
      <c r="AI34" s="1978"/>
      <c r="AJ34" s="1978"/>
    </row>
    <row r="35" spans="1:37">
      <c r="A35" s="1947"/>
      <c r="B35" s="1948" t="s">
        <v>2033</v>
      </c>
      <c r="C35" s="3050" t="s">
        <v>3264</v>
      </c>
      <c r="D35" s="1879"/>
      <c r="E35" s="1949"/>
      <c r="F35" s="1949"/>
      <c r="G35" s="1877" t="s">
        <v>2034</v>
      </c>
      <c r="H35" s="1879"/>
      <c r="I35" s="1950"/>
      <c r="J35" s="1880"/>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8"/>
      <c r="AH35" s="1978"/>
      <c r="AI35" s="1978"/>
      <c r="AJ35" s="1978"/>
    </row>
    <row r="36" spans="1:37" ht="24.75" thickBot="1">
      <c r="A36" s="1936"/>
      <c r="B36" s="1951"/>
      <c r="C36" s="436" t="s">
        <v>2027</v>
      </c>
      <c r="D36" s="433" t="s">
        <v>2028</v>
      </c>
      <c r="E36" s="433" t="s">
        <v>2029</v>
      </c>
      <c r="F36" s="333" t="s">
        <v>2035</v>
      </c>
      <c r="G36" s="1952" t="s">
        <v>2027</v>
      </c>
      <c r="H36" s="1952" t="s">
        <v>2028</v>
      </c>
      <c r="I36" s="1952" t="s">
        <v>2029</v>
      </c>
      <c r="J36" s="235"/>
      <c r="K36" s="1962" t="s">
        <v>3268</v>
      </c>
      <c r="L36" s="3141">
        <f ca="1">'数据-取费表'!B40</f>
        <v>4.7500000000000001E-2</v>
      </c>
      <c r="M36" s="2364">
        <f ca="1">ROUND($L$36*(1+M31),3)</f>
        <v>5.8999999999999997E-2</v>
      </c>
      <c r="N36" s="2364">
        <f ca="1">ROUND($L$36*(1+N31),3)</f>
        <v>5.7000000000000002E-2</v>
      </c>
      <c r="O36" s="2364">
        <f ca="1">ROUND($L$36*(1+O31),3)</f>
        <v>5.5E-2</v>
      </c>
      <c r="P36" s="2364">
        <f ca="1">ROUND($L$36*(1+P31),3)</f>
        <v>5.1999999999999998E-2</v>
      </c>
      <c r="Q36" s="2364">
        <f ca="1">ROUND($L$36*(1+Q31),3)</f>
        <v>5.5E-2</v>
      </c>
      <c r="R36" s="1056"/>
      <c r="S36" s="1056"/>
      <c r="T36" s="1056"/>
      <c r="U36" s="1056"/>
      <c r="V36" s="1056"/>
      <c r="W36" s="1056"/>
      <c r="X36" s="1056"/>
      <c r="Y36" s="1056"/>
      <c r="Z36" s="1057"/>
      <c r="AA36" s="1057"/>
      <c r="AB36" s="1057"/>
      <c r="AC36" s="1057"/>
      <c r="AD36" s="1057"/>
      <c r="AE36" s="1057"/>
      <c r="AF36" s="1057"/>
      <c r="AG36" s="1978"/>
      <c r="AH36" s="1978"/>
      <c r="AI36" s="1978"/>
      <c r="AJ36" s="1978"/>
    </row>
    <row r="37" spans="1:37" ht="24.75" thickBot="1">
      <c r="A37" s="3469"/>
      <c r="B37" s="1953" t="s">
        <v>2036</v>
      </c>
      <c r="C37" s="167">
        <f>ROUND(D5*C22*C23*C24*C28*F37,0)</f>
        <v>20431</v>
      </c>
      <c r="D37" s="1938"/>
      <c r="E37" s="163">
        <f>ROUND(C37*D37/10000,0)</f>
        <v>0</v>
      </c>
      <c r="F37" s="163">
        <f>SUMIF(修正!A57:A68,G2,修正!B57:B68)</f>
        <v>0.7</v>
      </c>
      <c r="G37" s="163">
        <f>ROUND(IF(E2="工业",C37*$M$42,C37*$M$41),0)</f>
        <v>5108</v>
      </c>
      <c r="H37" s="163">
        <f>D37</f>
        <v>0</v>
      </c>
      <c r="I37" s="163">
        <f>ROUND(G37*H37/10000,0)</f>
        <v>0</v>
      </c>
      <c r="J37" s="2753"/>
      <c r="K37" s="3060" t="s">
        <v>3269</v>
      </c>
      <c r="L37" s="1962">
        <f ca="1">L36+K38</f>
        <v>5.2499999999999998E-2</v>
      </c>
      <c r="M37" s="2364">
        <f ca="1">ROUND($L$37*(1+M31),3)</f>
        <v>6.6000000000000003E-2</v>
      </c>
      <c r="N37" s="2364">
        <f t="shared" ref="N37:Q37" ca="1" si="3">ROUND($L$37*(1+N31),3)</f>
        <v>6.3E-2</v>
      </c>
      <c r="O37" s="2364">
        <f t="shared" ca="1" si="3"/>
        <v>0.06</v>
      </c>
      <c r="P37" s="2364">
        <f t="shared" ca="1" si="3"/>
        <v>5.8000000000000003E-2</v>
      </c>
      <c r="Q37" s="2364">
        <f t="shared" ca="1" si="3"/>
        <v>0.06</v>
      </c>
      <c r="R37" s="1056"/>
      <c r="S37" s="1056"/>
      <c r="T37" s="1056"/>
      <c r="U37" s="1056"/>
      <c r="V37" s="1056"/>
      <c r="W37" s="1056"/>
      <c r="X37" s="1056"/>
      <c r="Y37" s="1056"/>
      <c r="Z37" s="1057"/>
      <c r="AA37" s="1057"/>
      <c r="AB37" s="1057"/>
      <c r="AC37" s="1057"/>
      <c r="AD37" s="1057"/>
      <c r="AE37" s="1057"/>
      <c r="AF37" s="1057"/>
      <c r="AG37" s="1978"/>
      <c r="AH37" s="1978"/>
      <c r="AI37" s="1978"/>
      <c r="AJ37" s="1978"/>
    </row>
    <row r="38" spans="1:37">
      <c r="A38" s="3470"/>
      <c r="B38" s="1882" t="s">
        <v>2037</v>
      </c>
      <c r="C38" s="167">
        <f>ROUND(D5*C22*C23*C24*C28*F38,0)</f>
        <v>11675</v>
      </c>
      <c r="D38" s="1938"/>
      <c r="E38" s="163">
        <f t="shared" ref="E38:E42" si="4">ROUND(C38*D38/10000,0)</f>
        <v>0</v>
      </c>
      <c r="F38" s="163">
        <f>SUMIF(修正!A57:A68,G2,修正!C57:C68)</f>
        <v>0.4</v>
      </c>
      <c r="G38" s="163">
        <f>ROUND(IF(E2="工业",C38*$M$42,C38*$M$41),0)</f>
        <v>2919</v>
      </c>
      <c r="H38" s="163">
        <f t="shared" ref="H38:H42" si="5">D38</f>
        <v>0</v>
      </c>
      <c r="I38" s="163">
        <f t="shared" ref="I38:I42" si="6">ROUND(G38*H38/10000,0)</f>
        <v>0</v>
      </c>
      <c r="J38" s="2752"/>
      <c r="K38" s="1962">
        <v>5.0000000000000001E-3</v>
      </c>
      <c r="L38" s="1962"/>
      <c r="M38" s="1962"/>
      <c r="N38" s="1962"/>
      <c r="O38" s="1962"/>
      <c r="P38" s="1962"/>
      <c r="Q38" s="1962"/>
      <c r="R38" s="1056"/>
      <c r="S38" s="1056"/>
      <c r="T38" s="1056"/>
      <c r="U38" s="1056"/>
      <c r="V38" s="1056"/>
      <c r="W38" s="1056"/>
      <c r="X38" s="1056"/>
      <c r="Y38" s="1056"/>
      <c r="Z38" s="1057"/>
      <c r="AA38" s="1057"/>
      <c r="AB38" s="1057"/>
      <c r="AC38" s="1057"/>
      <c r="AD38" s="1057"/>
    </row>
    <row r="39" spans="1:37" ht="13.5" thickBot="1">
      <c r="A39" s="3470"/>
      <c r="B39" s="1882" t="s">
        <v>3262</v>
      </c>
      <c r="C39" s="167">
        <f>ROUND(D5*C22*C23*C24*C28*F39,0)</f>
        <v>8756</v>
      </c>
      <c r="D39" s="1938"/>
      <c r="E39" s="163">
        <f t="shared" si="4"/>
        <v>0</v>
      </c>
      <c r="F39" s="163">
        <f>SUMIF(修正!A57:A68,G2,修正!D57:D68)</f>
        <v>0.3</v>
      </c>
      <c r="G39" s="163">
        <f>ROUND(IF(E2="工业",C39*$M$42,C39*$M$41),0)</f>
        <v>2189</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4"/>
      <c r="B40" s="1882" t="s">
        <v>2038</v>
      </c>
      <c r="C40" s="163">
        <f>ROUND(D5*C22*C23*C24*C28*F40,0)</f>
        <v>8756</v>
      </c>
      <c r="D40" s="1938"/>
      <c r="E40" s="163">
        <f t="shared" si="4"/>
        <v>0</v>
      </c>
      <c r="F40" s="167">
        <f>SUMIF(修正!A57:A68,G2,修正!E57:E68)</f>
        <v>0.3</v>
      </c>
      <c r="G40" s="163">
        <f>ROUND(IF(E2="工业",C40*$M$42,C40*$M$41),0)</f>
        <v>2189</v>
      </c>
      <c r="H40" s="163">
        <f t="shared" si="5"/>
        <v>0</v>
      </c>
      <c r="I40" s="163">
        <f t="shared" si="6"/>
        <v>0</v>
      </c>
      <c r="J40" s="939"/>
      <c r="L40" s="1955" t="s">
        <v>2039</v>
      </c>
      <c r="M40" s="1956"/>
      <c r="Z40" s="1057"/>
      <c r="AA40" s="1057"/>
      <c r="AB40" s="1057"/>
      <c r="AC40" s="1057"/>
      <c r="AD40" s="1057"/>
      <c r="AE40" s="1057"/>
      <c r="AF40" s="1057"/>
      <c r="AG40" s="1057"/>
      <c r="AH40" s="1057"/>
      <c r="AI40" s="1057"/>
      <c r="AJ40" s="1057"/>
    </row>
    <row r="41" spans="1:37" s="1056" customFormat="1">
      <c r="A41" s="1954"/>
      <c r="B41" s="1882" t="s">
        <v>2040</v>
      </c>
      <c r="C41" s="163">
        <f>ROUND(D5*C22*C23*C44*C28*F41,0)</f>
        <v>0</v>
      </c>
      <c r="D41" s="1938"/>
      <c r="E41" s="163">
        <f t="shared" si="4"/>
        <v>0</v>
      </c>
      <c r="F41" s="167">
        <f>SUMIF(修正!A57:A68,G2,修正!F57:F68)</f>
        <v>0.3</v>
      </c>
      <c r="G41" s="163">
        <f>ROUND(IF(E2="工业",C41*$M$42,C41*$M$41),0)</f>
        <v>0</v>
      </c>
      <c r="H41" s="163">
        <f t="shared" si="5"/>
        <v>0</v>
      </c>
      <c r="I41" s="163">
        <f t="shared" si="6"/>
        <v>0</v>
      </c>
      <c r="J41" s="939"/>
      <c r="L41" s="3061" t="s">
        <v>3270</v>
      </c>
      <c r="M41" s="1957">
        <v>0.25</v>
      </c>
      <c r="Z41" s="1057"/>
      <c r="AA41" s="1057"/>
      <c r="AB41" s="1057"/>
      <c r="AC41" s="1057"/>
      <c r="AD41" s="1057"/>
      <c r="AE41" s="1057"/>
      <c r="AF41" s="1057"/>
      <c r="AG41" s="1057"/>
      <c r="AH41" s="1057"/>
      <c r="AI41" s="1057"/>
      <c r="AJ41" s="1057"/>
    </row>
    <row r="42" spans="1:37" s="1056" customFormat="1" ht="13.5" thickBot="1">
      <c r="A42" s="1941"/>
      <c r="B42" s="1958" t="s">
        <v>2041</v>
      </c>
      <c r="C42" s="179">
        <f>ROUND(D5*C22*C23*C44*C28*F42,0)</f>
        <v>0</v>
      </c>
      <c r="D42" s="1943"/>
      <c r="E42" s="179">
        <f t="shared" si="4"/>
        <v>0</v>
      </c>
      <c r="F42" s="723">
        <f>SUMIF(修正!A57:A68,G2,修正!G57:G68)</f>
        <v>0.2</v>
      </c>
      <c r="G42" s="179">
        <f>ROUND(IF(E2="工业",C42*$M$42,C42*$M$41),0)</f>
        <v>0</v>
      </c>
      <c r="H42" s="179">
        <f t="shared" si="5"/>
        <v>0</v>
      </c>
      <c r="I42" s="179">
        <f t="shared" si="6"/>
        <v>0</v>
      </c>
      <c r="J42" s="1959"/>
      <c r="L42" s="1960" t="s">
        <v>1993</v>
      </c>
      <c r="M42" s="1961">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0" t="s">
        <v>2122</v>
      </c>
      <c r="C44" s="333">
        <f>ROUND(POWER(1+E44,H44-G44)*(POWER(1+E44,G44)-1)/(POWER(1+E44,H44)-1),4)</f>
        <v>0</v>
      </c>
      <c r="D44" s="163" t="s">
        <v>1999</v>
      </c>
      <c r="E44" s="1989">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2"/>
      <c r="Z45" s="1057"/>
      <c r="AA45" s="1057"/>
      <c r="AB45" s="1057"/>
      <c r="AC45" s="1057"/>
      <c r="AD45" s="1057"/>
      <c r="AE45" s="1057"/>
      <c r="AF45" s="1057"/>
      <c r="AG45" s="1057"/>
      <c r="AH45" s="1057"/>
      <c r="AI45" s="1057"/>
      <c r="AJ45" s="1057"/>
    </row>
    <row r="46" spans="1:37" s="1056" customFormat="1">
      <c r="A46" s="1057"/>
      <c r="B46" s="1962"/>
      <c r="AA46" s="1057"/>
      <c r="AB46" s="1057"/>
      <c r="AC46" s="1057"/>
      <c r="AD46" s="1057"/>
      <c r="AE46" s="1057"/>
      <c r="AF46" s="1057"/>
      <c r="AG46" s="1057"/>
      <c r="AH46" s="1057"/>
      <c r="AI46" s="1057"/>
      <c r="AJ46" s="1057"/>
      <c r="AK46" s="1057"/>
    </row>
    <row r="47" spans="1:37" s="1056" customFormat="1" ht="15.75" thickBot="1">
      <c r="A47" s="1963" t="s">
        <v>2042</v>
      </c>
      <c r="B47" s="1964"/>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hidden="1">
      <c r="A48" s="1965" t="s">
        <v>2043</v>
      </c>
      <c r="B48" s="1966">
        <f>1+E50</f>
        <v>1</v>
      </c>
      <c r="C48" s="1725"/>
      <c r="D48" s="699"/>
      <c r="E48" s="700"/>
      <c r="F48" s="1967"/>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hidden="1">
      <c r="A49" s="1968" t="s">
        <v>2044</v>
      </c>
      <c r="B49" s="1261" t="s">
        <v>2045</v>
      </c>
      <c r="C49" s="1261" t="s">
        <v>2046</v>
      </c>
      <c r="D49" s="1261" t="s">
        <v>2047</v>
      </c>
      <c r="E49" s="701" t="s">
        <v>2048</v>
      </c>
      <c r="F49" s="1969" t="s">
        <v>2049</v>
      </c>
      <c r="G49" s="1261" t="s">
        <v>310</v>
      </c>
      <c r="H49" s="1970" t="s">
        <v>2050</v>
      </c>
      <c r="I49" s="1261"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hidden="1">
      <c r="A50" s="1968" t="s">
        <v>2052</v>
      </c>
      <c r="B50" s="1971" t="str">
        <f>估价对象房地状况!C4</f>
        <v>估价对象位于XX商圈，周边商业氛围成熟，人流量大，商业繁华度好</v>
      </c>
      <c r="C50" s="1885"/>
      <c r="D50" s="1002">
        <f t="shared" ref="D50:D58" si="7">SUMIF($J$49:$N$49,C50,J50:N50)</f>
        <v>0</v>
      </c>
      <c r="E50" s="702">
        <f>ROUND(SUM(D50:D58),4)</f>
        <v>0</v>
      </c>
      <c r="F50" s="1674" t="str">
        <f>IF(E2="商业",SUMIF(L1:L12,G2,N1:N12),"——")</f>
        <v>——</v>
      </c>
      <c r="G50" s="1000"/>
      <c r="H50" s="1003" t="str">
        <f t="shared" ref="H50:H58" si="8">IFERROR(ROUNDDOWN($F$50*I50/2,4),"——")</f>
        <v>——</v>
      </c>
      <c r="I50" s="3067">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hidden="1">
      <c r="A51" s="1968" t="s">
        <v>2053</v>
      </c>
      <c r="B51" s="1261" t="str">
        <f>估价对象房地状况!C18</f>
        <v>估价对象周边道路状况、公共交通通达情况、停车便捷程度，综合评价交通便捷度较好</v>
      </c>
      <c r="C51" s="1885"/>
      <c r="D51" s="1002">
        <f t="shared" si="7"/>
        <v>0</v>
      </c>
      <c r="E51" s="703"/>
      <c r="F51" s="1674"/>
      <c r="G51" s="1000"/>
      <c r="H51" s="1003" t="str">
        <f t="shared" si="8"/>
        <v>——</v>
      </c>
      <c r="I51" s="3067">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hidden="1">
      <c r="A52" s="3069" t="s">
        <v>3272</v>
      </c>
      <c r="B52" s="1261">
        <f>估价对象房地状况!C19</f>
        <v>0</v>
      </c>
      <c r="C52" s="1885"/>
      <c r="D52" s="1002">
        <f t="shared" si="7"/>
        <v>0</v>
      </c>
      <c r="E52" s="703"/>
      <c r="F52" s="1674"/>
      <c r="G52" s="1000"/>
      <c r="H52" s="1003" t="str">
        <f t="shared" si="8"/>
        <v>——</v>
      </c>
      <c r="I52" s="3067">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hidden="1">
      <c r="A53" s="1968" t="s">
        <v>2054</v>
      </c>
      <c r="B53" s="1972" t="s">
        <v>2055</v>
      </c>
      <c r="C53" s="1885"/>
      <c r="D53" s="1002">
        <f t="shared" si="7"/>
        <v>0</v>
      </c>
      <c r="E53" s="703"/>
      <c r="F53" s="1674"/>
      <c r="G53" s="1000"/>
      <c r="H53" s="1003" t="str">
        <f t="shared" si="8"/>
        <v>——</v>
      </c>
      <c r="I53" s="3067">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68" t="s">
        <v>2056</v>
      </c>
      <c r="B54" s="1261">
        <f>估价对象房地状况!C24</f>
        <v>0</v>
      </c>
      <c r="C54" s="1885"/>
      <c r="D54" s="1002">
        <f t="shared" si="7"/>
        <v>0</v>
      </c>
      <c r="E54" s="703"/>
      <c r="F54" s="1674"/>
      <c r="G54" s="1000"/>
      <c r="H54" s="1003" t="str">
        <f t="shared" si="8"/>
        <v>——</v>
      </c>
      <c r="I54" s="3067">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hidden="1">
      <c r="A55" s="1968" t="s">
        <v>2057</v>
      </c>
      <c r="B55" s="1973" t="s">
        <v>2058</v>
      </c>
      <c r="C55" s="1885"/>
      <c r="D55" s="1002">
        <f t="shared" si="7"/>
        <v>0</v>
      </c>
      <c r="E55" s="703"/>
      <c r="F55" s="1674"/>
      <c r="G55" s="1000"/>
      <c r="H55" s="1003" t="str">
        <f t="shared" si="8"/>
        <v>——</v>
      </c>
      <c r="I55" s="3067">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hidden="1">
      <c r="A56" s="1974" t="s">
        <v>2059</v>
      </c>
      <c r="B56" s="1239" t="str">
        <f>估价对象房地状况!C21</f>
        <v>估价对象所在区域公共配套设施齐备情况</v>
      </c>
      <c r="C56" s="1885"/>
      <c r="D56" s="1002">
        <f t="shared" si="7"/>
        <v>0</v>
      </c>
      <c r="E56" s="703"/>
      <c r="F56" s="1674"/>
      <c r="G56" s="1000"/>
      <c r="H56" s="1003" t="str">
        <f t="shared" si="8"/>
        <v>——</v>
      </c>
      <c r="I56" s="3067">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hidden="1">
      <c r="A57" s="1974" t="s">
        <v>2060</v>
      </c>
      <c r="B57" s="1261" t="str">
        <f>估价对象房地状况!C22</f>
        <v>估价对象所在区域基础设施水平</v>
      </c>
      <c r="C57" s="1885"/>
      <c r="D57" s="1002">
        <f t="shared" si="7"/>
        <v>0</v>
      </c>
      <c r="E57" s="703"/>
      <c r="F57" s="1674"/>
      <c r="G57" s="1000"/>
      <c r="H57" s="1003" t="str">
        <f t="shared" si="8"/>
        <v>——</v>
      </c>
      <c r="I57" s="3067">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hidden="1" thickBot="1">
      <c r="A58" s="1975" t="s">
        <v>2061</v>
      </c>
      <c r="B58" s="1976" t="str">
        <f>估价对象房地状况!C20</f>
        <v>区域自然环境：；人文环境；综合评价环境状况一般</v>
      </c>
      <c r="C58" s="1885"/>
      <c r="D58" s="1002">
        <f t="shared" si="7"/>
        <v>0</v>
      </c>
      <c r="E58" s="704"/>
      <c r="F58" s="1674"/>
      <c r="G58" s="1000"/>
      <c r="H58" s="1003" t="str">
        <f t="shared" si="8"/>
        <v>——</v>
      </c>
      <c r="I58" s="3068">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hidden="1">
      <c r="A59" s="1965" t="s">
        <v>2062</v>
      </c>
      <c r="B59" s="1966">
        <f>1+E61</f>
        <v>1</v>
      </c>
      <c r="C59" s="699"/>
      <c r="D59" s="699"/>
      <c r="E59" s="700"/>
      <c r="F59" s="1967"/>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hidden="1">
      <c r="A60" s="1968" t="s">
        <v>2044</v>
      </c>
      <c r="B60" s="1261"/>
      <c r="C60" s="1261" t="s">
        <v>2046</v>
      </c>
      <c r="D60" s="1261" t="s">
        <v>2047</v>
      </c>
      <c r="E60" s="701" t="s">
        <v>2048</v>
      </c>
      <c r="F60" s="1969" t="s">
        <v>2063</v>
      </c>
      <c r="G60" s="1261" t="s">
        <v>310</v>
      </c>
      <c r="H60" s="1970" t="s">
        <v>2050</v>
      </c>
      <c r="I60" s="1261"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hidden="1">
      <c r="A61" s="1968" t="s">
        <v>2064</v>
      </c>
      <c r="B61" s="1971" t="str">
        <f>估价对象房地状况!C17</f>
        <v>估价对象位于XX商圈，周边办公楼项目较多，入驻率高，办公集聚程度较好</v>
      </c>
      <c r="C61" s="1885"/>
      <c r="D61" s="1002">
        <f t="shared" ref="D61:D69" si="12">SUMIF($J$60:$N$60,C61,J61:N61)</f>
        <v>0</v>
      </c>
      <c r="E61" s="702">
        <f>ROUND(SUM(D61:D69),4)</f>
        <v>0</v>
      </c>
      <c r="F61" s="1674"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hidden="1">
      <c r="A62" s="1968" t="s">
        <v>2053</v>
      </c>
      <c r="B62" s="1261" t="str">
        <f>估价对象房地状况!C18</f>
        <v>估价对象周边道路状况、公共交通通达情况、停车便捷程度，综合评价交通便捷度较好</v>
      </c>
      <c r="C62" s="1885"/>
      <c r="D62" s="1002">
        <f t="shared" si="12"/>
        <v>0</v>
      </c>
      <c r="E62" s="703"/>
      <c r="F62" s="1674"/>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hidden="1">
      <c r="A63" s="3069" t="s">
        <v>3272</v>
      </c>
      <c r="B63" s="1261">
        <f>估价对象房地状况!C19</f>
        <v>0</v>
      </c>
      <c r="C63" s="1885"/>
      <c r="D63" s="1002">
        <f t="shared" si="12"/>
        <v>0</v>
      </c>
      <c r="E63" s="703"/>
      <c r="F63" s="1674"/>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hidden="1">
      <c r="A64" s="1968" t="s">
        <v>2054</v>
      </c>
      <c r="B64" s="1972" t="s">
        <v>2055</v>
      </c>
      <c r="C64" s="1885"/>
      <c r="D64" s="1002">
        <f t="shared" si="12"/>
        <v>0</v>
      </c>
      <c r="E64" s="703"/>
      <c r="F64" s="1674"/>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hidden="1">
      <c r="A65" s="1968" t="s">
        <v>2056</v>
      </c>
      <c r="B65" s="1261">
        <f>估价对象房地状况!C24</f>
        <v>0</v>
      </c>
      <c r="C65" s="1885"/>
      <c r="D65" s="1002">
        <f t="shared" si="12"/>
        <v>0</v>
      </c>
      <c r="E65" s="703"/>
      <c r="F65" s="1674"/>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hidden="1">
      <c r="A66" s="1968" t="s">
        <v>2057</v>
      </c>
      <c r="B66" s="1973" t="s">
        <v>2058</v>
      </c>
      <c r="C66" s="1885"/>
      <c r="D66" s="1002">
        <f t="shared" si="12"/>
        <v>0</v>
      </c>
      <c r="E66" s="703"/>
      <c r="F66" s="1674"/>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hidden="1">
      <c r="A67" s="1968" t="s">
        <v>2059</v>
      </c>
      <c r="B67" s="1239" t="str">
        <f>估价对象房地状况!C21</f>
        <v>估价对象所在区域公共配套设施齐备情况</v>
      </c>
      <c r="C67" s="1885"/>
      <c r="D67" s="1002">
        <f t="shared" si="12"/>
        <v>0</v>
      </c>
      <c r="E67" s="703"/>
      <c r="F67" s="1674"/>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hidden="1">
      <c r="A68" s="1968" t="s">
        <v>2060</v>
      </c>
      <c r="B68" s="1239" t="str">
        <f>估价对象房地状况!C22</f>
        <v>估价对象所在区域基础设施水平</v>
      </c>
      <c r="C68" s="1885"/>
      <c r="D68" s="1002">
        <f t="shared" si="12"/>
        <v>0</v>
      </c>
      <c r="E68" s="703"/>
      <c r="F68" s="1674"/>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hidden="1" thickBot="1">
      <c r="A69" s="1975" t="s">
        <v>2061</v>
      </c>
      <c r="B69" s="1977" t="str">
        <f>估价对象房地状况!C20</f>
        <v>区域自然环境：；人文环境；综合评价环境状况一般</v>
      </c>
      <c r="C69" s="1885"/>
      <c r="D69" s="1002">
        <f t="shared" si="12"/>
        <v>0</v>
      </c>
      <c r="E69" s="704"/>
      <c r="F69" s="1674"/>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5" t="s">
        <v>2065</v>
      </c>
      <c r="B70" s="1966">
        <f>1+E72</f>
        <v>1.0418000000000001</v>
      </c>
      <c r="C70" s="699"/>
      <c r="D70" s="699"/>
      <c r="E70" s="700"/>
      <c r="F70" s="1967"/>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8" t="s">
        <v>2044</v>
      </c>
      <c r="B71" s="1261"/>
      <c r="C71" s="1261" t="s">
        <v>2046</v>
      </c>
      <c r="D71" s="1261" t="s">
        <v>2047</v>
      </c>
      <c r="E71" s="701" t="s">
        <v>2048</v>
      </c>
      <c r="F71" s="1969" t="s">
        <v>2063</v>
      </c>
      <c r="G71" s="1261" t="s">
        <v>310</v>
      </c>
      <c r="H71" s="1970" t="s">
        <v>2050</v>
      </c>
      <c r="I71" s="1261"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68" t="s">
        <v>2066</v>
      </c>
      <c r="B72" s="1971" t="str">
        <f>估价对象房地状况!C15</f>
        <v>估价对象周边居住用地比例、居住小区规模和社区发展完善程度，综合评价居住社区成熟度一般</v>
      </c>
      <c r="C72" s="1885" t="s">
        <v>3436</v>
      </c>
      <c r="D72" s="1002">
        <f t="shared" ref="D72:D80" si="17">SUMIF($J$71:$N$71,C72,J72:N72)</f>
        <v>8.0999999999999996E-3</v>
      </c>
      <c r="E72" s="702">
        <f>ROUND(SUM(D72:D80),4)</f>
        <v>4.1799999999999997E-2</v>
      </c>
      <c r="F72" s="1674">
        <f>IF(E2="住宅",SUMIF(L1:L12,G2,N1:N12),"——")</f>
        <v>8.1000000000000003E-2</v>
      </c>
      <c r="G72" s="1000">
        <v>8.0999999999999996E-3</v>
      </c>
      <c r="H72" s="1003">
        <f t="shared" ref="H72:H80" si="18">IFERROR(ROUNDDOWN($F$72*I72/2,4),"——")</f>
        <v>8.0999999999999996E-3</v>
      </c>
      <c r="I72" s="3067">
        <v>0.2</v>
      </c>
      <c r="J72" s="1001">
        <f t="shared" ref="J72:J80" si="19">K72+$G72</f>
        <v>1.6199999999999999E-2</v>
      </c>
      <c r="K72" s="1001">
        <f t="shared" ref="K72:K80" si="20">$L72+$G72</f>
        <v>8.0999999999999996E-3</v>
      </c>
      <c r="L72" s="1001">
        <v>0</v>
      </c>
      <c r="M72" s="1001">
        <f t="shared" ref="M72:N80" si="21">L72-$G72</f>
        <v>-8.0999999999999996E-3</v>
      </c>
      <c r="N72" s="1001">
        <f t="shared" si="21"/>
        <v>-1.6199999999999999E-2</v>
      </c>
      <c r="AA72" s="1057"/>
      <c r="AB72" s="1057"/>
      <c r="AC72" s="1057"/>
      <c r="AD72" s="1057"/>
      <c r="AE72" s="1057"/>
      <c r="AF72" s="1057"/>
      <c r="AG72" s="1057"/>
      <c r="AH72" s="1057"/>
      <c r="AI72" s="1057"/>
      <c r="AJ72" s="1057"/>
      <c r="AK72" s="1057"/>
    </row>
    <row r="73" spans="1:37" s="1056" customFormat="1" ht="38.25">
      <c r="A73" s="1968" t="s">
        <v>2053</v>
      </c>
      <c r="B73" s="1261" t="str">
        <f>估价对象房地状况!C18</f>
        <v>估价对象周边道路状况、公共交通通达情况、停车便捷程度，综合评价交通便捷度较好</v>
      </c>
      <c r="C73" s="1885" t="s">
        <v>3436</v>
      </c>
      <c r="D73" s="1002">
        <f t="shared" si="17"/>
        <v>1.0500000000000001E-2</v>
      </c>
      <c r="E73" s="705"/>
      <c r="F73" s="1674"/>
      <c r="G73" s="1000">
        <v>1.0500000000000001E-2</v>
      </c>
      <c r="H73" s="1003">
        <f t="shared" si="18"/>
        <v>1.0500000000000001E-2</v>
      </c>
      <c r="I73" s="3067">
        <v>0.26</v>
      </c>
      <c r="J73" s="1001">
        <f t="shared" si="19"/>
        <v>2.1000000000000001E-2</v>
      </c>
      <c r="K73" s="1001">
        <f t="shared" si="20"/>
        <v>1.0500000000000001E-2</v>
      </c>
      <c r="L73" s="1001">
        <v>0</v>
      </c>
      <c r="M73" s="1001">
        <f t="shared" si="21"/>
        <v>-1.0500000000000001E-2</v>
      </c>
      <c r="N73" s="1001">
        <f t="shared" si="21"/>
        <v>-2.1000000000000001E-2</v>
      </c>
      <c r="AA73" s="1057"/>
      <c r="AB73" s="1057"/>
      <c r="AC73" s="1057"/>
      <c r="AD73" s="1057"/>
      <c r="AE73" s="1057"/>
      <c r="AF73" s="1057"/>
      <c r="AG73" s="1057"/>
      <c r="AH73" s="1057"/>
      <c r="AI73" s="1057"/>
      <c r="AJ73" s="1057"/>
      <c r="AK73" s="1057"/>
    </row>
    <row r="74" spans="1:37" s="1842" customFormat="1" ht="36">
      <c r="A74" s="3069" t="s">
        <v>3272</v>
      </c>
      <c r="B74" s="1261">
        <f>估价对象房地状况!C19</f>
        <v>0</v>
      </c>
      <c r="C74" s="1885" t="s">
        <v>3436</v>
      </c>
      <c r="D74" s="1002">
        <f t="shared" si="17"/>
        <v>4.0000000000000001E-3</v>
      </c>
      <c r="E74" s="705"/>
      <c r="F74" s="1674"/>
      <c r="G74" s="1000">
        <v>4.0000000000000001E-3</v>
      </c>
      <c r="H74" s="1003">
        <f t="shared" si="18"/>
        <v>4.0000000000000001E-3</v>
      </c>
      <c r="I74" s="3067">
        <v>0.1</v>
      </c>
      <c r="J74" s="1001">
        <f t="shared" si="19"/>
        <v>8.0000000000000002E-3</v>
      </c>
      <c r="K74" s="1001">
        <f t="shared" si="20"/>
        <v>4.0000000000000001E-3</v>
      </c>
      <c r="L74" s="1001">
        <v>0</v>
      </c>
      <c r="M74" s="1001">
        <f t="shared" si="21"/>
        <v>-4.0000000000000001E-3</v>
      </c>
      <c r="N74" s="1001">
        <f t="shared" si="21"/>
        <v>-8.0000000000000002E-3</v>
      </c>
      <c r="O74" s="1056"/>
      <c r="P74" s="1056"/>
      <c r="Q74" s="1056"/>
      <c r="AA74" s="1978"/>
      <c r="AB74" s="1057"/>
      <c r="AC74" s="1057"/>
      <c r="AD74" s="1057"/>
      <c r="AE74" s="1057"/>
      <c r="AF74" s="1057"/>
      <c r="AG74" s="1057"/>
      <c r="AH74" s="1978"/>
      <c r="AI74" s="1978"/>
      <c r="AJ74" s="1978"/>
      <c r="AK74" s="1978"/>
    </row>
    <row r="75" spans="1:37" ht="14.25">
      <c r="A75" s="1968" t="s">
        <v>2067</v>
      </c>
      <c r="B75" s="1261">
        <f>估价对象房地状况!C24</f>
        <v>0</v>
      </c>
      <c r="C75" s="1885" t="s">
        <v>3437</v>
      </c>
      <c r="D75" s="1002">
        <f t="shared" si="17"/>
        <v>0</v>
      </c>
      <c r="E75" s="705"/>
      <c r="F75" s="1674"/>
      <c r="G75" s="1000">
        <v>2E-3</v>
      </c>
      <c r="H75" s="1003">
        <f t="shared" si="18"/>
        <v>2E-3</v>
      </c>
      <c r="I75" s="3067">
        <v>0.05</v>
      </c>
      <c r="J75" s="1001">
        <f t="shared" si="19"/>
        <v>4.0000000000000001E-3</v>
      </c>
      <c r="K75" s="1001">
        <f t="shared" si="20"/>
        <v>2E-3</v>
      </c>
      <c r="L75" s="1001">
        <v>0</v>
      </c>
      <c r="M75" s="1001">
        <f t="shared" si="21"/>
        <v>-2E-3</v>
      </c>
      <c r="N75" s="1001">
        <f t="shared" si="21"/>
        <v>-4.0000000000000001E-3</v>
      </c>
      <c r="O75" s="1056"/>
      <c r="P75" s="1056"/>
      <c r="Q75" s="1842"/>
      <c r="Z75" s="1843"/>
      <c r="AA75" s="1893"/>
      <c r="AG75" s="1058"/>
      <c r="AK75" s="1893"/>
    </row>
    <row r="76" spans="1:37" ht="25.5">
      <c r="A76" s="1968" t="s">
        <v>2059</v>
      </c>
      <c r="B76" s="1239" t="str">
        <f>估价对象房地状况!C21</f>
        <v>估价对象所在区域公共配套设施齐备情况</v>
      </c>
      <c r="C76" s="1885" t="s">
        <v>3436</v>
      </c>
      <c r="D76" s="1002">
        <f t="shared" si="17"/>
        <v>3.2000000000000002E-3</v>
      </c>
      <c r="E76" s="705"/>
      <c r="F76" s="1674"/>
      <c r="G76" s="1000">
        <v>3.2000000000000002E-3</v>
      </c>
      <c r="H76" s="1003">
        <f t="shared" si="18"/>
        <v>3.2000000000000002E-3</v>
      </c>
      <c r="I76" s="3067">
        <v>0.08</v>
      </c>
      <c r="J76" s="1001">
        <f t="shared" si="19"/>
        <v>6.4000000000000003E-3</v>
      </c>
      <c r="K76" s="1001">
        <f t="shared" si="20"/>
        <v>3.2000000000000002E-3</v>
      </c>
      <c r="L76" s="1001">
        <v>0</v>
      </c>
      <c r="M76" s="1001">
        <f t="shared" si="21"/>
        <v>-3.2000000000000002E-3</v>
      </c>
      <c r="N76" s="1001">
        <f t="shared" si="21"/>
        <v>-6.4000000000000003E-3</v>
      </c>
      <c r="O76" s="1056"/>
      <c r="P76" s="1056"/>
      <c r="Z76" s="1843"/>
      <c r="AA76" s="1893"/>
      <c r="AG76" s="1058"/>
      <c r="AK76" s="1893"/>
    </row>
    <row r="77" spans="1:37" ht="25.5">
      <c r="A77" s="1968" t="s">
        <v>2060</v>
      </c>
      <c r="B77" s="1239" t="str">
        <f>估价对象房地状况!C22</f>
        <v>估价对象所在区域基础设施水平</v>
      </c>
      <c r="C77" s="1885" t="s">
        <v>3438</v>
      </c>
      <c r="D77" s="1002">
        <f t="shared" si="17"/>
        <v>7.1999999999999998E-3</v>
      </c>
      <c r="E77" s="705"/>
      <c r="F77" s="1674"/>
      <c r="G77" s="1000">
        <v>3.5999999999999999E-3</v>
      </c>
      <c r="H77" s="1003">
        <f t="shared" si="18"/>
        <v>3.5999999999999999E-3</v>
      </c>
      <c r="I77" s="3067">
        <v>0.09</v>
      </c>
      <c r="J77" s="1001">
        <f t="shared" si="19"/>
        <v>7.1999999999999998E-3</v>
      </c>
      <c r="K77" s="1001">
        <f t="shared" si="20"/>
        <v>3.5999999999999999E-3</v>
      </c>
      <c r="L77" s="1001">
        <v>0</v>
      </c>
      <c r="M77" s="1001">
        <f t="shared" si="21"/>
        <v>-3.5999999999999999E-3</v>
      </c>
      <c r="N77" s="1001">
        <f t="shared" si="21"/>
        <v>-7.1999999999999998E-3</v>
      </c>
      <c r="O77" s="1056"/>
      <c r="P77" s="1056"/>
      <c r="Z77" s="1843"/>
      <c r="AA77" s="1893"/>
      <c r="AG77" s="1058"/>
      <c r="AK77" s="1893"/>
    </row>
    <row r="78" spans="1:37" ht="24">
      <c r="A78" s="1968" t="s">
        <v>2057</v>
      </c>
      <c r="B78" s="1973" t="s">
        <v>2058</v>
      </c>
      <c r="C78" s="1885" t="s">
        <v>3436</v>
      </c>
      <c r="D78" s="1002">
        <f t="shared" si="17"/>
        <v>2E-3</v>
      </c>
      <c r="E78" s="705"/>
      <c r="F78" s="1674"/>
      <c r="G78" s="1000">
        <v>2E-3</v>
      </c>
      <c r="H78" s="1003">
        <f t="shared" si="18"/>
        <v>2E-3</v>
      </c>
      <c r="I78" s="3067">
        <v>0.05</v>
      </c>
      <c r="J78" s="1001">
        <f t="shared" si="19"/>
        <v>4.0000000000000001E-3</v>
      </c>
      <c r="K78" s="1001">
        <f t="shared" si="20"/>
        <v>2E-3</v>
      </c>
      <c r="L78" s="1001">
        <v>0</v>
      </c>
      <c r="M78" s="1001">
        <f t="shared" si="21"/>
        <v>-2E-3</v>
      </c>
      <c r="N78" s="1001">
        <f t="shared" si="21"/>
        <v>-4.0000000000000001E-3</v>
      </c>
      <c r="O78" s="1842"/>
      <c r="P78" s="1842"/>
      <c r="Z78" s="1843"/>
      <c r="AA78" s="1893"/>
      <c r="AG78" s="1058"/>
      <c r="AK78" s="1893"/>
    </row>
    <row r="79" spans="1:37" ht="25.5">
      <c r="A79" s="1968" t="s">
        <v>2061</v>
      </c>
      <c r="B79" s="1971" t="str">
        <f>估价对象房地状况!C20</f>
        <v>区域自然环境：；人文环境；综合评价环境状况一般</v>
      </c>
      <c r="C79" s="1885" t="s">
        <v>3436</v>
      </c>
      <c r="D79" s="1002">
        <f t="shared" si="17"/>
        <v>4.7999999999999996E-3</v>
      </c>
      <c r="E79" s="705"/>
      <c r="F79" s="1674"/>
      <c r="G79" s="1000">
        <v>4.7999999999999996E-3</v>
      </c>
      <c r="H79" s="1003">
        <f t="shared" si="18"/>
        <v>4.7999999999999996E-3</v>
      </c>
      <c r="I79" s="3067">
        <v>0.12</v>
      </c>
      <c r="J79" s="1001">
        <f t="shared" si="19"/>
        <v>9.5999999999999992E-3</v>
      </c>
      <c r="K79" s="1001">
        <f t="shared" si="20"/>
        <v>4.7999999999999996E-3</v>
      </c>
      <c r="L79" s="1001">
        <v>0</v>
      </c>
      <c r="M79" s="1001">
        <f t="shared" si="21"/>
        <v>-4.7999999999999996E-3</v>
      </c>
      <c r="N79" s="1001">
        <f t="shared" si="21"/>
        <v>-9.5999999999999992E-3</v>
      </c>
      <c r="Z79" s="1843"/>
      <c r="AA79" s="1893"/>
      <c r="AG79" s="1058"/>
      <c r="AK79" s="1893"/>
    </row>
    <row r="80" spans="1:37" ht="24.75" thickBot="1">
      <c r="A80" s="1975" t="s">
        <v>2068</v>
      </c>
      <c r="B80" s="1979"/>
      <c r="C80" s="1885" t="s">
        <v>3436</v>
      </c>
      <c r="D80" s="1002">
        <f t="shared" si="17"/>
        <v>2E-3</v>
      </c>
      <c r="E80" s="706"/>
      <c r="F80" s="1674"/>
      <c r="G80" s="1000">
        <v>2E-3</v>
      </c>
      <c r="H80" s="1003">
        <f t="shared" si="18"/>
        <v>2E-3</v>
      </c>
      <c r="I80" s="3068">
        <v>0.05</v>
      </c>
      <c r="J80" s="1001">
        <f t="shared" si="19"/>
        <v>4.0000000000000001E-3</v>
      </c>
      <c r="K80" s="1001">
        <f t="shared" si="20"/>
        <v>2E-3</v>
      </c>
      <c r="L80" s="1001">
        <v>0</v>
      </c>
      <c r="M80" s="1001">
        <f t="shared" si="21"/>
        <v>-2E-3</v>
      </c>
      <c r="N80" s="1001">
        <f t="shared" si="21"/>
        <v>-4.0000000000000001E-3</v>
      </c>
      <c r="Z80" s="1843"/>
      <c r="AA80" s="1893"/>
      <c r="AG80" s="1058"/>
      <c r="AK80" s="1893"/>
    </row>
    <row r="81" spans="1:37" ht="15">
      <c r="A81" s="1965" t="s">
        <v>2069</v>
      </c>
      <c r="B81" s="1966">
        <f>1+E83</f>
        <v>1</v>
      </c>
      <c r="C81" s="699"/>
      <c r="D81" s="699"/>
      <c r="E81" s="700"/>
      <c r="F81" s="1967"/>
      <c r="G81" s="3"/>
      <c r="H81" s="3"/>
      <c r="I81" s="3"/>
      <c r="J81" s="4"/>
      <c r="K81" s="4"/>
      <c r="L81" s="4"/>
      <c r="M81" s="4"/>
      <c r="N81" s="4"/>
      <c r="Z81" s="1843"/>
      <c r="AA81" s="1893"/>
      <c r="AG81" s="1058"/>
      <c r="AK81" s="1893"/>
    </row>
    <row r="82" spans="1:37" ht="24.75">
      <c r="A82" s="1968" t="s">
        <v>2044</v>
      </c>
      <c r="B82" s="1261"/>
      <c r="C82" s="1261" t="s">
        <v>2046</v>
      </c>
      <c r="D82" s="1261" t="s">
        <v>2047</v>
      </c>
      <c r="E82" s="701" t="s">
        <v>2048</v>
      </c>
      <c r="F82" s="1969" t="s">
        <v>2063</v>
      </c>
      <c r="G82" s="1261" t="s">
        <v>310</v>
      </c>
      <c r="H82" s="1970" t="s">
        <v>2050</v>
      </c>
      <c r="I82" s="1261" t="s">
        <v>2051</v>
      </c>
      <c r="J82" s="530" t="s">
        <v>1721</v>
      </c>
      <c r="K82" s="530" t="s">
        <v>1722</v>
      </c>
      <c r="L82" s="530" t="s">
        <v>1723</v>
      </c>
      <c r="M82" s="530" t="s">
        <v>1724</v>
      </c>
      <c r="N82" s="530" t="s">
        <v>1725</v>
      </c>
      <c r="Z82" s="1843"/>
      <c r="AA82" s="1893"/>
      <c r="AG82" s="1058"/>
      <c r="AK82" s="1893"/>
    </row>
    <row r="83" spans="1:37" ht="38.25">
      <c r="A83" s="1968" t="s">
        <v>2070</v>
      </c>
      <c r="B83" s="1261" t="str">
        <f>估价对象房地状况!G15</f>
        <v>估价对象位于XX开发区，园区建设成熟度XX，产业集聚程度XX</v>
      </c>
      <c r="C83" s="1885"/>
      <c r="D83" s="1002">
        <f t="shared" ref="D83:D90" si="22">SUMIF($J$82:$N$82,C83,J83:N83)</f>
        <v>0</v>
      </c>
      <c r="E83" s="702">
        <f>ROUND(SUM(D83:D90),4)</f>
        <v>0</v>
      </c>
      <c r="F83" s="1674"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3"/>
      <c r="AA83" s="1893"/>
      <c r="AG83" s="1058"/>
      <c r="AK83" s="1893"/>
    </row>
    <row r="84" spans="1:37" ht="38.25">
      <c r="A84" s="1968" t="s">
        <v>2053</v>
      </c>
      <c r="B84" s="1261" t="str">
        <f>估价对象房地状况!G16</f>
        <v>估价对象周边道路状况、公共交通通达情况、停车便捷程度，综合评价交通便捷度较好</v>
      </c>
      <c r="C84" s="1885"/>
      <c r="D84" s="1002">
        <f t="shared" si="22"/>
        <v>0</v>
      </c>
      <c r="E84" s="705"/>
      <c r="F84" s="1674"/>
      <c r="G84" s="1000"/>
      <c r="H84" s="1003" t="str">
        <f t="shared" si="23"/>
        <v>——</v>
      </c>
      <c r="I84" s="3067">
        <v>0.3</v>
      </c>
      <c r="J84" s="1001">
        <f t="shared" si="24"/>
        <v>0</v>
      </c>
      <c r="K84" s="1001">
        <f t="shared" si="25"/>
        <v>0</v>
      </c>
      <c r="L84" s="1001">
        <v>0</v>
      </c>
      <c r="M84" s="1001">
        <f t="shared" si="26"/>
        <v>0</v>
      </c>
      <c r="N84" s="1001">
        <f t="shared" si="26"/>
        <v>0</v>
      </c>
      <c r="Z84" s="1843"/>
      <c r="AA84" s="1893"/>
      <c r="AG84" s="1058"/>
      <c r="AK84" s="1893"/>
    </row>
    <row r="85" spans="1:37" ht="36">
      <c r="A85" s="3069" t="s">
        <v>3273</v>
      </c>
      <c r="B85" s="1261">
        <f>估价对象房地状况!G17</f>
        <v>0</v>
      </c>
      <c r="C85" s="1885"/>
      <c r="D85" s="1002">
        <f t="shared" si="22"/>
        <v>0</v>
      </c>
      <c r="E85" s="705"/>
      <c r="F85" s="1674"/>
      <c r="G85" s="1000"/>
      <c r="H85" s="1003" t="str">
        <f t="shared" si="23"/>
        <v>——</v>
      </c>
      <c r="I85" s="3067">
        <v>0.1</v>
      </c>
      <c r="J85" s="1001">
        <f t="shared" si="24"/>
        <v>0</v>
      </c>
      <c r="K85" s="1001">
        <f t="shared" si="25"/>
        <v>0</v>
      </c>
      <c r="L85" s="1001">
        <v>0</v>
      </c>
      <c r="M85" s="1001">
        <f t="shared" si="26"/>
        <v>0</v>
      </c>
      <c r="N85" s="1001">
        <f t="shared" si="26"/>
        <v>0</v>
      </c>
      <c r="Z85" s="1843"/>
      <c r="AA85" s="1893"/>
      <c r="AG85" s="1058"/>
      <c r="AK85" s="1893"/>
    </row>
    <row r="86" spans="1:37" ht="14.25">
      <c r="A86" s="1968" t="s">
        <v>2067</v>
      </c>
      <c r="B86" s="1261">
        <f>估价对象房地状况!G22</f>
        <v>0</v>
      </c>
      <c r="C86" s="1885"/>
      <c r="D86" s="1002">
        <f t="shared" si="22"/>
        <v>0</v>
      </c>
      <c r="E86" s="705"/>
      <c r="F86" s="1674"/>
      <c r="G86" s="1000"/>
      <c r="H86" s="1003" t="str">
        <f t="shared" si="23"/>
        <v>——</v>
      </c>
      <c r="I86" s="3067">
        <v>0.05</v>
      </c>
      <c r="J86" s="1001">
        <f t="shared" si="24"/>
        <v>0</v>
      </c>
      <c r="K86" s="1001">
        <f t="shared" si="25"/>
        <v>0</v>
      </c>
      <c r="L86" s="1001">
        <v>0</v>
      </c>
      <c r="M86" s="1001">
        <f t="shared" si="26"/>
        <v>0</v>
      </c>
      <c r="N86" s="1001">
        <f t="shared" si="26"/>
        <v>0</v>
      </c>
      <c r="Z86" s="1843"/>
      <c r="AA86" s="1893"/>
      <c r="AG86" s="1058"/>
      <c r="AK86" s="1893"/>
    </row>
    <row r="87" spans="1:37" ht="25.5">
      <c r="A87" s="1968" t="s">
        <v>2059</v>
      </c>
      <c r="B87" s="1239" t="str">
        <f>估价对象房地状况!G19</f>
        <v>估价对象所在区域公共配套设施齐备情况</v>
      </c>
      <c r="C87" s="1885"/>
      <c r="D87" s="1002">
        <f t="shared" si="22"/>
        <v>0</v>
      </c>
      <c r="E87" s="705"/>
      <c r="F87" s="1674"/>
      <c r="G87" s="1000"/>
      <c r="H87" s="1003" t="str">
        <f t="shared" si="23"/>
        <v>——</v>
      </c>
      <c r="I87" s="3067">
        <v>0.06</v>
      </c>
      <c r="J87" s="1001">
        <f t="shared" si="24"/>
        <v>0</v>
      </c>
      <c r="K87" s="1001">
        <f t="shared" si="25"/>
        <v>0</v>
      </c>
      <c r="L87" s="1001">
        <v>0</v>
      </c>
      <c r="M87" s="1001">
        <f t="shared" si="26"/>
        <v>0</v>
      </c>
      <c r="N87" s="1001">
        <f t="shared" si="26"/>
        <v>0</v>
      </c>
    </row>
    <row r="88" spans="1:37" ht="25.5">
      <c r="A88" s="1968" t="s">
        <v>2060</v>
      </c>
      <c r="B88" s="1239" t="str">
        <f>估价对象房地状况!G20</f>
        <v>估价对象所在区域基础设施水平</v>
      </c>
      <c r="C88" s="1885"/>
      <c r="D88" s="1002">
        <f t="shared" si="22"/>
        <v>0</v>
      </c>
      <c r="E88" s="705"/>
      <c r="F88" s="1674"/>
      <c r="G88" s="1000"/>
      <c r="H88" s="1003" t="str">
        <f t="shared" si="23"/>
        <v>——</v>
      </c>
      <c r="I88" s="3067">
        <v>0.12</v>
      </c>
      <c r="J88" s="1001">
        <f t="shared" si="24"/>
        <v>0</v>
      </c>
      <c r="K88" s="1001">
        <f t="shared" si="25"/>
        <v>0</v>
      </c>
      <c r="L88" s="1001">
        <v>0</v>
      </c>
      <c r="M88" s="1001">
        <f t="shared" si="26"/>
        <v>0</v>
      </c>
      <c r="N88" s="1001">
        <f t="shared" si="26"/>
        <v>0</v>
      </c>
    </row>
    <row r="89" spans="1:37" ht="24">
      <c r="A89" s="1968" t="s">
        <v>2057</v>
      </c>
      <c r="B89" s="1973" t="s">
        <v>2071</v>
      </c>
      <c r="C89" s="1885"/>
      <c r="D89" s="1002">
        <f t="shared" si="22"/>
        <v>0</v>
      </c>
      <c r="E89" s="705"/>
      <c r="F89" s="1674"/>
      <c r="G89" s="1000"/>
      <c r="H89" s="1003" t="str">
        <f t="shared" si="23"/>
        <v>——</v>
      </c>
      <c r="I89" s="3067">
        <v>0.06</v>
      </c>
      <c r="J89" s="1001">
        <f t="shared" si="24"/>
        <v>0</v>
      </c>
      <c r="K89" s="1001">
        <f t="shared" si="25"/>
        <v>0</v>
      </c>
      <c r="L89" s="1001">
        <v>0</v>
      </c>
      <c r="M89" s="1001">
        <f t="shared" si="26"/>
        <v>0</v>
      </c>
      <c r="N89" s="1001">
        <f t="shared" si="26"/>
        <v>0</v>
      </c>
    </row>
    <row r="90" spans="1:37" ht="39" thickBot="1">
      <c r="A90" s="1975" t="s">
        <v>2072</v>
      </c>
      <c r="B90" s="1980" t="str">
        <f>估价对象房地状况!G18</f>
        <v>该园区内是否有污染型企业，绿化情况，卫生条件，整体环境状况判断</v>
      </c>
      <c r="C90" s="1885"/>
      <c r="D90" s="1002">
        <f t="shared" si="22"/>
        <v>0</v>
      </c>
      <c r="E90" s="706"/>
      <c r="F90" s="1674"/>
      <c r="G90" s="1000"/>
      <c r="H90" s="1003" t="str">
        <f t="shared" si="23"/>
        <v>——</v>
      </c>
      <c r="I90" s="3068">
        <v>0.05</v>
      </c>
      <c r="J90" s="1001">
        <f t="shared" si="24"/>
        <v>0</v>
      </c>
      <c r="K90" s="1001">
        <f t="shared" si="25"/>
        <v>0</v>
      </c>
      <c r="L90" s="1001">
        <v>0</v>
      </c>
      <c r="M90" s="1001">
        <f t="shared" si="26"/>
        <v>0</v>
      </c>
      <c r="N90" s="1001">
        <f t="shared" si="26"/>
        <v>0</v>
      </c>
    </row>
    <row r="91" spans="1:37" ht="15">
      <c r="A91" s="3077" t="s">
        <v>2615</v>
      </c>
      <c r="B91" s="3078">
        <f>1+E93</f>
        <v>1</v>
      </c>
      <c r="C91" s="3071"/>
      <c r="D91" s="3072"/>
      <c r="E91" s="1674"/>
      <c r="F91" s="1674"/>
      <c r="G91" s="3073"/>
      <c r="H91" s="3074"/>
      <c r="I91" s="3075"/>
      <c r="J91" s="3076"/>
      <c r="K91" s="3076"/>
      <c r="L91" s="3076"/>
      <c r="M91" s="3076"/>
      <c r="N91" s="3076"/>
    </row>
    <row r="92" spans="1:37" ht="24.75">
      <c r="A92" s="3079" t="s">
        <v>3274</v>
      </c>
      <c r="B92" s="2308"/>
      <c r="C92" s="2308" t="s">
        <v>3283</v>
      </c>
      <c r="D92" s="2308" t="s">
        <v>3284</v>
      </c>
      <c r="E92" s="3051" t="s">
        <v>3285</v>
      </c>
      <c r="F92" s="3081" t="s">
        <v>3286</v>
      </c>
      <c r="G92" s="2308" t="s">
        <v>3287</v>
      </c>
      <c r="H92" s="3088" t="s">
        <v>3290</v>
      </c>
      <c r="I92" s="2308" t="s">
        <v>3291</v>
      </c>
      <c r="J92" s="2148" t="s">
        <v>3292</v>
      </c>
      <c r="K92" s="2148" t="s">
        <v>3293</v>
      </c>
      <c r="L92" s="2148" t="s">
        <v>3294</v>
      </c>
      <c r="M92" s="2148" t="s">
        <v>3295</v>
      </c>
      <c r="N92" s="2148" t="s">
        <v>3296</v>
      </c>
    </row>
    <row r="93" spans="1:37" ht="24">
      <c r="A93" s="3069" t="s">
        <v>3275</v>
      </c>
      <c r="B93" s="1220"/>
      <c r="C93" s="1885"/>
      <c r="D93" s="2308">
        <f>SUMIF($J$92:$N$92,C93,J93:N93)</f>
        <v>0</v>
      </c>
      <c r="E93" s="3082">
        <f>ROUND(SUM(D93:D101),4)</f>
        <v>0</v>
      </c>
      <c r="F93" s="1674" t="str">
        <f>IF(E2="公共服务",SUMIF(L1:L12,G2,N1:N12),"——")</f>
        <v>——</v>
      </c>
      <c r="G93" s="3073"/>
      <c r="H93" s="3118" t="str">
        <f>IFERROR(ROUNDDOWN($F$93*I93/2,4),"——")</f>
        <v>——</v>
      </c>
      <c r="I93" s="3067">
        <v>0.25</v>
      </c>
      <c r="J93" s="1910">
        <f t="shared" ref="J93:J101" si="27">K93+$G93</f>
        <v>0</v>
      </c>
      <c r="K93" s="1910">
        <f t="shared" ref="K93:K101" si="28">$L93+$G93</f>
        <v>0</v>
      </c>
      <c r="L93" s="1910">
        <v>0</v>
      </c>
      <c r="M93" s="1910">
        <f t="shared" ref="M93:N101" si="29">L93-$G93</f>
        <v>0</v>
      </c>
      <c r="N93" s="1910">
        <f t="shared" si="29"/>
        <v>0</v>
      </c>
    </row>
    <row r="94" spans="1:37" ht="38.25">
      <c r="A94" s="3079" t="s">
        <v>3276</v>
      </c>
      <c r="B94" s="3070" t="str">
        <f>估价对象房地状况!C18</f>
        <v>估价对象周边道路状况、公共交通通达情况、停车便捷程度，综合评价交通便捷度较好</v>
      </c>
      <c r="C94" s="1885"/>
      <c r="D94" s="2308">
        <f t="shared" ref="D94:D101" si="30">SUMIF($J$60:$N$60,C94,J94:N94)</f>
        <v>0</v>
      </c>
      <c r="E94" s="3083"/>
      <c r="F94" s="1674"/>
      <c r="G94" s="3073"/>
      <c r="H94" s="3118" t="str">
        <f>IFERROR(ROUNDDOWN($F$93*I94/2,4),"——")</f>
        <v>——</v>
      </c>
      <c r="I94" s="3067">
        <v>0.26</v>
      </c>
      <c r="J94" s="1910">
        <f t="shared" si="27"/>
        <v>0</v>
      </c>
      <c r="K94" s="1910">
        <f t="shared" si="28"/>
        <v>0</v>
      </c>
      <c r="L94" s="1910">
        <v>0</v>
      </c>
      <c r="M94" s="1910">
        <f t="shared" si="29"/>
        <v>0</v>
      </c>
      <c r="N94" s="1910">
        <f t="shared" si="29"/>
        <v>0</v>
      </c>
    </row>
    <row r="95" spans="1:37" ht="36">
      <c r="A95" s="3069" t="s">
        <v>3272</v>
      </c>
      <c r="B95" s="3070">
        <f>估价对象房地状况!C19</f>
        <v>0</v>
      </c>
      <c r="C95" s="1885"/>
      <c r="D95" s="2308">
        <f t="shared" si="30"/>
        <v>0</v>
      </c>
      <c r="E95" s="3083"/>
      <c r="F95" s="1674"/>
      <c r="G95" s="3073"/>
      <c r="H95" s="3118" t="str">
        <f t="shared" ref="H95:H101" si="31">IFERROR(ROUNDDOWN($F$93*I95/2,4),"——")</f>
        <v>——</v>
      </c>
      <c r="I95" s="3067">
        <v>0.11</v>
      </c>
      <c r="J95" s="1910">
        <f t="shared" si="27"/>
        <v>0</v>
      </c>
      <c r="K95" s="1910">
        <f t="shared" si="28"/>
        <v>0</v>
      </c>
      <c r="L95" s="1910">
        <v>0</v>
      </c>
      <c r="M95" s="1910">
        <f t="shared" si="29"/>
        <v>0</v>
      </c>
      <c r="N95" s="1910">
        <f t="shared" si="29"/>
        <v>0</v>
      </c>
    </row>
    <row r="96" spans="1:37" ht="36.75">
      <c r="A96" s="3079" t="s">
        <v>3277</v>
      </c>
      <c r="B96" s="3085" t="s">
        <v>3288</v>
      </c>
      <c r="C96" s="1885"/>
      <c r="D96" s="2308">
        <f t="shared" si="30"/>
        <v>0</v>
      </c>
      <c r="E96" s="3083"/>
      <c r="F96" s="1674"/>
      <c r="G96" s="3073"/>
      <c r="H96" s="3118" t="str">
        <f t="shared" si="31"/>
        <v>——</v>
      </c>
      <c r="I96" s="3067">
        <v>0.05</v>
      </c>
      <c r="J96" s="1910">
        <f t="shared" si="27"/>
        <v>0</v>
      </c>
      <c r="K96" s="1910">
        <f t="shared" si="28"/>
        <v>0</v>
      </c>
      <c r="L96" s="1910">
        <v>0</v>
      </c>
      <c r="M96" s="1910">
        <f t="shared" si="29"/>
        <v>0</v>
      </c>
      <c r="N96" s="1910">
        <f t="shared" si="29"/>
        <v>0</v>
      </c>
    </row>
    <row r="97" spans="1:14" ht="24">
      <c r="A97" s="3079" t="s">
        <v>3278</v>
      </c>
      <c r="B97" s="3070">
        <f>估价对象房地状况!C24</f>
        <v>0</v>
      </c>
      <c r="C97" s="1885"/>
      <c r="D97" s="2308">
        <f t="shared" si="30"/>
        <v>0</v>
      </c>
      <c r="E97" s="3083"/>
      <c r="F97" s="1674"/>
      <c r="G97" s="3073"/>
      <c r="H97" s="3118" t="str">
        <f t="shared" si="31"/>
        <v>——</v>
      </c>
      <c r="I97" s="3067">
        <v>0.05</v>
      </c>
      <c r="J97" s="1910">
        <f t="shared" si="27"/>
        <v>0</v>
      </c>
      <c r="K97" s="1910">
        <f t="shared" si="28"/>
        <v>0</v>
      </c>
      <c r="L97" s="1910">
        <v>0</v>
      </c>
      <c r="M97" s="1910">
        <f t="shared" si="29"/>
        <v>0</v>
      </c>
      <c r="N97" s="1910">
        <f t="shared" si="29"/>
        <v>0</v>
      </c>
    </row>
    <row r="98" spans="1:14" ht="24">
      <c r="A98" s="3079" t="s">
        <v>3279</v>
      </c>
      <c r="B98" s="3086" t="s">
        <v>3289</v>
      </c>
      <c r="C98" s="1885"/>
      <c r="D98" s="2308">
        <f t="shared" si="30"/>
        <v>0</v>
      </c>
      <c r="E98" s="3083"/>
      <c r="F98" s="1674"/>
      <c r="G98" s="3073"/>
      <c r="H98" s="3118" t="str">
        <f t="shared" si="31"/>
        <v>——</v>
      </c>
      <c r="I98" s="3067">
        <v>0.06</v>
      </c>
      <c r="J98" s="1910">
        <f t="shared" si="27"/>
        <v>0</v>
      </c>
      <c r="K98" s="1910">
        <f t="shared" si="28"/>
        <v>0</v>
      </c>
      <c r="L98" s="1910">
        <v>0</v>
      </c>
      <c r="M98" s="1910">
        <f t="shared" si="29"/>
        <v>0</v>
      </c>
      <c r="N98" s="1910">
        <f t="shared" si="29"/>
        <v>0</v>
      </c>
    </row>
    <row r="99" spans="1:14" ht="25.5">
      <c r="A99" s="3079" t="s">
        <v>3280</v>
      </c>
      <c r="B99" s="3070" t="str">
        <f>估价对象房地状况!C21</f>
        <v>估价对象所在区域公共配套设施齐备情况</v>
      </c>
      <c r="C99" s="1885"/>
      <c r="D99" s="2308">
        <f t="shared" si="30"/>
        <v>0</v>
      </c>
      <c r="E99" s="3083"/>
      <c r="F99" s="1674"/>
      <c r="G99" s="3073"/>
      <c r="H99" s="3118" t="str">
        <f t="shared" si="31"/>
        <v>——</v>
      </c>
      <c r="I99" s="3067">
        <v>0.06</v>
      </c>
      <c r="J99" s="1910">
        <f t="shared" si="27"/>
        <v>0</v>
      </c>
      <c r="K99" s="1910">
        <f t="shared" si="28"/>
        <v>0</v>
      </c>
      <c r="L99" s="1910">
        <v>0</v>
      </c>
      <c r="M99" s="1910">
        <f t="shared" si="29"/>
        <v>0</v>
      </c>
      <c r="N99" s="1910">
        <f t="shared" si="29"/>
        <v>0</v>
      </c>
    </row>
    <row r="100" spans="1:14" ht="25.5">
      <c r="A100" s="3079" t="s">
        <v>3281</v>
      </c>
      <c r="B100" s="3070" t="str">
        <f>估价对象房地状况!C22</f>
        <v>估价对象所在区域基础设施水平</v>
      </c>
      <c r="C100" s="1885"/>
      <c r="D100" s="2308">
        <f t="shared" si="30"/>
        <v>0</v>
      </c>
      <c r="E100" s="3083"/>
      <c r="F100" s="1674"/>
      <c r="G100" s="3073"/>
      <c r="H100" s="3118" t="str">
        <f t="shared" si="31"/>
        <v>——</v>
      </c>
      <c r="I100" s="3067">
        <v>0.09</v>
      </c>
      <c r="J100" s="1910">
        <f t="shared" si="27"/>
        <v>0</v>
      </c>
      <c r="K100" s="1910">
        <f t="shared" si="28"/>
        <v>0</v>
      </c>
      <c r="L100" s="1910">
        <v>0</v>
      </c>
      <c r="M100" s="1910">
        <f t="shared" si="29"/>
        <v>0</v>
      </c>
      <c r="N100" s="1910">
        <f t="shared" si="29"/>
        <v>0</v>
      </c>
    </row>
    <row r="101" spans="1:14" ht="26.25" thickBot="1">
      <c r="A101" s="3080" t="s">
        <v>3282</v>
      </c>
      <c r="B101" s="3087" t="str">
        <f>估价对象房地状况!C20</f>
        <v>区域自然环境：；人文环境；综合评价环境状况一般</v>
      </c>
      <c r="C101" s="1885"/>
      <c r="D101" s="2308">
        <f t="shared" si="30"/>
        <v>0</v>
      </c>
      <c r="E101" s="3084"/>
      <c r="F101" s="1674"/>
      <c r="G101" s="3073"/>
      <c r="H101" s="3118" t="str">
        <f t="shared" si="31"/>
        <v>——</v>
      </c>
      <c r="I101" s="3068">
        <v>7.0000000000000007E-2</v>
      </c>
      <c r="J101" s="1910">
        <f t="shared" si="27"/>
        <v>0</v>
      </c>
      <c r="K101" s="1910">
        <f t="shared" si="28"/>
        <v>0</v>
      </c>
      <c r="L101" s="1910">
        <v>0</v>
      </c>
      <c r="M101" s="1910">
        <f t="shared" si="29"/>
        <v>0</v>
      </c>
      <c r="N101" s="1910">
        <f t="shared" si="29"/>
        <v>0</v>
      </c>
    </row>
    <row r="103" spans="1:14">
      <c r="A103" s="3467" t="s">
        <v>3297</v>
      </c>
      <c r="B103" s="3467"/>
      <c r="C103" s="3467"/>
      <c r="D103" s="3467"/>
      <c r="E103" s="3467"/>
      <c r="F103" s="3467"/>
      <c r="G103" s="3467"/>
      <c r="H103" s="3467"/>
      <c r="I103" s="3467"/>
      <c r="J103" s="3467"/>
      <c r="K103" s="1666"/>
      <c r="L103" s="1666"/>
      <c r="M103" s="1666"/>
      <c r="N103" s="1666"/>
    </row>
    <row r="104" spans="1:14">
      <c r="A104" s="3468" t="s">
        <v>3298</v>
      </c>
      <c r="B104" s="3468" t="s">
        <v>3299</v>
      </c>
      <c r="C104" s="3089" t="s">
        <v>3300</v>
      </c>
      <c r="D104" s="3090"/>
      <c r="E104" s="3090"/>
      <c r="F104" s="3090"/>
      <c r="G104" s="3090"/>
      <c r="H104" s="3090"/>
      <c r="I104" s="3090"/>
      <c r="J104" s="3091"/>
      <c r="K104" s="3092"/>
      <c r="L104" s="3092"/>
      <c r="M104" s="3092"/>
      <c r="N104" s="3092"/>
    </row>
    <row r="105" spans="1:14">
      <c r="A105" s="3468"/>
      <c r="B105" s="3468"/>
      <c r="C105" s="3093" t="s">
        <v>3301</v>
      </c>
      <c r="D105" s="3093" t="s">
        <v>3302</v>
      </c>
      <c r="E105" s="3093" t="s">
        <v>3303</v>
      </c>
      <c r="F105" s="3093" t="s">
        <v>3304</v>
      </c>
      <c r="G105" s="3093" t="s">
        <v>3305</v>
      </c>
      <c r="H105" s="3093" t="s">
        <v>3306</v>
      </c>
      <c r="I105" s="3093" t="s">
        <v>3307</v>
      </c>
      <c r="J105" s="3093" t="s">
        <v>3308</v>
      </c>
      <c r="K105" s="3093" t="s">
        <v>3309</v>
      </c>
      <c r="L105" s="3093" t="s">
        <v>3310</v>
      </c>
      <c r="M105" s="3093" t="s">
        <v>3311</v>
      </c>
      <c r="N105" s="3093" t="s">
        <v>3312</v>
      </c>
    </row>
    <row r="106" spans="1:14">
      <c r="A106" s="3454" t="s">
        <v>3313</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5"/>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5"/>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5"/>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5"/>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5"/>
      <c r="B111" s="3093" t="s">
        <v>3271</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56"/>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57" t="s">
        <v>3314</v>
      </c>
      <c r="B113" s="3457"/>
      <c r="C113" s="3457"/>
      <c r="D113" s="3457"/>
      <c r="E113" s="3457"/>
      <c r="F113" s="3457"/>
      <c r="G113" s="3457"/>
      <c r="H113" s="3457"/>
      <c r="I113" s="3457"/>
      <c r="J113" s="3457"/>
      <c r="K113" s="3095"/>
      <c r="L113" s="3095"/>
      <c r="M113" s="3095"/>
      <c r="N113" s="3095"/>
    </row>
    <row r="114" spans="1:14">
      <c r="A114" s="3096"/>
      <c r="B114" s="3096"/>
      <c r="C114" s="3096"/>
      <c r="D114" s="3096"/>
      <c r="E114" s="3096"/>
      <c r="F114" s="3096"/>
      <c r="G114" s="3096"/>
      <c r="H114" s="3096"/>
      <c r="I114" s="3096"/>
      <c r="J114" s="3096"/>
      <c r="K114" s="1962"/>
      <c r="L114" s="3096"/>
      <c r="M114" s="3096"/>
      <c r="N114" s="3096"/>
    </row>
    <row r="115" spans="1:14" ht="13.5" thickBot="1">
      <c r="A115" s="3096"/>
      <c r="B115" s="3096"/>
      <c r="C115" s="3096"/>
      <c r="D115" s="3096"/>
      <c r="E115" s="3096"/>
      <c r="F115" s="3096"/>
      <c r="G115" s="3096"/>
      <c r="H115" s="3096"/>
      <c r="I115" s="3096"/>
      <c r="J115" s="3096"/>
      <c r="K115" s="1962"/>
      <c r="L115" s="3096"/>
      <c r="M115" s="3096"/>
      <c r="N115" s="3096"/>
    </row>
    <row r="116" spans="1:14" ht="25.5" thickBot="1">
      <c r="A116" s="3097" t="s">
        <v>3315</v>
      </c>
      <c r="B116" s="3113">
        <f>G3</f>
        <v>3</v>
      </c>
      <c r="C116" s="3098" t="s">
        <v>3316</v>
      </c>
      <c r="D116" s="3099">
        <f>SUMPRODUCT((A118:A122=F116)*(B117:M117=H116)*B118:M122)</f>
        <v>0.9103</v>
      </c>
      <c r="E116" s="162" t="s">
        <v>3317</v>
      </c>
      <c r="F116" s="3100" t="str">
        <f>E2</f>
        <v>住宅</v>
      </c>
      <c r="G116" s="162" t="s">
        <v>3318</v>
      </c>
      <c r="H116" s="3100" t="str">
        <f>G2</f>
        <v>二级</v>
      </c>
      <c r="I116" s="162"/>
      <c r="J116" s="3101"/>
      <c r="K116" s="3101"/>
      <c r="L116" s="3101"/>
      <c r="M116" s="3101"/>
      <c r="N116" s="3096"/>
    </row>
    <row r="117" spans="1:14">
      <c r="A117" s="3102"/>
      <c r="B117" s="3103" t="s">
        <v>3319</v>
      </c>
      <c r="C117" s="3103" t="s">
        <v>3320</v>
      </c>
      <c r="D117" s="3103" t="s">
        <v>3321</v>
      </c>
      <c r="E117" s="3104" t="s">
        <v>3322</v>
      </c>
      <c r="F117" s="3104" t="s">
        <v>3323</v>
      </c>
      <c r="G117" s="3104" t="s">
        <v>3324</v>
      </c>
      <c r="H117" s="3105" t="s">
        <v>3325</v>
      </c>
      <c r="I117" s="3105" t="s">
        <v>3326</v>
      </c>
      <c r="J117" s="3106" t="s">
        <v>3327</v>
      </c>
      <c r="K117" s="3106" t="s">
        <v>3328</v>
      </c>
      <c r="L117" s="3106" t="s">
        <v>3329</v>
      </c>
      <c r="M117" s="3107" t="s">
        <v>3330</v>
      </c>
      <c r="N117" s="3096"/>
    </row>
    <row r="118" spans="1:14">
      <c r="A118" s="3056" t="s">
        <v>3331</v>
      </c>
      <c r="B118" s="3088">
        <f>ROUND(0.9968-0.011*B116,4)</f>
        <v>0.96379999999999999</v>
      </c>
      <c r="C118" s="3088">
        <f>B118</f>
        <v>0.96379999999999999</v>
      </c>
      <c r="D118" s="3088">
        <f>ROUND(0.949-0.014*B116,4)</f>
        <v>0.90700000000000003</v>
      </c>
      <c r="E118" s="3088">
        <f>D118</f>
        <v>0.90700000000000003</v>
      </c>
      <c r="F118" s="3088">
        <f>E118</f>
        <v>0.90700000000000003</v>
      </c>
      <c r="G118" s="3088">
        <f>F118</f>
        <v>0.90700000000000003</v>
      </c>
      <c r="H118" s="3088">
        <f>G118</f>
        <v>0.90700000000000003</v>
      </c>
      <c r="I118" s="3088">
        <f>ROUND(0.8486-0.018*B116,4)</f>
        <v>0.79459999999999997</v>
      </c>
      <c r="J118" s="3088">
        <f t="shared" ref="J118:M122" si="35">I118</f>
        <v>0.79459999999999997</v>
      </c>
      <c r="K118" s="3088">
        <f t="shared" si="35"/>
        <v>0.79459999999999997</v>
      </c>
      <c r="L118" s="3088">
        <f t="shared" si="35"/>
        <v>0.79459999999999997</v>
      </c>
      <c r="M118" s="3108">
        <f t="shared" si="35"/>
        <v>0.79459999999999997</v>
      </c>
      <c r="N118" s="3096"/>
    </row>
    <row r="119" spans="1:14">
      <c r="A119" s="3056" t="s">
        <v>3332</v>
      </c>
      <c r="B119" s="3088">
        <f>ROUND(0.993-0.0112*B116,4)</f>
        <v>0.95940000000000003</v>
      </c>
      <c r="C119" s="3088">
        <f>B119</f>
        <v>0.95940000000000003</v>
      </c>
      <c r="D119" s="3088">
        <f>ROUND(0.9415-0.0142*B116,4)</f>
        <v>0.89890000000000003</v>
      </c>
      <c r="E119" s="3088">
        <f t="shared" ref="E119:H120" si="36">D119</f>
        <v>0.89890000000000003</v>
      </c>
      <c r="F119" s="3088">
        <f t="shared" si="36"/>
        <v>0.89890000000000003</v>
      </c>
      <c r="G119" s="3088">
        <f t="shared" si="36"/>
        <v>0.89890000000000003</v>
      </c>
      <c r="H119" s="3088">
        <f t="shared" si="36"/>
        <v>0.89890000000000003</v>
      </c>
      <c r="I119" s="3088">
        <f>ROUND(0.838-0.0182*B116,4)</f>
        <v>0.78339999999999999</v>
      </c>
      <c r="J119" s="3088">
        <f t="shared" si="35"/>
        <v>0.78339999999999999</v>
      </c>
      <c r="K119" s="3088">
        <f t="shared" si="35"/>
        <v>0.78339999999999999</v>
      </c>
      <c r="L119" s="3088">
        <f t="shared" si="35"/>
        <v>0.78339999999999999</v>
      </c>
      <c r="M119" s="3108">
        <f t="shared" si="35"/>
        <v>0.78339999999999999</v>
      </c>
      <c r="N119" s="3096"/>
    </row>
    <row r="120" spans="1:14">
      <c r="A120" s="3056" t="s">
        <v>3333</v>
      </c>
      <c r="B120" s="3088">
        <f>ROUND(0.9448-0.0115*B116,4)</f>
        <v>0.9103</v>
      </c>
      <c r="C120" s="3088">
        <f>B120</f>
        <v>0.9103</v>
      </c>
      <c r="D120" s="3088">
        <f>ROUND(0.937-0.0145*B116,4)</f>
        <v>0.89349999999999996</v>
      </c>
      <c r="E120" s="3088">
        <f t="shared" si="36"/>
        <v>0.89349999999999996</v>
      </c>
      <c r="F120" s="3088">
        <f t="shared" si="36"/>
        <v>0.89349999999999996</v>
      </c>
      <c r="G120" s="3088">
        <f t="shared" si="36"/>
        <v>0.89349999999999996</v>
      </c>
      <c r="H120" s="3088">
        <f t="shared" si="36"/>
        <v>0.89349999999999996</v>
      </c>
      <c r="I120" s="3088">
        <f>ROUND(0.7965-0.0185*B116,4)</f>
        <v>0.74099999999999999</v>
      </c>
      <c r="J120" s="3088">
        <f t="shared" si="35"/>
        <v>0.74099999999999999</v>
      </c>
      <c r="K120" s="3088">
        <f t="shared" si="35"/>
        <v>0.74099999999999999</v>
      </c>
      <c r="L120" s="3088">
        <f t="shared" si="35"/>
        <v>0.74099999999999999</v>
      </c>
      <c r="M120" s="3108">
        <f t="shared" si="35"/>
        <v>0.74099999999999999</v>
      </c>
      <c r="N120" s="3096"/>
    </row>
    <row r="121" spans="1:14" ht="13.5" thickBot="1">
      <c r="A121" s="3109" t="s">
        <v>3334</v>
      </c>
      <c r="B121" s="3110">
        <f>ROUND(0.7836-0.012*B116,4)</f>
        <v>0.74760000000000004</v>
      </c>
      <c r="C121" s="3110">
        <f>B121</f>
        <v>0.74760000000000004</v>
      </c>
      <c r="D121" s="3110">
        <f>ROUND(0.753-0.015*B116,4)</f>
        <v>0.70799999999999996</v>
      </c>
      <c r="E121" s="3110">
        <f>D121</f>
        <v>0.70799999999999996</v>
      </c>
      <c r="F121" s="3110">
        <f>E121</f>
        <v>0.70799999999999996</v>
      </c>
      <c r="G121" s="3110">
        <f>ROUND(0.6612-0.018*B116,4)</f>
        <v>0.60719999999999996</v>
      </c>
      <c r="H121" s="3110">
        <f>G121</f>
        <v>0.60719999999999996</v>
      </c>
      <c r="I121" s="3110">
        <f>ROUND(0.5905-0.019*B116,4)</f>
        <v>0.53349999999999997</v>
      </c>
      <c r="J121" s="3110">
        <f t="shared" si="35"/>
        <v>0.53349999999999997</v>
      </c>
      <c r="K121" s="3110">
        <f t="shared" si="35"/>
        <v>0.53349999999999997</v>
      </c>
      <c r="L121" s="3110">
        <f t="shared" si="35"/>
        <v>0.53349999999999997</v>
      </c>
      <c r="M121" s="3111">
        <f t="shared" si="35"/>
        <v>0.53349999999999997</v>
      </c>
      <c r="N121" s="3096"/>
    </row>
    <row r="122" spans="1:14">
      <c r="A122" s="3112" t="s">
        <v>2615</v>
      </c>
      <c r="B122" s="3088">
        <f>ROUND(0.9404-0.0106*B116,4)</f>
        <v>0.90859999999999996</v>
      </c>
      <c r="C122" s="3088">
        <f>B122</f>
        <v>0.90859999999999996</v>
      </c>
      <c r="D122" s="3088">
        <f>ROUND(0.8955-0.0135*B116,4)</f>
        <v>0.85499999999999998</v>
      </c>
      <c r="E122" s="3088">
        <f t="shared" ref="E122:H122" si="37">D122</f>
        <v>0.85499999999999998</v>
      </c>
      <c r="F122" s="3088">
        <f t="shared" si="37"/>
        <v>0.85499999999999998</v>
      </c>
      <c r="G122" s="3088">
        <f t="shared" si="37"/>
        <v>0.85499999999999998</v>
      </c>
      <c r="H122" s="3088">
        <f t="shared" si="37"/>
        <v>0.85499999999999998</v>
      </c>
      <c r="I122" s="3088">
        <f>ROUND(0.7632-0.0166*B116,4)</f>
        <v>0.71340000000000003</v>
      </c>
      <c r="J122" s="3088">
        <f t="shared" si="35"/>
        <v>0.71340000000000003</v>
      </c>
      <c r="K122" s="3088">
        <f t="shared" si="35"/>
        <v>0.71340000000000003</v>
      </c>
      <c r="L122" s="3088">
        <f t="shared" si="35"/>
        <v>0.71340000000000003</v>
      </c>
      <c r="M122" s="3108">
        <f t="shared" si="35"/>
        <v>0.71340000000000003</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2597</v>
      </c>
      <c r="B1" s="2810" t="s">
        <v>2598</v>
      </c>
      <c r="C1" s="2810" t="s">
        <v>2599</v>
      </c>
      <c r="D1" s="2810" t="s">
        <v>2600</v>
      </c>
      <c r="E1" s="2810" t="s">
        <v>2601</v>
      </c>
      <c r="F1" s="2810" t="s">
        <v>2602</v>
      </c>
      <c r="G1" s="2810" t="s">
        <v>2603</v>
      </c>
      <c r="H1" s="2810" t="s">
        <v>2604</v>
      </c>
      <c r="I1" s="2810" t="s">
        <v>2605</v>
      </c>
      <c r="J1" s="2810" t="s">
        <v>2606</v>
      </c>
      <c r="K1" s="2810" t="s">
        <v>2607</v>
      </c>
      <c r="L1" s="2810" t="s">
        <v>2608</v>
      </c>
      <c r="M1" s="2811" t="s">
        <v>2609</v>
      </c>
    </row>
    <row r="2" spans="1:13" ht="19.5" customHeight="1">
      <c r="A2" s="2813" t="s">
        <v>2610</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2611</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2612</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2613</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2614</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2615</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2616</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2617</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2618</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2619</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2620</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2621</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2622</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2623</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2624</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2625</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2626</v>
      </c>
      <c r="B18" s="2835"/>
      <c r="C18" s="2836"/>
      <c r="D18" s="2836"/>
      <c r="E18" s="2835"/>
      <c r="F18" s="2836"/>
      <c r="G18" s="2836"/>
    </row>
    <row r="19" spans="1:13" ht="19.5" customHeight="1" thickBot="1">
      <c r="A19" s="2833" t="s">
        <v>2627</v>
      </c>
      <c r="B19" s="2838" t="s">
        <v>2628</v>
      </c>
      <c r="C19" s="2838" t="s">
        <v>2629</v>
      </c>
      <c r="D19" s="2839"/>
      <c r="E19" s="2833" t="s">
        <v>2630</v>
      </c>
      <c r="F19" s="2840"/>
      <c r="G19" s="2840"/>
    </row>
    <row r="20" spans="1:13" ht="19.5" customHeight="1">
      <c r="A20" s="3482" t="s">
        <v>2610</v>
      </c>
      <c r="B20" s="3477" t="s">
        <v>2631</v>
      </c>
      <c r="C20" s="2841" t="s">
        <v>2442</v>
      </c>
      <c r="D20" s="2842"/>
      <c r="E20" s="2843">
        <v>1</v>
      </c>
      <c r="F20" s="2844" t="s">
        <v>2443</v>
      </c>
      <c r="G20" s="2844"/>
    </row>
    <row r="21" spans="1:13" ht="19.5" customHeight="1">
      <c r="A21" s="3483"/>
      <c r="B21" s="3476"/>
      <c r="C21" s="2845" t="s">
        <v>2444</v>
      </c>
      <c r="D21" s="2846"/>
      <c r="E21" s="2847">
        <v>1</v>
      </c>
      <c r="F21" s="2844" t="s">
        <v>2445</v>
      </c>
      <c r="G21" s="2844"/>
    </row>
    <row r="22" spans="1:13" ht="19.5" customHeight="1">
      <c r="A22" s="3483"/>
      <c r="B22" s="3476"/>
      <c r="C22" s="2845" t="s">
        <v>2446</v>
      </c>
      <c r="D22" s="2846"/>
      <c r="E22" s="2847">
        <v>0.9</v>
      </c>
      <c r="F22" s="2844" t="s">
        <v>2447</v>
      </c>
      <c r="G22" s="2844"/>
    </row>
    <row r="23" spans="1:13" ht="19.5" customHeight="1">
      <c r="A23" s="3483"/>
      <c r="B23" s="3476"/>
      <c r="C23" s="2845" t="s">
        <v>2448</v>
      </c>
      <c r="D23" s="2846"/>
      <c r="E23" s="2847">
        <v>0.9</v>
      </c>
      <c r="F23" s="2844" t="s">
        <v>2449</v>
      </c>
      <c r="G23" s="2844"/>
    </row>
    <row r="24" spans="1:13" ht="19.5" customHeight="1">
      <c r="A24" s="3483"/>
      <c r="B24" s="3476"/>
      <c r="C24" s="2845" t="s">
        <v>2450</v>
      </c>
      <c r="D24" s="2846"/>
      <c r="E24" s="2847">
        <v>0.8</v>
      </c>
      <c r="F24" s="2844" t="s">
        <v>2451</v>
      </c>
      <c r="G24" s="2844"/>
    </row>
    <row r="25" spans="1:13" ht="19.5" customHeight="1" thickBot="1">
      <c r="A25" s="3484"/>
      <c r="B25" s="3478"/>
      <c r="C25" s="2848" t="s">
        <v>2452</v>
      </c>
      <c r="D25" s="2849"/>
      <c r="E25" s="2850">
        <v>0.8</v>
      </c>
      <c r="F25" s="2844" t="s">
        <v>2453</v>
      </c>
      <c r="G25" s="2844"/>
    </row>
    <row r="26" spans="1:13" ht="19.5" customHeight="1" thickBot="1">
      <c r="A26" s="2851" t="s">
        <v>2632</v>
      </c>
      <c r="B26" s="2852" t="s">
        <v>2631</v>
      </c>
      <c r="C26" s="2853" t="s">
        <v>2633</v>
      </c>
      <c r="D26" s="2854"/>
      <c r="E26" s="2855">
        <v>1</v>
      </c>
      <c r="F26" s="2844" t="s">
        <v>2454</v>
      </c>
      <c r="G26" s="2844"/>
    </row>
    <row r="27" spans="1:13" ht="19.5" customHeight="1">
      <c r="A27" s="3479" t="s">
        <v>2634</v>
      </c>
      <c r="B27" s="3477" t="s">
        <v>2615</v>
      </c>
      <c r="C27" s="2841" t="s">
        <v>2455</v>
      </c>
      <c r="D27" s="2842"/>
      <c r="E27" s="2843">
        <v>1</v>
      </c>
      <c r="F27" s="2844" t="s">
        <v>2456</v>
      </c>
      <c r="G27" s="2844"/>
    </row>
    <row r="28" spans="1:13" ht="19.5" customHeight="1">
      <c r="A28" s="3480"/>
      <c r="B28" s="3476"/>
      <c r="C28" s="2845" t="s">
        <v>2457</v>
      </c>
      <c r="D28" s="2846"/>
      <c r="E28" s="2847">
        <v>1</v>
      </c>
      <c r="F28" s="2844" t="s">
        <v>2458</v>
      </c>
      <c r="G28" s="2844"/>
    </row>
    <row r="29" spans="1:13" ht="19.5" customHeight="1">
      <c r="A29" s="3480"/>
      <c r="B29" s="3476"/>
      <c r="C29" s="2845" t="s">
        <v>2459</v>
      </c>
      <c r="D29" s="2846"/>
      <c r="E29" s="2847">
        <v>0.8</v>
      </c>
      <c r="F29" s="2844" t="s">
        <v>2460</v>
      </c>
      <c r="G29" s="2844"/>
    </row>
    <row r="30" spans="1:13" ht="19.5" customHeight="1">
      <c r="A30" s="3480"/>
      <c r="B30" s="3476"/>
      <c r="C30" s="2845" t="s">
        <v>2461</v>
      </c>
      <c r="D30" s="2846"/>
      <c r="E30" s="2847">
        <v>0.8</v>
      </c>
      <c r="F30" s="2844" t="s">
        <v>2462</v>
      </c>
      <c r="G30" s="2844"/>
    </row>
    <row r="31" spans="1:13" ht="19.5" customHeight="1">
      <c r="A31" s="3480"/>
      <c r="B31" s="3476"/>
      <c r="C31" s="2845" t="s">
        <v>2463</v>
      </c>
      <c r="D31" s="2846"/>
      <c r="E31" s="2847">
        <v>0.8</v>
      </c>
      <c r="F31" s="2844" t="s">
        <v>2464</v>
      </c>
      <c r="G31" s="2844"/>
    </row>
    <row r="32" spans="1:13" ht="19.5" customHeight="1">
      <c r="A32" s="3480"/>
      <c r="B32" s="3476"/>
      <c r="C32" s="2845" t="s">
        <v>2465</v>
      </c>
      <c r="D32" s="2846"/>
      <c r="E32" s="2847">
        <v>0.7</v>
      </c>
      <c r="F32" s="2844" t="s">
        <v>2466</v>
      </c>
      <c r="G32" s="2844"/>
    </row>
    <row r="33" spans="1:7" ht="19.5" customHeight="1">
      <c r="A33" s="3480"/>
      <c r="B33" s="3476"/>
      <c r="C33" s="2845" t="s">
        <v>2467</v>
      </c>
      <c r="D33" s="2846"/>
      <c r="E33" s="2847">
        <v>0.8</v>
      </c>
      <c r="F33" s="2844" t="s">
        <v>2468</v>
      </c>
      <c r="G33" s="2844"/>
    </row>
    <row r="34" spans="1:7" ht="19.5" customHeight="1">
      <c r="A34" s="3480"/>
      <c r="B34" s="3476"/>
      <c r="C34" s="2845" t="s">
        <v>2469</v>
      </c>
      <c r="D34" s="2846"/>
      <c r="E34" s="2847">
        <v>0.6</v>
      </c>
      <c r="F34" s="2844" t="s">
        <v>2470</v>
      </c>
      <c r="G34" s="2844"/>
    </row>
    <row r="35" spans="1:7" ht="19.5" customHeight="1">
      <c r="A35" s="3480"/>
      <c r="B35" s="3476"/>
      <c r="C35" s="2845" t="s">
        <v>2471</v>
      </c>
      <c r="D35" s="2846"/>
      <c r="E35" s="2847">
        <v>0.2</v>
      </c>
      <c r="F35" s="2844" t="s">
        <v>2472</v>
      </c>
      <c r="G35" s="2844"/>
    </row>
    <row r="36" spans="1:7" ht="19.5" customHeight="1">
      <c r="A36" s="3480"/>
      <c r="B36" s="3476"/>
      <c r="C36" s="2845" t="s">
        <v>2473</v>
      </c>
      <c r="D36" s="2846"/>
      <c r="E36" s="2847">
        <v>0.2</v>
      </c>
      <c r="F36" s="2844" t="s">
        <v>2474</v>
      </c>
      <c r="G36" s="2844"/>
    </row>
    <row r="37" spans="1:7" ht="19.5" customHeight="1">
      <c r="A37" s="3480"/>
      <c r="B37" s="3474" t="s">
        <v>2635</v>
      </c>
      <c r="C37" s="2845" t="s">
        <v>2475</v>
      </c>
      <c r="D37" s="2846"/>
      <c r="E37" s="2847">
        <v>0.6</v>
      </c>
      <c r="F37" s="2844" t="s">
        <v>2476</v>
      </c>
      <c r="G37" s="2844"/>
    </row>
    <row r="38" spans="1:7" ht="19.5" customHeight="1">
      <c r="A38" s="3480"/>
      <c r="B38" s="3476"/>
      <c r="C38" s="2845" t="s">
        <v>2477</v>
      </c>
      <c r="D38" s="2846"/>
      <c r="E38" s="2847">
        <v>0.6</v>
      </c>
      <c r="F38" s="2844" t="s">
        <v>2478</v>
      </c>
      <c r="G38" s="2844"/>
    </row>
    <row r="39" spans="1:7" ht="19.5" customHeight="1" thickBot="1">
      <c r="A39" s="3481"/>
      <c r="B39" s="3478"/>
      <c r="C39" s="2848" t="s">
        <v>2479</v>
      </c>
      <c r="D39" s="2849"/>
      <c r="E39" s="2850">
        <v>0.6</v>
      </c>
      <c r="F39" s="2844" t="s">
        <v>2480</v>
      </c>
      <c r="G39" s="2844"/>
    </row>
    <row r="40" spans="1:7" ht="19.5" customHeight="1" thickBot="1">
      <c r="A40" s="2851" t="s">
        <v>2612</v>
      </c>
      <c r="B40" s="2852" t="s">
        <v>2612</v>
      </c>
      <c r="C40" s="2853" t="s">
        <v>2636</v>
      </c>
      <c r="D40" s="2854"/>
      <c r="E40" s="2855">
        <v>1</v>
      </c>
      <c r="F40" s="2844" t="s">
        <v>2481</v>
      </c>
      <c r="G40" s="2844"/>
    </row>
    <row r="41" spans="1:7" ht="19.5" customHeight="1">
      <c r="A41" s="3482" t="s">
        <v>2613</v>
      </c>
      <c r="B41" s="3477" t="s">
        <v>2637</v>
      </c>
      <c r="C41" s="2841" t="s">
        <v>2482</v>
      </c>
      <c r="D41" s="2842"/>
      <c r="E41" s="2843">
        <v>1</v>
      </c>
      <c r="F41" s="2844" t="s">
        <v>2483</v>
      </c>
      <c r="G41" s="2844"/>
    </row>
    <row r="42" spans="1:7" ht="19.5" customHeight="1">
      <c r="A42" s="3483"/>
      <c r="B42" s="3476"/>
      <c r="C42" s="2845" t="s">
        <v>2484</v>
      </c>
      <c r="D42" s="2846"/>
      <c r="E42" s="2847">
        <v>1</v>
      </c>
      <c r="F42" s="2844" t="s">
        <v>2485</v>
      </c>
      <c r="G42" s="2844"/>
    </row>
    <row r="43" spans="1:7" ht="19.5" customHeight="1">
      <c r="A43" s="3483"/>
      <c r="B43" s="3475"/>
      <c r="C43" s="2845" t="s">
        <v>2486</v>
      </c>
      <c r="D43" s="2846"/>
      <c r="E43" s="2847">
        <v>1.5</v>
      </c>
      <c r="F43" s="2844" t="s">
        <v>2487</v>
      </c>
      <c r="G43" s="2844"/>
    </row>
    <row r="44" spans="1:7" ht="19.5" customHeight="1">
      <c r="A44" s="3483"/>
      <c r="B44" s="2856" t="s">
        <v>2638</v>
      </c>
      <c r="C44" s="2845" t="s">
        <v>2639</v>
      </c>
      <c r="D44" s="2846"/>
      <c r="E44" s="2847">
        <v>2</v>
      </c>
      <c r="F44" s="2844" t="s">
        <v>2488</v>
      </c>
      <c r="G44" s="2844"/>
    </row>
    <row r="45" spans="1:7" ht="19.5" customHeight="1">
      <c r="A45" s="3483"/>
      <c r="B45" s="3474" t="s">
        <v>2640</v>
      </c>
      <c r="C45" s="2845" t="s">
        <v>2489</v>
      </c>
      <c r="D45" s="2846"/>
      <c r="E45" s="2847">
        <v>1</v>
      </c>
      <c r="F45" s="2844" t="s">
        <v>2490</v>
      </c>
      <c r="G45" s="2844"/>
    </row>
    <row r="46" spans="1:7" ht="19.5" customHeight="1">
      <c r="A46" s="3483"/>
      <c r="B46" s="3476"/>
      <c r="C46" s="2845" t="s">
        <v>2491</v>
      </c>
      <c r="D46" s="2846"/>
      <c r="E46" s="2847">
        <v>1</v>
      </c>
      <c r="F46" s="2844" t="s">
        <v>2492</v>
      </c>
      <c r="G46" s="2844"/>
    </row>
    <row r="47" spans="1:7" ht="19.5" customHeight="1">
      <c r="A47" s="3483"/>
      <c r="B47" s="3476"/>
      <c r="C47" s="2845" t="s">
        <v>2493</v>
      </c>
      <c r="D47" s="2846"/>
      <c r="E47" s="2847">
        <v>1</v>
      </c>
      <c r="F47" s="2844" t="s">
        <v>2494</v>
      </c>
      <c r="G47" s="2844"/>
    </row>
    <row r="48" spans="1:7" ht="19.5" customHeight="1">
      <c r="A48" s="3483"/>
      <c r="B48" s="3476"/>
      <c r="C48" s="2845" t="s">
        <v>2495</v>
      </c>
      <c r="D48" s="2846"/>
      <c r="E48" s="2847">
        <v>1</v>
      </c>
      <c r="F48" s="2844" t="s">
        <v>2496</v>
      </c>
      <c r="G48" s="2844"/>
    </row>
    <row r="49" spans="1:7" ht="19.5" customHeight="1">
      <c r="A49" s="3483"/>
      <c r="B49" s="3476"/>
      <c r="C49" s="2845" t="s">
        <v>2497</v>
      </c>
      <c r="D49" s="2846"/>
      <c r="E49" s="2847">
        <v>1</v>
      </c>
      <c r="F49" s="2844" t="s">
        <v>2498</v>
      </c>
      <c r="G49" s="2844"/>
    </row>
    <row r="50" spans="1:7" ht="19.5" customHeight="1">
      <c r="A50" s="3483"/>
      <c r="B50" s="3476"/>
      <c r="C50" s="2845" t="s">
        <v>2499</v>
      </c>
      <c r="D50" s="2846"/>
      <c r="E50" s="2847">
        <v>1</v>
      </c>
      <c r="F50" s="2844" t="s">
        <v>2500</v>
      </c>
      <c r="G50" s="2844"/>
    </row>
    <row r="51" spans="1:7" ht="19.5" customHeight="1" thickBot="1">
      <c r="A51" s="3484"/>
      <c r="B51" s="3478"/>
      <c r="C51" s="2848" t="s">
        <v>2501</v>
      </c>
      <c r="D51" s="2849"/>
      <c r="E51" s="2850">
        <v>1</v>
      </c>
      <c r="F51" s="2844" t="s">
        <v>2502</v>
      </c>
      <c r="G51" s="2844"/>
    </row>
    <row r="52" spans="1:7" ht="19.5" customHeight="1">
      <c r="A52" s="2857"/>
      <c r="B52" s="2857"/>
      <c r="C52" s="2857"/>
      <c r="D52" s="2857"/>
      <c r="E52" s="2857"/>
      <c r="F52" s="2857"/>
      <c r="G52" s="2857"/>
    </row>
    <row r="54" spans="1:7" ht="19.5" customHeight="1">
      <c r="A54" s="2858"/>
      <c r="B54" s="2830" t="s">
        <v>2641</v>
      </c>
      <c r="C54" s="2830" t="s">
        <v>2641</v>
      </c>
      <c r="D54" s="2830" t="s">
        <v>2641</v>
      </c>
      <c r="E54" s="2833" t="s">
        <v>2641</v>
      </c>
      <c r="F54" s="2833" t="s">
        <v>2642</v>
      </c>
      <c r="G54" s="2833" t="s">
        <v>2643</v>
      </c>
    </row>
    <row r="55" spans="1:7" ht="19.5" customHeight="1">
      <c r="A55" s="2859"/>
      <c r="B55" s="2833" t="s">
        <v>2610</v>
      </c>
      <c r="C55" s="2833" t="s">
        <v>2610</v>
      </c>
      <c r="D55" s="2833" t="s">
        <v>2610</v>
      </c>
      <c r="E55" s="2830" t="s">
        <v>2611</v>
      </c>
      <c r="F55" s="2830" t="s">
        <v>2613</v>
      </c>
      <c r="G55" s="2830" t="s">
        <v>2644</v>
      </c>
    </row>
    <row r="56" spans="1:7" ht="19.5" customHeight="1">
      <c r="A56" s="2860"/>
      <c r="B56" s="2830">
        <v>1</v>
      </c>
      <c r="C56" s="2830">
        <v>2</v>
      </c>
      <c r="D56" s="2830">
        <v>3</v>
      </c>
      <c r="E56" s="2861" t="s">
        <v>2645</v>
      </c>
      <c r="F56" s="2861" t="s">
        <v>2645</v>
      </c>
      <c r="G56" s="2861" t="s">
        <v>2645</v>
      </c>
    </row>
    <row r="57" spans="1:7" ht="19.5" customHeight="1">
      <c r="A57" s="2862" t="s">
        <v>2598</v>
      </c>
      <c r="B57" s="2830">
        <v>0.7</v>
      </c>
      <c r="C57" s="2830">
        <v>0.4</v>
      </c>
      <c r="D57" s="2830">
        <v>0.3</v>
      </c>
      <c r="E57" s="2861">
        <v>0.3</v>
      </c>
      <c r="F57" s="2830">
        <v>0.3</v>
      </c>
      <c r="G57" s="2830">
        <v>0.2</v>
      </c>
    </row>
    <row r="58" spans="1:7" ht="19.5" customHeight="1">
      <c r="A58" s="2862" t="s">
        <v>2599</v>
      </c>
      <c r="B58" s="2830">
        <v>0.7</v>
      </c>
      <c r="C58" s="2830">
        <v>0.4</v>
      </c>
      <c r="D58" s="2830">
        <v>0.3</v>
      </c>
      <c r="E58" s="2830">
        <v>0.3</v>
      </c>
      <c r="F58" s="2830">
        <v>0.3</v>
      </c>
      <c r="G58" s="2830">
        <v>0.2</v>
      </c>
    </row>
    <row r="59" spans="1:7" ht="19.5" customHeight="1">
      <c r="A59" s="2862" t="s">
        <v>2600</v>
      </c>
      <c r="B59" s="2830">
        <v>0.6</v>
      </c>
      <c r="C59" s="2830">
        <v>0.3</v>
      </c>
      <c r="D59" s="2830">
        <v>0.25</v>
      </c>
      <c r="E59" s="2830">
        <v>0.25</v>
      </c>
      <c r="F59" s="2830">
        <v>0.25</v>
      </c>
      <c r="G59" s="2830">
        <v>0.15</v>
      </c>
    </row>
    <row r="60" spans="1:7" ht="19.5" customHeight="1">
      <c r="A60" s="2862" t="s">
        <v>2601</v>
      </c>
      <c r="B60" s="2830">
        <v>0.6</v>
      </c>
      <c r="C60" s="2830">
        <v>0.3</v>
      </c>
      <c r="D60" s="2830">
        <v>0.25</v>
      </c>
      <c r="E60" s="2830">
        <v>0.25</v>
      </c>
      <c r="F60" s="2830">
        <v>0.25</v>
      </c>
      <c r="G60" s="2830">
        <v>0.15</v>
      </c>
    </row>
    <row r="61" spans="1:7" ht="19.5" customHeight="1">
      <c r="A61" s="2862" t="s">
        <v>2602</v>
      </c>
      <c r="B61" s="2830">
        <v>0.6</v>
      </c>
      <c r="C61" s="2830">
        <v>0.3</v>
      </c>
      <c r="D61" s="2830">
        <v>0.25</v>
      </c>
      <c r="E61" s="2830">
        <v>0.25</v>
      </c>
      <c r="F61" s="2830">
        <v>0.25</v>
      </c>
      <c r="G61" s="2830">
        <v>0.15</v>
      </c>
    </row>
    <row r="62" spans="1:7" ht="19.5" customHeight="1">
      <c r="A62" s="2862" t="s">
        <v>2603</v>
      </c>
      <c r="B62" s="2830">
        <v>0.6</v>
      </c>
      <c r="C62" s="2830">
        <v>0.3</v>
      </c>
      <c r="D62" s="2830">
        <v>0.25</v>
      </c>
      <c r="E62" s="2830">
        <v>0.25</v>
      </c>
      <c r="F62" s="2830">
        <v>0.25</v>
      </c>
      <c r="G62" s="2830">
        <v>0.15</v>
      </c>
    </row>
    <row r="63" spans="1:7" ht="19.5" customHeight="1">
      <c r="A63" s="2862" t="s">
        <v>2604</v>
      </c>
      <c r="B63" s="2830">
        <v>0.6</v>
      </c>
      <c r="C63" s="2830">
        <v>0.3</v>
      </c>
      <c r="D63" s="2830">
        <v>0.25</v>
      </c>
      <c r="E63" s="2830">
        <v>0.25</v>
      </c>
      <c r="F63" s="2830">
        <v>0.25</v>
      </c>
      <c r="G63" s="2830">
        <v>0.15</v>
      </c>
    </row>
    <row r="64" spans="1:7" ht="19.5" customHeight="1">
      <c r="A64" s="2862" t="s">
        <v>2605</v>
      </c>
      <c r="B64" s="2830">
        <v>0.5</v>
      </c>
      <c r="C64" s="2830">
        <v>0.2</v>
      </c>
      <c r="D64" s="2830">
        <v>0.2</v>
      </c>
      <c r="E64" s="2830">
        <v>0.2</v>
      </c>
      <c r="F64" s="2830">
        <v>0.2</v>
      </c>
      <c r="G64" s="2830">
        <v>0.1</v>
      </c>
    </row>
    <row r="65" spans="1:7" ht="19.5" customHeight="1">
      <c r="A65" s="2862" t="s">
        <v>2606</v>
      </c>
      <c r="B65" s="2830">
        <v>0.5</v>
      </c>
      <c r="C65" s="2830">
        <v>0.2</v>
      </c>
      <c r="D65" s="2830">
        <v>0.2</v>
      </c>
      <c r="E65" s="2830">
        <v>0.2</v>
      </c>
      <c r="F65" s="2830">
        <v>0.2</v>
      </c>
      <c r="G65" s="2830">
        <v>0.1</v>
      </c>
    </row>
    <row r="66" spans="1:7" ht="19.5" customHeight="1">
      <c r="A66" s="2862" t="s">
        <v>2607</v>
      </c>
      <c r="B66" s="2830">
        <v>0.5</v>
      </c>
      <c r="C66" s="2830">
        <v>0.2</v>
      </c>
      <c r="D66" s="2830">
        <v>0.2</v>
      </c>
      <c r="E66" s="2830">
        <v>0.2</v>
      </c>
      <c r="F66" s="2830">
        <v>0.2</v>
      </c>
      <c r="G66" s="2830">
        <v>0.1</v>
      </c>
    </row>
    <row r="67" spans="1:7" ht="19.5" customHeight="1">
      <c r="A67" s="2862" t="s">
        <v>2608</v>
      </c>
      <c r="B67" s="2830">
        <v>0.5</v>
      </c>
      <c r="C67" s="2830">
        <v>0.2</v>
      </c>
      <c r="D67" s="2830">
        <v>0.2</v>
      </c>
      <c r="E67" s="2830">
        <v>0.2</v>
      </c>
      <c r="F67" s="2830">
        <v>0.2</v>
      </c>
      <c r="G67" s="2830">
        <v>0.1</v>
      </c>
    </row>
    <row r="68" spans="1:7" ht="19.5" customHeight="1">
      <c r="A68" s="2862" t="s">
        <v>2609</v>
      </c>
      <c r="B68" s="2830">
        <v>0.5</v>
      </c>
      <c r="C68" s="2830">
        <v>0.2</v>
      </c>
      <c r="D68" s="2830">
        <v>0.2</v>
      </c>
      <c r="E68" s="2830">
        <v>0.2</v>
      </c>
      <c r="F68" s="2830">
        <v>0.2</v>
      </c>
      <c r="G68" s="2830">
        <v>0.1</v>
      </c>
    </row>
    <row r="70" spans="1:7" ht="19.5" customHeight="1">
      <c r="A70" s="2844"/>
      <c r="B70" s="2863"/>
      <c r="C70" s="2863"/>
      <c r="D70" s="2863" t="s">
        <v>2646</v>
      </c>
      <c r="E70" s="2863"/>
      <c r="F70" s="2863"/>
    </row>
    <row r="71" spans="1:7" ht="19.5" customHeight="1">
      <c r="A71" s="2856" t="s">
        <v>2647</v>
      </c>
      <c r="B71" s="2856" t="s">
        <v>2648</v>
      </c>
      <c r="C71" s="2856" t="s">
        <v>2649</v>
      </c>
      <c r="D71" s="2856" t="s">
        <v>2650</v>
      </c>
      <c r="E71" s="2856" t="s">
        <v>2651</v>
      </c>
      <c r="F71" s="2856" t="s">
        <v>2652</v>
      </c>
    </row>
    <row r="72" spans="1:7" ht="13.5">
      <c r="A72" s="2856"/>
      <c r="B72" s="2856"/>
      <c r="C72" s="2856" t="s">
        <v>2653</v>
      </c>
      <c r="D72" s="2856"/>
      <c r="E72" s="2856" t="s">
        <v>2624</v>
      </c>
      <c r="F72" s="2856" t="s">
        <v>2624</v>
      </c>
    </row>
    <row r="73" spans="1:7" ht="13.5">
      <c r="A73" s="2856">
        <v>1</v>
      </c>
      <c r="B73" s="3474" t="s">
        <v>2654</v>
      </c>
      <c r="C73" s="2830" t="s">
        <v>2655</v>
      </c>
      <c r="D73" s="2830" t="s">
        <v>2656</v>
      </c>
      <c r="E73" s="2856">
        <v>0.2</v>
      </c>
      <c r="F73" s="2856">
        <v>25</v>
      </c>
    </row>
    <row r="74" spans="1:7" ht="24">
      <c r="A74" s="2856">
        <v>2</v>
      </c>
      <c r="B74" s="3476"/>
      <c r="C74" s="2830" t="s">
        <v>2657</v>
      </c>
      <c r="D74" s="2830" t="s">
        <v>2658</v>
      </c>
      <c r="E74" s="2856">
        <v>0.2</v>
      </c>
      <c r="F74" s="2856">
        <v>25</v>
      </c>
    </row>
    <row r="75" spans="1:7" ht="24">
      <c r="A75" s="2856">
        <v>3</v>
      </c>
      <c r="B75" s="3476"/>
      <c r="C75" s="2830" t="s">
        <v>2659</v>
      </c>
      <c r="D75" s="2830" t="s">
        <v>2660</v>
      </c>
      <c r="E75" s="2856">
        <v>0.2</v>
      </c>
      <c r="F75" s="2856">
        <v>25</v>
      </c>
    </row>
    <row r="76" spans="1:7" ht="13.5">
      <c r="A76" s="2856">
        <v>4</v>
      </c>
      <c r="B76" s="3476"/>
      <c r="C76" s="2830" t="s">
        <v>2661</v>
      </c>
      <c r="D76" s="2830" t="s">
        <v>2662</v>
      </c>
      <c r="E76" s="2856">
        <v>0.15</v>
      </c>
      <c r="F76" s="2856">
        <v>20</v>
      </c>
    </row>
    <row r="77" spans="1:7" ht="24">
      <c r="A77" s="2856">
        <v>5</v>
      </c>
      <c r="B77" s="3476"/>
      <c r="C77" s="2830" t="s">
        <v>2663</v>
      </c>
      <c r="D77" s="2830" t="s">
        <v>2664</v>
      </c>
      <c r="E77" s="2856">
        <v>0.15</v>
      </c>
      <c r="F77" s="2856">
        <v>20</v>
      </c>
    </row>
    <row r="78" spans="1:7" ht="24">
      <c r="A78" s="2856">
        <v>6</v>
      </c>
      <c r="B78" s="3476"/>
      <c r="C78" s="2830" t="s">
        <v>2665</v>
      </c>
      <c r="D78" s="2830" t="s">
        <v>2666</v>
      </c>
      <c r="E78" s="2856">
        <v>0.15</v>
      </c>
      <c r="F78" s="2856">
        <v>20</v>
      </c>
    </row>
    <row r="79" spans="1:7" ht="24">
      <c r="A79" s="2856">
        <v>7</v>
      </c>
      <c r="B79" s="3476"/>
      <c r="C79" s="2830" t="s">
        <v>2667</v>
      </c>
      <c r="D79" s="2830" t="s">
        <v>2668</v>
      </c>
      <c r="E79" s="2856">
        <v>0.15</v>
      </c>
      <c r="F79" s="2856">
        <v>20</v>
      </c>
    </row>
    <row r="80" spans="1:7" ht="24">
      <c r="A80" s="2856">
        <v>8</v>
      </c>
      <c r="B80" s="3476"/>
      <c r="C80" s="2830" t="s">
        <v>2669</v>
      </c>
      <c r="D80" s="2830" t="s">
        <v>2670</v>
      </c>
      <c r="E80" s="2856">
        <v>0.1</v>
      </c>
      <c r="F80" s="2856">
        <v>15</v>
      </c>
    </row>
    <row r="81" spans="1:6" ht="24">
      <c r="A81" s="2856">
        <v>9</v>
      </c>
      <c r="B81" s="3476"/>
      <c r="C81" s="2830" t="s">
        <v>2671</v>
      </c>
      <c r="D81" s="2830" t="s">
        <v>2672</v>
      </c>
      <c r="E81" s="2856">
        <v>0.1</v>
      </c>
      <c r="F81" s="2856">
        <v>15</v>
      </c>
    </row>
    <row r="82" spans="1:6" ht="24">
      <c r="A82" s="2856">
        <v>10</v>
      </c>
      <c r="B82" s="3476"/>
      <c r="C82" s="2830" t="s">
        <v>2673</v>
      </c>
      <c r="D82" s="2830" t="s">
        <v>2674</v>
      </c>
      <c r="E82" s="2856">
        <v>0.1</v>
      </c>
      <c r="F82" s="2856">
        <v>15</v>
      </c>
    </row>
    <row r="83" spans="1:6" ht="24">
      <c r="A83" s="2856">
        <v>11</v>
      </c>
      <c r="B83" s="3476"/>
      <c r="C83" s="2830" t="s">
        <v>2675</v>
      </c>
      <c r="D83" s="2830" t="s">
        <v>2676</v>
      </c>
      <c r="E83" s="2856">
        <v>0.1</v>
      </c>
      <c r="F83" s="2856">
        <v>15</v>
      </c>
    </row>
    <row r="84" spans="1:6" ht="24">
      <c r="A84" s="2856">
        <v>12</v>
      </c>
      <c r="B84" s="3476"/>
      <c r="C84" s="2830" t="s">
        <v>2677</v>
      </c>
      <c r="D84" s="2830" t="s">
        <v>2678</v>
      </c>
      <c r="E84" s="2856">
        <v>0.1</v>
      </c>
      <c r="F84" s="2856">
        <v>15</v>
      </c>
    </row>
    <row r="85" spans="1:6" ht="13.5">
      <c r="A85" s="2856">
        <v>13</v>
      </c>
      <c r="B85" s="3476"/>
      <c r="C85" s="2830" t="s">
        <v>2679</v>
      </c>
      <c r="D85" s="2830" t="s">
        <v>2680</v>
      </c>
      <c r="E85" s="2856">
        <v>0.1</v>
      </c>
      <c r="F85" s="2856">
        <v>15</v>
      </c>
    </row>
    <row r="86" spans="1:6" ht="13.5">
      <c r="A86" s="2856">
        <v>14</v>
      </c>
      <c r="B86" s="3476"/>
      <c r="C86" s="2830" t="s">
        <v>2681</v>
      </c>
      <c r="D86" s="2830" t="s">
        <v>2682</v>
      </c>
      <c r="E86" s="2856">
        <v>0.1</v>
      </c>
      <c r="F86" s="2856">
        <v>15</v>
      </c>
    </row>
    <row r="87" spans="1:6" ht="13.5">
      <c r="A87" s="2856">
        <v>15</v>
      </c>
      <c r="B87" s="3476"/>
      <c r="C87" s="2830" t="s">
        <v>2683</v>
      </c>
      <c r="D87" s="2830" t="s">
        <v>2684</v>
      </c>
      <c r="E87" s="2856">
        <v>0.1</v>
      </c>
      <c r="F87" s="2856">
        <v>15</v>
      </c>
    </row>
    <row r="88" spans="1:6" ht="24">
      <c r="A88" s="2856">
        <v>16</v>
      </c>
      <c r="B88" s="3476"/>
      <c r="C88" s="2830" t="s">
        <v>2685</v>
      </c>
      <c r="D88" s="2830" t="s">
        <v>2686</v>
      </c>
      <c r="E88" s="2856">
        <v>0.1</v>
      </c>
      <c r="F88" s="2856">
        <v>15</v>
      </c>
    </row>
    <row r="89" spans="1:6" ht="24">
      <c r="A89" s="2856">
        <v>17</v>
      </c>
      <c r="B89" s="3475"/>
      <c r="C89" s="2830" t="s">
        <v>2687</v>
      </c>
      <c r="D89" s="2830" t="s">
        <v>2688</v>
      </c>
      <c r="E89" s="2856">
        <v>0.1</v>
      </c>
      <c r="F89" s="2856">
        <v>15</v>
      </c>
    </row>
    <row r="90" spans="1:6" ht="13.5">
      <c r="A90" s="2856">
        <v>18</v>
      </c>
      <c r="B90" s="3474" t="s">
        <v>2689</v>
      </c>
      <c r="C90" s="2830" t="s">
        <v>2690</v>
      </c>
      <c r="D90" s="2830" t="s">
        <v>2691</v>
      </c>
      <c r="E90" s="2856">
        <v>0.2</v>
      </c>
      <c r="F90" s="2856">
        <v>25</v>
      </c>
    </row>
    <row r="91" spans="1:6" ht="24">
      <c r="A91" s="2856">
        <v>19</v>
      </c>
      <c r="B91" s="3476"/>
      <c r="C91" s="2830" t="s">
        <v>2692</v>
      </c>
      <c r="D91" s="2830" t="s">
        <v>2693</v>
      </c>
      <c r="E91" s="2856">
        <v>0.2</v>
      </c>
      <c r="F91" s="2856">
        <v>25</v>
      </c>
    </row>
    <row r="92" spans="1:6" ht="13.5">
      <c r="A92" s="2856">
        <v>20</v>
      </c>
      <c r="B92" s="3476"/>
      <c r="C92" s="2830" t="s">
        <v>2694</v>
      </c>
      <c r="D92" s="2830" t="s">
        <v>2695</v>
      </c>
      <c r="E92" s="2856">
        <v>0.15</v>
      </c>
      <c r="F92" s="2856">
        <v>20</v>
      </c>
    </row>
    <row r="93" spans="1:6" ht="13.5">
      <c r="A93" s="2856">
        <v>21</v>
      </c>
      <c r="B93" s="3476"/>
      <c r="C93" s="2830" t="s">
        <v>2696</v>
      </c>
      <c r="D93" s="2830" t="s">
        <v>2697</v>
      </c>
      <c r="E93" s="2856">
        <v>0.15</v>
      </c>
      <c r="F93" s="2856">
        <v>20</v>
      </c>
    </row>
    <row r="94" spans="1:6" ht="13.5">
      <c r="A94" s="2856">
        <v>22</v>
      </c>
      <c r="B94" s="3476"/>
      <c r="C94" s="2830" t="s">
        <v>2698</v>
      </c>
      <c r="D94" s="2830" t="s">
        <v>2699</v>
      </c>
      <c r="E94" s="2856">
        <v>0.15</v>
      </c>
      <c r="F94" s="2856">
        <v>20</v>
      </c>
    </row>
    <row r="95" spans="1:6" ht="36">
      <c r="A95" s="2856">
        <v>23</v>
      </c>
      <c r="B95" s="3476"/>
      <c r="C95" s="2830" t="s">
        <v>2700</v>
      </c>
      <c r="D95" s="2830" t="s">
        <v>2701</v>
      </c>
      <c r="E95" s="2856">
        <v>0.15</v>
      </c>
      <c r="F95" s="2856">
        <v>20</v>
      </c>
    </row>
    <row r="96" spans="1:6" ht="13.5">
      <c r="A96" s="2856">
        <v>24</v>
      </c>
      <c r="B96" s="3476"/>
      <c r="C96" s="2830" t="s">
        <v>2702</v>
      </c>
      <c r="D96" s="2830" t="s">
        <v>2703</v>
      </c>
      <c r="E96" s="2856">
        <v>0.1</v>
      </c>
      <c r="F96" s="2856">
        <v>15</v>
      </c>
    </row>
    <row r="97" spans="1:6" ht="13.5">
      <c r="A97" s="2856">
        <v>25</v>
      </c>
      <c r="B97" s="3476"/>
      <c r="C97" s="2830" t="s">
        <v>2704</v>
      </c>
      <c r="D97" s="2830" t="s">
        <v>2705</v>
      </c>
      <c r="E97" s="2856">
        <v>0.1</v>
      </c>
      <c r="F97" s="2856">
        <v>15</v>
      </c>
    </row>
    <row r="98" spans="1:6" ht="24">
      <c r="A98" s="2856">
        <v>26</v>
      </c>
      <c r="B98" s="3476"/>
      <c r="C98" s="2830" t="s">
        <v>2706</v>
      </c>
      <c r="D98" s="2830" t="s">
        <v>2707</v>
      </c>
      <c r="E98" s="2856">
        <v>0.1</v>
      </c>
      <c r="F98" s="2856">
        <v>15</v>
      </c>
    </row>
    <row r="99" spans="1:6" ht="24">
      <c r="A99" s="2856">
        <v>27</v>
      </c>
      <c r="B99" s="3476"/>
      <c r="C99" s="2830" t="s">
        <v>2708</v>
      </c>
      <c r="D99" s="2830" t="s">
        <v>2709</v>
      </c>
      <c r="E99" s="2856">
        <v>0.1</v>
      </c>
      <c r="F99" s="2856">
        <v>15</v>
      </c>
    </row>
    <row r="100" spans="1:6" ht="13.5">
      <c r="A100" s="2856">
        <v>28</v>
      </c>
      <c r="B100" s="3476"/>
      <c r="C100" s="2830" t="s">
        <v>2710</v>
      </c>
      <c r="D100" s="2830" t="s">
        <v>2711</v>
      </c>
      <c r="E100" s="2856">
        <v>0.1</v>
      </c>
      <c r="F100" s="2856">
        <v>15</v>
      </c>
    </row>
    <row r="101" spans="1:6" ht="13.5">
      <c r="A101" s="2856">
        <v>29</v>
      </c>
      <c r="B101" s="3476"/>
      <c r="C101" s="2830" t="s">
        <v>2712</v>
      </c>
      <c r="D101" s="2830" t="s">
        <v>2713</v>
      </c>
      <c r="E101" s="2856">
        <v>0.1</v>
      </c>
      <c r="F101" s="2856">
        <v>15</v>
      </c>
    </row>
    <row r="102" spans="1:6" ht="13.5">
      <c r="A102" s="2856">
        <v>30</v>
      </c>
      <c r="B102" s="3476"/>
      <c r="C102" s="2830" t="s">
        <v>2714</v>
      </c>
      <c r="D102" s="2830" t="s">
        <v>2715</v>
      </c>
      <c r="E102" s="2856">
        <v>0.1</v>
      </c>
      <c r="F102" s="2856">
        <v>15</v>
      </c>
    </row>
    <row r="103" spans="1:6" ht="24">
      <c r="A103" s="2856">
        <v>31</v>
      </c>
      <c r="B103" s="3476"/>
      <c r="C103" s="2830" t="s">
        <v>2716</v>
      </c>
      <c r="D103" s="2830" t="s">
        <v>2717</v>
      </c>
      <c r="E103" s="2856">
        <v>0.1</v>
      </c>
      <c r="F103" s="2856">
        <v>15</v>
      </c>
    </row>
    <row r="104" spans="1:6" ht="24">
      <c r="A104" s="2856">
        <v>32</v>
      </c>
      <c r="B104" s="3476"/>
      <c r="C104" s="2830" t="s">
        <v>2718</v>
      </c>
      <c r="D104" s="2830" t="s">
        <v>2719</v>
      </c>
      <c r="E104" s="2856">
        <v>0.1</v>
      </c>
      <c r="F104" s="2856">
        <v>15</v>
      </c>
    </row>
    <row r="105" spans="1:6" ht="24">
      <c r="A105" s="2856">
        <v>33</v>
      </c>
      <c r="B105" s="3476"/>
      <c r="C105" s="2830" t="s">
        <v>2720</v>
      </c>
      <c r="D105" s="2830" t="s">
        <v>2721</v>
      </c>
      <c r="E105" s="2856">
        <v>0.1</v>
      </c>
      <c r="F105" s="2856">
        <v>15</v>
      </c>
    </row>
    <row r="106" spans="1:6" ht="24">
      <c r="A106" s="2856">
        <v>34</v>
      </c>
      <c r="B106" s="3475"/>
      <c r="C106" s="2830" t="s">
        <v>2722</v>
      </c>
      <c r="D106" s="2830" t="s">
        <v>2723</v>
      </c>
      <c r="E106" s="2856">
        <v>0.1</v>
      </c>
      <c r="F106" s="2856">
        <v>15</v>
      </c>
    </row>
    <row r="107" spans="1:6" ht="24">
      <c r="A107" s="2856">
        <v>35</v>
      </c>
      <c r="B107" s="3474" t="s">
        <v>2724</v>
      </c>
      <c r="C107" s="2856" t="s">
        <v>2725</v>
      </c>
      <c r="D107" s="2830" t="s">
        <v>2726</v>
      </c>
      <c r="E107" s="2856">
        <v>0.15</v>
      </c>
      <c r="F107" s="2856">
        <v>20</v>
      </c>
    </row>
    <row r="108" spans="1:6" ht="13.5">
      <c r="A108" s="2856">
        <v>36</v>
      </c>
      <c r="B108" s="3476"/>
      <c r="C108" s="2856" t="s">
        <v>2727</v>
      </c>
      <c r="D108" s="2830" t="s">
        <v>2728</v>
      </c>
      <c r="E108" s="2856">
        <v>0.15</v>
      </c>
      <c r="F108" s="2856">
        <v>20</v>
      </c>
    </row>
    <row r="109" spans="1:6" ht="13.5">
      <c r="A109" s="2856">
        <v>37</v>
      </c>
      <c r="B109" s="3476"/>
      <c r="C109" s="2856" t="s">
        <v>2729</v>
      </c>
      <c r="D109" s="2830" t="s">
        <v>2730</v>
      </c>
      <c r="E109" s="2856">
        <v>0.15</v>
      </c>
      <c r="F109" s="2856">
        <v>20</v>
      </c>
    </row>
    <row r="110" spans="1:6" ht="13.5">
      <c r="A110" s="2856">
        <v>38</v>
      </c>
      <c r="B110" s="3476"/>
      <c r="C110" s="2856" t="s">
        <v>2731</v>
      </c>
      <c r="D110" s="2830" t="s">
        <v>2732</v>
      </c>
      <c r="E110" s="2856">
        <v>0.1</v>
      </c>
      <c r="F110" s="2856">
        <v>15</v>
      </c>
    </row>
    <row r="111" spans="1:6" ht="24">
      <c r="A111" s="2856">
        <v>39</v>
      </c>
      <c r="B111" s="3476"/>
      <c r="C111" s="2856" t="s">
        <v>2733</v>
      </c>
      <c r="D111" s="2830" t="s">
        <v>2734</v>
      </c>
      <c r="E111" s="2856">
        <v>0.1</v>
      </c>
      <c r="F111" s="2856">
        <v>15</v>
      </c>
    </row>
    <row r="112" spans="1:6" ht="24">
      <c r="A112" s="2856">
        <v>40</v>
      </c>
      <c r="B112" s="3475"/>
      <c r="C112" s="2856" t="s">
        <v>2735</v>
      </c>
      <c r="D112" s="2830" t="s">
        <v>2736</v>
      </c>
      <c r="E112" s="2856">
        <v>0.1</v>
      </c>
      <c r="F112" s="2856">
        <v>15</v>
      </c>
    </row>
    <row r="113" spans="1:6" ht="13.5">
      <c r="A113" s="2856">
        <v>41</v>
      </c>
      <c r="B113" s="3473" t="s">
        <v>2737</v>
      </c>
      <c r="C113" s="2856" t="s">
        <v>2738</v>
      </c>
      <c r="D113" s="2830" t="s">
        <v>2739</v>
      </c>
      <c r="E113" s="2856">
        <v>0.1</v>
      </c>
      <c r="F113" s="2856">
        <v>15</v>
      </c>
    </row>
    <row r="114" spans="1:6" ht="13.5">
      <c r="A114" s="2856">
        <v>42</v>
      </c>
      <c r="B114" s="3473"/>
      <c r="C114" s="2856" t="s">
        <v>2740</v>
      </c>
      <c r="D114" s="2830" t="s">
        <v>2741</v>
      </c>
      <c r="E114" s="2856">
        <v>0.1</v>
      </c>
      <c r="F114" s="2856">
        <v>15</v>
      </c>
    </row>
    <row r="115" spans="1:6" ht="24">
      <c r="A115" s="2856">
        <v>43</v>
      </c>
      <c r="B115" s="3473"/>
      <c r="C115" s="2856" t="s">
        <v>2742</v>
      </c>
      <c r="D115" s="2830" t="s">
        <v>2743</v>
      </c>
      <c r="E115" s="2856">
        <v>0.1</v>
      </c>
      <c r="F115" s="2856">
        <v>15</v>
      </c>
    </row>
    <row r="116" spans="1:6" ht="13.5">
      <c r="A116" s="2856">
        <v>44</v>
      </c>
      <c r="B116" s="3474" t="s">
        <v>2744</v>
      </c>
      <c r="C116" s="2856" t="s">
        <v>2745</v>
      </c>
      <c r="D116" s="2830" t="s">
        <v>2746</v>
      </c>
      <c r="E116" s="2856">
        <v>0.1</v>
      </c>
      <c r="F116" s="2856">
        <v>15</v>
      </c>
    </row>
    <row r="117" spans="1:6" ht="24">
      <c r="A117" s="2856">
        <v>45</v>
      </c>
      <c r="B117" s="3475"/>
      <c r="C117" s="2830" t="s">
        <v>2747</v>
      </c>
      <c r="D117" s="2830" t="s">
        <v>2748</v>
      </c>
      <c r="E117" s="2856">
        <v>0.1</v>
      </c>
      <c r="F117" s="2856">
        <v>15</v>
      </c>
    </row>
    <row r="118" spans="1:6" ht="24">
      <c r="A118" s="2856">
        <v>46</v>
      </c>
      <c r="B118" s="3474" t="s">
        <v>2749</v>
      </c>
      <c r="C118" s="2856" t="s">
        <v>2750</v>
      </c>
      <c r="D118" s="2830" t="s">
        <v>2751</v>
      </c>
      <c r="E118" s="2856">
        <v>0.1</v>
      </c>
      <c r="F118" s="2856">
        <v>15</v>
      </c>
    </row>
    <row r="119" spans="1:6" ht="24">
      <c r="A119" s="2856">
        <v>47</v>
      </c>
      <c r="B119" s="3475"/>
      <c r="C119" s="2856" t="s">
        <v>2752</v>
      </c>
      <c r="D119" s="2830" t="s">
        <v>2753</v>
      </c>
      <c r="E119" s="2856">
        <v>0.1</v>
      </c>
      <c r="F119" s="2856">
        <v>15</v>
      </c>
    </row>
    <row r="120" spans="1:6" ht="13.5">
      <c r="A120" s="2856">
        <v>48</v>
      </c>
      <c r="B120" s="3474" t="s">
        <v>2754</v>
      </c>
      <c r="C120" s="2856" t="s">
        <v>2755</v>
      </c>
      <c r="D120" s="2830" t="s">
        <v>2756</v>
      </c>
      <c r="E120" s="2856">
        <v>0.1</v>
      </c>
      <c r="F120" s="2856">
        <v>15</v>
      </c>
    </row>
    <row r="121" spans="1:6" ht="13.5">
      <c r="A121" s="2856">
        <v>49</v>
      </c>
      <c r="B121" s="3475"/>
      <c r="C121" s="2856" t="s">
        <v>2757</v>
      </c>
      <c r="D121" s="2830" t="s">
        <v>2758</v>
      </c>
      <c r="E121" s="2856">
        <v>0.1</v>
      </c>
      <c r="F121" s="2856">
        <v>15</v>
      </c>
    </row>
    <row r="122" spans="1:6" ht="24">
      <c r="A122" s="2856">
        <v>50</v>
      </c>
      <c r="B122" s="3473" t="s">
        <v>2759</v>
      </c>
      <c r="C122" s="2856" t="s">
        <v>2760</v>
      </c>
      <c r="D122" s="2830" t="s">
        <v>2761</v>
      </c>
      <c r="E122" s="2856">
        <v>0.1</v>
      </c>
      <c r="F122" s="2856">
        <v>15</v>
      </c>
    </row>
    <row r="123" spans="1:6" ht="24">
      <c r="A123" s="2856">
        <v>51</v>
      </c>
      <c r="B123" s="3473"/>
      <c r="C123" s="2856" t="s">
        <v>2762</v>
      </c>
      <c r="D123" s="2830" t="s">
        <v>2763</v>
      </c>
      <c r="E123" s="2856">
        <v>0.1</v>
      </c>
      <c r="F123" s="2856">
        <v>15</v>
      </c>
    </row>
    <row r="124" spans="1:6" ht="24">
      <c r="A124" s="2856">
        <v>52</v>
      </c>
      <c r="B124" s="3473" t="s">
        <v>2764</v>
      </c>
      <c r="C124" s="2856" t="s">
        <v>2765</v>
      </c>
      <c r="D124" s="2830" t="s">
        <v>2766</v>
      </c>
      <c r="E124" s="2856">
        <v>0.1</v>
      </c>
      <c r="F124" s="2856">
        <v>15</v>
      </c>
    </row>
    <row r="125" spans="1:6" ht="24">
      <c r="A125" s="2856">
        <v>53</v>
      </c>
      <c r="B125" s="3473"/>
      <c r="C125" s="2856" t="s">
        <v>2767</v>
      </c>
      <c r="D125" s="2830" t="s">
        <v>2768</v>
      </c>
      <c r="E125" s="2856">
        <v>0.1</v>
      </c>
      <c r="F125" s="2856">
        <v>15</v>
      </c>
    </row>
    <row r="126" spans="1:6" ht="13.5">
      <c r="A126" s="2856">
        <v>54</v>
      </c>
      <c r="B126" s="2856" t="s">
        <v>2769</v>
      </c>
      <c r="C126" s="2856" t="s">
        <v>2770</v>
      </c>
      <c r="D126" s="2830" t="s">
        <v>2771</v>
      </c>
      <c r="E126" s="2856">
        <v>0.1</v>
      </c>
      <c r="F126" s="2856">
        <v>15</v>
      </c>
    </row>
    <row r="127" spans="1:6" ht="13.5">
      <c r="A127" s="2856">
        <v>55</v>
      </c>
      <c r="B127" s="3473" t="s">
        <v>2772</v>
      </c>
      <c r="C127" s="2856" t="s">
        <v>2773</v>
      </c>
      <c r="D127" s="2830" t="s">
        <v>2774</v>
      </c>
      <c r="E127" s="2856">
        <v>0.1</v>
      </c>
      <c r="F127" s="2856">
        <v>15</v>
      </c>
    </row>
    <row r="128" spans="1:6" ht="13.5">
      <c r="A128" s="2856">
        <v>56</v>
      </c>
      <c r="B128" s="3473"/>
      <c r="C128" s="2856" t="s">
        <v>2775</v>
      </c>
      <c r="D128" s="2830" t="s">
        <v>2776</v>
      </c>
      <c r="E128" s="2856">
        <v>0.1</v>
      </c>
      <c r="F128" s="2856">
        <v>15</v>
      </c>
    </row>
    <row r="129" spans="1:6" ht="24">
      <c r="A129" s="2856">
        <v>57</v>
      </c>
      <c r="B129" s="3473"/>
      <c r="C129" s="2856" t="s">
        <v>2777</v>
      </c>
      <c r="D129" s="2830" t="s">
        <v>2778</v>
      </c>
      <c r="E129" s="2856">
        <v>0.1</v>
      </c>
      <c r="F129" s="2856">
        <v>15</v>
      </c>
    </row>
    <row r="130" spans="1:6" ht="24">
      <c r="A130" s="2856">
        <v>58</v>
      </c>
      <c r="B130" s="3473" t="s">
        <v>2779</v>
      </c>
      <c r="C130" s="2856" t="s">
        <v>2780</v>
      </c>
      <c r="D130" s="2830" t="s">
        <v>2781</v>
      </c>
      <c r="E130" s="2856">
        <v>0.1</v>
      </c>
      <c r="F130" s="2856">
        <v>15</v>
      </c>
    </row>
    <row r="131" spans="1:6" ht="13.5">
      <c r="A131" s="2856">
        <v>59</v>
      </c>
      <c r="B131" s="3473"/>
      <c r="C131" s="2856" t="s">
        <v>2782</v>
      </c>
      <c r="D131" s="2830" t="s">
        <v>2783</v>
      </c>
      <c r="E131" s="2856">
        <v>0.1</v>
      </c>
      <c r="F131" s="2856">
        <v>15</v>
      </c>
    </row>
    <row r="132" spans="1:6" ht="13.5">
      <c r="A132" s="2856">
        <v>60</v>
      </c>
      <c r="B132" s="3474" t="s">
        <v>2784</v>
      </c>
      <c r="C132" s="2856" t="s">
        <v>2785</v>
      </c>
      <c r="D132" s="2830" t="s">
        <v>2786</v>
      </c>
      <c r="E132" s="2856">
        <v>0.1</v>
      </c>
      <c r="F132" s="2856">
        <v>15</v>
      </c>
    </row>
    <row r="133" spans="1:6" ht="13.5">
      <c r="A133" s="2856">
        <v>61</v>
      </c>
      <c r="B133" s="3475"/>
      <c r="C133" s="2856" t="s">
        <v>2787</v>
      </c>
      <c r="D133" s="2830" t="s">
        <v>2788</v>
      </c>
      <c r="E133" s="2856">
        <v>0.1</v>
      </c>
      <c r="F133" s="2856">
        <v>15</v>
      </c>
    </row>
    <row r="134" spans="1:6" ht="24">
      <c r="A134" s="2856">
        <v>62</v>
      </c>
      <c r="B134" s="2856" t="s">
        <v>2789</v>
      </c>
      <c r="C134" s="2856" t="s">
        <v>2790</v>
      </c>
      <c r="D134" s="2830" t="s">
        <v>2791</v>
      </c>
      <c r="E134" s="2856">
        <v>0.1</v>
      </c>
      <c r="F134" s="2856">
        <v>15</v>
      </c>
    </row>
    <row r="135" spans="1:6" ht="13.5">
      <c r="A135" s="2856">
        <v>63</v>
      </c>
      <c r="B135" s="3473" t="s">
        <v>2792</v>
      </c>
      <c r="C135" s="2856" t="s">
        <v>2793</v>
      </c>
      <c r="D135" s="2830" t="s">
        <v>2794</v>
      </c>
      <c r="E135" s="2856">
        <v>0.1</v>
      </c>
      <c r="F135" s="2856">
        <v>15</v>
      </c>
    </row>
    <row r="136" spans="1:6" ht="13.5">
      <c r="A136" s="2856">
        <v>64</v>
      </c>
      <c r="B136" s="3473"/>
      <c r="C136" s="2856" t="s">
        <v>2795</v>
      </c>
      <c r="D136" s="2830" t="s">
        <v>2796</v>
      </c>
      <c r="E136" s="2856">
        <v>0.1</v>
      </c>
      <c r="F136" s="2856">
        <v>15</v>
      </c>
    </row>
    <row r="137" spans="1:6" ht="13.5">
      <c r="A137" s="2856">
        <v>65</v>
      </c>
      <c r="B137" s="2856" t="s">
        <v>2797</v>
      </c>
      <c r="C137" s="2856" t="s">
        <v>2798</v>
      </c>
      <c r="D137" s="2830" t="s">
        <v>2799</v>
      </c>
      <c r="E137" s="2856">
        <v>0.1</v>
      </c>
      <c r="F137" s="2856">
        <v>15</v>
      </c>
    </row>
    <row r="138" spans="1:6" ht="13.5">
      <c r="A138" s="2856"/>
      <c r="B138" s="2856"/>
      <c r="C138" s="2856"/>
      <c r="D138" s="2856"/>
      <c r="E138" s="2856" t="s">
        <v>2800</v>
      </c>
      <c r="F138" s="2856"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2801</v>
      </c>
      <c r="B1" s="2864"/>
      <c r="C1" s="2864"/>
      <c r="D1" s="2864"/>
      <c r="E1" s="2864"/>
      <c r="F1" s="2864"/>
      <c r="G1" s="2864"/>
      <c r="H1" s="2864"/>
      <c r="I1" s="2864"/>
      <c r="J1" s="2864"/>
      <c r="K1" s="2864"/>
      <c r="L1" s="2864"/>
      <c r="M1" s="2864"/>
      <c r="N1" s="707"/>
    </row>
    <row r="2" spans="1:20">
      <c r="A2" s="2865" t="s">
        <v>2802</v>
      </c>
      <c r="B2" s="2866" t="s">
        <v>2598</v>
      </c>
      <c r="C2" s="2866" t="s">
        <v>2599</v>
      </c>
      <c r="D2" s="2866" t="s">
        <v>2600</v>
      </c>
      <c r="E2" s="2866" t="s">
        <v>2601</v>
      </c>
      <c r="F2" s="2866" t="s">
        <v>2602</v>
      </c>
      <c r="G2" s="2866" t="s">
        <v>2603</v>
      </c>
      <c r="H2" s="2867" t="s">
        <v>2604</v>
      </c>
      <c r="I2" s="2867" t="s">
        <v>2605</v>
      </c>
      <c r="J2" s="2868" t="s">
        <v>2606</v>
      </c>
      <c r="K2" s="2868" t="s">
        <v>2607</v>
      </c>
      <c r="L2" s="2868" t="s">
        <v>2608</v>
      </c>
      <c r="M2" s="2869" t="s">
        <v>2609</v>
      </c>
      <c r="Q2" s="2879" t="s">
        <v>2807</v>
      </c>
      <c r="R2" s="2879" t="s">
        <v>2808</v>
      </c>
      <c r="S2" s="2879" t="s">
        <v>2809</v>
      </c>
      <c r="T2" s="2879" t="s">
        <v>2810</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2803</v>
      </c>
      <c r="B93" s="2864"/>
      <c r="C93" s="2864"/>
      <c r="D93" s="2864"/>
      <c r="E93" s="2864"/>
      <c r="F93" s="2864"/>
      <c r="G93" s="2864"/>
      <c r="H93" s="2864"/>
      <c r="I93" s="2864"/>
      <c r="J93" s="2864"/>
      <c r="K93" s="2864"/>
      <c r="L93" s="2864"/>
      <c r="M93" s="2864"/>
    </row>
    <row r="94" spans="1:20">
      <c r="A94" s="2865" t="s">
        <v>2802</v>
      </c>
      <c r="B94" s="2866" t="s">
        <v>2598</v>
      </c>
      <c r="C94" s="2866" t="s">
        <v>2599</v>
      </c>
      <c r="D94" s="2866" t="s">
        <v>2600</v>
      </c>
      <c r="E94" s="2866" t="s">
        <v>2601</v>
      </c>
      <c r="F94" s="2866" t="s">
        <v>2602</v>
      </c>
      <c r="G94" s="2866" t="s">
        <v>2603</v>
      </c>
      <c r="H94" s="2867" t="s">
        <v>2604</v>
      </c>
      <c r="I94" s="2867" t="s">
        <v>2605</v>
      </c>
      <c r="J94" s="2868" t="s">
        <v>2606</v>
      </c>
      <c r="K94" s="2868" t="s">
        <v>2607</v>
      </c>
      <c r="L94" s="2868" t="s">
        <v>2608</v>
      </c>
      <c r="M94" s="2869" t="s">
        <v>2609</v>
      </c>
      <c r="N94">
        <f>SUMPRODUCT((A95:A184=ROUNDDOWN(基准地价修正!G3,1))*(B94:M94=基准地价修正!G2)*(B95:M184))</f>
        <v>1.0229999999999999</v>
      </c>
      <c r="Q94" s="2879" t="s">
        <v>2807</v>
      </c>
      <c r="R94" s="2879" t="s">
        <v>2808</v>
      </c>
      <c r="S94" s="2879" t="s">
        <v>2809</v>
      </c>
      <c r="T94" s="2879" t="s">
        <v>2810</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2804</v>
      </c>
      <c r="B185" s="2864"/>
      <c r="C185" s="2864"/>
      <c r="D185" s="2864"/>
      <c r="E185" s="2864"/>
      <c r="F185" s="2864"/>
      <c r="G185" s="2864"/>
      <c r="H185" s="2864"/>
      <c r="I185" s="2864"/>
      <c r="J185" s="2864"/>
      <c r="K185" s="2864"/>
      <c r="L185" s="2864"/>
      <c r="M185" s="2864"/>
    </row>
    <row r="186" spans="1:20">
      <c r="A186" s="2865" t="s">
        <v>2802</v>
      </c>
      <c r="B186" s="2866" t="s">
        <v>2598</v>
      </c>
      <c r="C186" s="2866" t="s">
        <v>2599</v>
      </c>
      <c r="D186" s="2866" t="s">
        <v>2600</v>
      </c>
      <c r="E186" s="2866" t="s">
        <v>2601</v>
      </c>
      <c r="F186" s="2866" t="s">
        <v>2602</v>
      </c>
      <c r="G186" s="2866" t="s">
        <v>2603</v>
      </c>
      <c r="H186" s="2867" t="s">
        <v>2604</v>
      </c>
      <c r="I186" s="2867" t="s">
        <v>2605</v>
      </c>
      <c r="J186" s="2868" t="s">
        <v>2606</v>
      </c>
      <c r="K186" s="2868" t="s">
        <v>2607</v>
      </c>
      <c r="L186" s="2868" t="s">
        <v>2608</v>
      </c>
      <c r="M186" s="2869" t="s">
        <v>2609</v>
      </c>
      <c r="Q186" s="2879" t="s">
        <v>2807</v>
      </c>
      <c r="R186" s="2879" t="s">
        <v>2808</v>
      </c>
      <c r="S186" s="2879" t="s">
        <v>2809</v>
      </c>
      <c r="T186" s="2879" t="s">
        <v>2810</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2805</v>
      </c>
      <c r="B277" s="2864"/>
      <c r="C277" s="2864"/>
      <c r="D277" s="2864"/>
      <c r="E277" s="2864"/>
      <c r="F277" s="2864"/>
      <c r="G277" s="2864"/>
      <c r="H277" s="2864"/>
      <c r="I277" s="2864"/>
      <c r="J277" s="2864"/>
      <c r="K277" s="2864"/>
      <c r="L277" s="2864"/>
      <c r="M277" s="2864"/>
    </row>
    <row r="278" spans="1:21">
      <c r="A278" s="2865" t="s">
        <v>2802</v>
      </c>
      <c r="B278" s="2866" t="s">
        <v>2598</v>
      </c>
      <c r="C278" s="2866" t="s">
        <v>2599</v>
      </c>
      <c r="D278" s="2866" t="s">
        <v>2600</v>
      </c>
      <c r="E278" s="2866" t="s">
        <v>2601</v>
      </c>
      <c r="F278" s="2866" t="s">
        <v>2602</v>
      </c>
      <c r="G278" s="2866" t="s">
        <v>2603</v>
      </c>
      <c r="H278" s="2867" t="s">
        <v>2604</v>
      </c>
      <c r="I278" s="2867" t="s">
        <v>2605</v>
      </c>
      <c r="J278" s="2868" t="s">
        <v>2606</v>
      </c>
      <c r="K278" s="2868" t="s">
        <v>2607</v>
      </c>
      <c r="L278" s="2868" t="s">
        <v>2608</v>
      </c>
      <c r="M278" s="2869" t="s">
        <v>2609</v>
      </c>
      <c r="Q278" s="2879" t="s">
        <v>2807</v>
      </c>
      <c r="R278" s="2879" t="s">
        <v>2808</v>
      </c>
      <c r="S278" s="2879" t="s">
        <v>2811</v>
      </c>
      <c r="T278" s="2879" t="s">
        <v>2812</v>
      </c>
      <c r="U278" s="2879" t="s">
        <v>2810</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2806</v>
      </c>
      <c r="B369" s="2877"/>
      <c r="C369" s="2877"/>
      <c r="D369" s="2877"/>
      <c r="E369" s="2877"/>
      <c r="F369" s="2877"/>
      <c r="G369" s="2877"/>
      <c r="H369" s="2877"/>
      <c r="I369" s="2877"/>
      <c r="J369" s="2877"/>
      <c r="K369" s="2877"/>
      <c r="L369" s="2877"/>
      <c r="M369" s="2877"/>
    </row>
    <row r="370" spans="1:20">
      <c r="A370" s="2865" t="s">
        <v>2802</v>
      </c>
      <c r="B370" s="2866" t="s">
        <v>2598</v>
      </c>
      <c r="C370" s="2866" t="s">
        <v>2599</v>
      </c>
      <c r="D370" s="2866" t="s">
        <v>2600</v>
      </c>
      <c r="E370" s="2866" t="s">
        <v>2601</v>
      </c>
      <c r="F370" s="2866" t="s">
        <v>2602</v>
      </c>
      <c r="G370" s="2866" t="s">
        <v>2603</v>
      </c>
      <c r="H370" s="2867" t="s">
        <v>2604</v>
      </c>
      <c r="I370" s="2867" t="s">
        <v>2605</v>
      </c>
      <c r="J370" s="2868" t="s">
        <v>2606</v>
      </c>
      <c r="K370" s="2868" t="s">
        <v>2607</v>
      </c>
      <c r="L370" s="2868" t="s">
        <v>2608</v>
      </c>
      <c r="M370" s="2869" t="s">
        <v>2609</v>
      </c>
      <c r="N370">
        <f>SUMPRODUCT((A371:A460=ROUNDDOWN(基准地价修正!G3,1))*(B370:M370=基准地价修正!G2)*(B371:M460))</f>
        <v>0.96889999999999998</v>
      </c>
      <c r="Q370" s="2879" t="s">
        <v>2807</v>
      </c>
      <c r="R370" s="2879" t="s">
        <v>2808</v>
      </c>
      <c r="S370" s="2879" t="s">
        <v>2809</v>
      </c>
      <c r="T370" s="2879" t="s">
        <v>2810</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31543</v>
      </c>
      <c r="C2" s="2" t="s">
        <v>106</v>
      </c>
      <c r="D2" s="191"/>
      <c r="E2" s="191"/>
      <c r="F2" s="191"/>
      <c r="G2" s="191"/>
    </row>
    <row r="3" spans="1:7" s="192" customFormat="1" ht="18" customHeight="1" thickBot="1">
      <c r="A3" s="195" t="s">
        <v>58</v>
      </c>
      <c r="B3" s="196">
        <f ca="1">ROUND(B2*10000/'数据-汇总表'!E3,0)</f>
        <v>7123532</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1</v>
      </c>
      <c r="D9" s="795">
        <f>'数据-汇总表'!E5</f>
        <v>44.28</v>
      </c>
      <c r="E9" s="217">
        <f>'数据-取费表'!B27</f>
        <v>160</v>
      </c>
      <c r="F9" s="213"/>
      <c r="G9" s="218"/>
    </row>
    <row r="10" spans="1:7" s="206" customFormat="1" ht="13.5" customHeight="1">
      <c r="A10" s="733" t="s">
        <v>356</v>
      </c>
      <c r="B10" s="216" t="s">
        <v>67</v>
      </c>
      <c r="C10" s="217">
        <f>ROUND(D10*E10/10000,0)</f>
        <v>0</v>
      </c>
      <c r="D10" s="795">
        <f>'数据-汇总表'!E6</f>
        <v>0</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v>
      </c>
      <c r="D19" s="204">
        <f>'数据-汇总表'!E3</f>
        <v>44.28</v>
      </c>
      <c r="E19" s="203">
        <f>'数据-取费表'!B31</f>
        <v>200</v>
      </c>
      <c r="F19" s="223"/>
      <c r="G19" s="1" t="s">
        <v>436</v>
      </c>
    </row>
    <row r="20" spans="1:7" s="206" customFormat="1" ht="13.5" customHeight="1">
      <c r="A20" s="731" t="s">
        <v>419</v>
      </c>
      <c r="B20" s="202" t="s">
        <v>77</v>
      </c>
      <c r="C20" s="224">
        <f>ROUND((C5+C19)*F20,0)</f>
        <v>618</v>
      </c>
      <c r="D20" s="224"/>
      <c r="E20" s="224"/>
      <c r="F20" s="225">
        <f>'数据-取费表'!B37</f>
        <v>0.03</v>
      </c>
      <c r="G20" s="1004" t="s">
        <v>430</v>
      </c>
    </row>
    <row r="21" spans="1:7" s="206" customFormat="1" ht="13.5" customHeight="1">
      <c r="A21" s="731" t="s">
        <v>421</v>
      </c>
      <c r="B21" s="202" t="s">
        <v>78</v>
      </c>
      <c r="C21" s="227">
        <f>F21</f>
        <v>0.03</v>
      </c>
      <c r="D21" s="228" t="s">
        <v>99</v>
      </c>
      <c r="E21" s="224"/>
      <c r="F21" s="225">
        <f>'数据-取费表'!B38</f>
        <v>0.03</v>
      </c>
      <c r="G21" s="226" t="s">
        <v>79</v>
      </c>
    </row>
    <row r="22" spans="1:7" s="206" customFormat="1" ht="13.5" customHeight="1">
      <c r="A22" s="731" t="s">
        <v>341</v>
      </c>
      <c r="B22" s="202" t="s">
        <v>80</v>
      </c>
      <c r="C22" s="1041">
        <f ca="1">ROUND(SUM(C23:C25),0)</f>
        <v>994</v>
      </c>
      <c r="D22" s="227">
        <f ca="1">C26</f>
        <v>6.9999999999999999E-4</v>
      </c>
      <c r="E22" s="228" t="s">
        <v>99</v>
      </c>
      <c r="F22" s="229">
        <f ca="1">'数据-取费表'!B40</f>
        <v>4.7500000000000001E-2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979</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15</v>
      </c>
      <c r="D25" s="230"/>
      <c r="E25" s="233"/>
      <c r="F25" s="231"/>
      <c r="G25" s="234" t="s">
        <v>83</v>
      </c>
    </row>
    <row r="26" spans="1:7" s="206" customFormat="1">
      <c r="A26" s="734" t="s">
        <v>350</v>
      </c>
      <c r="B26" s="207" t="s">
        <v>422</v>
      </c>
      <c r="C26" s="230">
        <f ca="1">ROUND(IF('数据-取费表'!B22&lt;=1,F21*F22*'数据-取费表'!B23/2,F21*(POWER((1+F22),'数据-取费表'!B23/2)-1)),4)</f>
        <v>6.9999999999999999E-4</v>
      </c>
      <c r="D26" s="230"/>
      <c r="E26" s="233"/>
      <c r="F26" s="231"/>
      <c r="G26" s="235"/>
    </row>
    <row r="27" spans="1:7" s="206" customFormat="1" ht="24.75">
      <c r="A27" s="731" t="s">
        <v>342</v>
      </c>
      <c r="B27" s="236" t="s">
        <v>85</v>
      </c>
      <c r="C27" s="237">
        <f>C28</f>
        <v>6369</v>
      </c>
      <c r="D27" s="227">
        <f>C29</f>
        <v>8.9999999999999993E-3</v>
      </c>
      <c r="E27" s="228" t="s">
        <v>99</v>
      </c>
      <c r="F27" s="238">
        <f>'数据-取费表'!Q16</f>
        <v>0.3</v>
      </c>
      <c r="G27" s="239" t="s">
        <v>431</v>
      </c>
    </row>
    <row r="28" spans="1:7" s="206" customFormat="1" ht="13.5" customHeight="1">
      <c r="A28" s="734" t="s">
        <v>349</v>
      </c>
      <c r="B28" s="240" t="s">
        <v>424</v>
      </c>
      <c r="C28" s="241">
        <f>ROUND((C5+C19+C20)*F27*'数据-取费表'!B21/'数据-取费表'!B20,0)</f>
        <v>6369</v>
      </c>
      <c r="D28" s="227"/>
      <c r="E28" s="228"/>
      <c r="F28" s="238"/>
      <c r="G28" s="239"/>
    </row>
    <row r="29" spans="1:7" s="206" customFormat="1" ht="13.5" customHeight="1">
      <c r="A29" s="734" t="s">
        <v>347</v>
      </c>
      <c r="B29" s="240" t="s">
        <v>425</v>
      </c>
      <c r="C29" s="230">
        <f>ROUND(C21*F27*'数据-取费表'!B21/'数据-取费表'!B20,4)</f>
        <v>8.9999999999999993E-3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31525</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15</v>
      </c>
      <c r="D34" s="209"/>
      <c r="E34" s="212"/>
      <c r="F34" s="249">
        <f>IF('数据-取费表'!B24=0,1,'数据-取费表'!N16)</f>
        <v>1</v>
      </c>
      <c r="G34" s="211" t="s">
        <v>89</v>
      </c>
    </row>
    <row r="35" spans="1:7" ht="13.5" customHeight="1">
      <c r="A35" s="734" t="s">
        <v>351</v>
      </c>
      <c r="B35" s="207" t="s">
        <v>33</v>
      </c>
      <c r="C35" s="212">
        <f>ROUND(C34*F35,0)</f>
        <v>1</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1</v>
      </c>
      <c r="D36" s="212"/>
      <c r="E36" s="212"/>
      <c r="F36" s="251">
        <f>'数据-取费表'!B34</f>
        <v>0.05</v>
      </c>
      <c r="G36" s="252" t="s">
        <v>35</v>
      </c>
    </row>
    <row r="37" spans="1:7" s="250" customFormat="1" ht="13.5" customHeight="1">
      <c r="A37" s="734" t="s">
        <v>353</v>
      </c>
      <c r="B37" s="207" t="s">
        <v>91</v>
      </c>
      <c r="C37" s="241">
        <f>ROUND(E37*D37*F34/10000,0)</f>
        <v>1</v>
      </c>
      <c r="D37" s="209">
        <f>'数据-汇总表'!E3</f>
        <v>44.28</v>
      </c>
      <c r="E37" s="241">
        <f>'数据-取费表'!B35</f>
        <v>200</v>
      </c>
      <c r="F37" s="251"/>
      <c r="G37" s="253" t="s">
        <v>92</v>
      </c>
    </row>
    <row r="38" spans="1:7" ht="13.5" customHeight="1">
      <c r="A38" s="734" t="s">
        <v>354</v>
      </c>
      <c r="B38" s="207" t="s">
        <v>36</v>
      </c>
      <c r="C38" s="212">
        <f>ROUND(C34*F38,0)</f>
        <v>0</v>
      </c>
      <c r="D38" s="212"/>
      <c r="E38" s="212"/>
      <c r="F38" s="251">
        <f>'数据-取费表'!B36</f>
        <v>1.4999999999999999E-2</v>
      </c>
      <c r="G38" s="211" t="s">
        <v>90</v>
      </c>
    </row>
    <row r="39" spans="1:7" s="206" customFormat="1" ht="13.5" customHeight="1">
      <c r="A39" s="731" t="s">
        <v>338</v>
      </c>
      <c r="B39" s="202" t="s">
        <v>77</v>
      </c>
      <c r="C39" s="224">
        <f>ROUND(C33*F20,0)</f>
        <v>1</v>
      </c>
      <c r="D39" s="224"/>
      <c r="E39" s="224"/>
      <c r="F39" s="225"/>
      <c r="G39" s="1004" t="s">
        <v>433</v>
      </c>
    </row>
    <row r="40" spans="1:7" s="206" customFormat="1" ht="13.5" customHeight="1">
      <c r="A40" s="731" t="s">
        <v>339</v>
      </c>
      <c r="B40" s="202" t="s">
        <v>78</v>
      </c>
      <c r="C40" s="254">
        <f>F21</f>
        <v>0.03</v>
      </c>
      <c r="D40" s="228" t="s">
        <v>102</v>
      </c>
      <c r="E40" s="224"/>
      <c r="F40" s="225"/>
      <c r="G40" s="226" t="s">
        <v>93</v>
      </c>
    </row>
    <row r="41" spans="1:7" s="206" customFormat="1" ht="13.5" customHeight="1">
      <c r="A41" s="731" t="s">
        <v>340</v>
      </c>
      <c r="B41" s="202" t="s">
        <v>80</v>
      </c>
      <c r="C41" s="224">
        <f ca="1">ROUND(SUM(C42:C43),0)</f>
        <v>0</v>
      </c>
      <c r="D41" s="227">
        <f ca="1">C44</f>
        <v>6.9999999999999999E-4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0</v>
      </c>
      <c r="D42" s="230"/>
      <c r="E42" s="230"/>
      <c r="F42" s="231"/>
      <c r="G42" s="3349" t="s">
        <v>94</v>
      </c>
    </row>
    <row r="43" spans="1:7" ht="13.5" customHeight="1">
      <c r="A43" s="734" t="s">
        <v>347</v>
      </c>
      <c r="B43" s="207" t="s">
        <v>426</v>
      </c>
      <c r="C43" s="230">
        <f ca="1">ROUND(IF('数据-取费表'!B22&lt;=1,C39*F22*'数据-取费表'!B21/2,C39*(POWER((1+F22),'数据-取费表'!B21/2)-1)),0)</f>
        <v>0</v>
      </c>
      <c r="D43" s="230"/>
      <c r="E43" s="230"/>
      <c r="F43" s="231"/>
      <c r="G43" s="3350"/>
    </row>
    <row r="44" spans="1:7" ht="13.5" customHeight="1">
      <c r="A44" s="734" t="s">
        <v>348</v>
      </c>
      <c r="B44" s="207" t="s">
        <v>428</v>
      </c>
      <c r="C44" s="230">
        <f ca="1">ROUND(IF('数据-取费表'!B22&lt;=1,C40*F22*'数据-取费表'!B21/2,C40*(POWER((1+F22),'数据-取费表'!B21/2)-1)),4)</f>
        <v>6.9999999999999999E-4</v>
      </c>
      <c r="D44" s="230"/>
      <c r="E44" s="230"/>
      <c r="F44" s="231"/>
      <c r="G44" s="3351"/>
    </row>
    <row r="45" spans="1:7" s="206" customFormat="1" ht="13.5" customHeight="1">
      <c r="A45" s="731" t="s">
        <v>341</v>
      </c>
      <c r="B45" s="236" t="s">
        <v>85</v>
      </c>
      <c r="C45" s="237">
        <f>C46</f>
        <v>6</v>
      </c>
      <c r="D45" s="227">
        <f>C47</f>
        <v>8.9999999999999993E-3</v>
      </c>
      <c r="E45" s="228" t="s">
        <v>102</v>
      </c>
      <c r="F45" s="238"/>
      <c r="G45" s="239" t="s">
        <v>434</v>
      </c>
    </row>
    <row r="46" spans="1:7" s="206" customFormat="1" ht="13.5" customHeight="1">
      <c r="A46" s="734" t="s">
        <v>349</v>
      </c>
      <c r="B46" s="240" t="s">
        <v>427</v>
      </c>
      <c r="C46" s="241">
        <f>ROUND((C33+C39)*F27,0)</f>
        <v>6</v>
      </c>
      <c r="D46" s="255"/>
      <c r="E46" s="228"/>
      <c r="F46" s="238"/>
      <c r="G46" s="239"/>
    </row>
    <row r="47" spans="1:7" s="206" customFormat="1" ht="13.5" customHeight="1">
      <c r="A47" s="734" t="s">
        <v>347</v>
      </c>
      <c r="B47" s="240" t="s">
        <v>429</v>
      </c>
      <c r="C47" s="230">
        <f>ROUND(C40*F27,4)</f>
        <v>8.9999999999999993E-3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28</v>
      </c>
      <c r="D49" s="224"/>
      <c r="E49" s="224"/>
      <c r="F49" s="256"/>
      <c r="G49" s="226" t="s">
        <v>435</v>
      </c>
    </row>
    <row r="50" spans="1:7" s="250" customFormat="1" ht="24">
      <c r="A50" s="731" t="s">
        <v>344</v>
      </c>
      <c r="B50" s="202" t="s">
        <v>97</v>
      </c>
      <c r="C50" s="224"/>
      <c r="D50" s="224"/>
      <c r="E50" s="224"/>
      <c r="F50" s="256">
        <f>IF('数据-取费表'!B24=0,'数据-取费表'!N16,1)</f>
        <v>0.65</v>
      </c>
      <c r="G50" s="239" t="s">
        <v>98</v>
      </c>
    </row>
    <row r="51" spans="1:7" ht="16.5" customHeight="1">
      <c r="A51" s="731" t="s">
        <v>345</v>
      </c>
      <c r="B51" s="202" t="s">
        <v>105</v>
      </c>
      <c r="C51" s="224">
        <f ca="1">ROUND(C49*F50,0)</f>
        <v>18</v>
      </c>
      <c r="D51" s="224"/>
      <c r="E51" s="224"/>
      <c r="F51" s="256"/>
      <c r="G51" s="226" t="s">
        <v>37</v>
      </c>
    </row>
    <row r="52" spans="1:7" s="200" customFormat="1" ht="16.5" thickBot="1">
      <c r="A52" s="257" t="s">
        <v>38</v>
      </c>
      <c r="B52" s="258"/>
      <c r="C52" s="259">
        <f ca="1">C31+C51</f>
        <v>31543</v>
      </c>
      <c r="D52" s="258"/>
      <c r="E52" s="258"/>
      <c r="F52" s="258"/>
      <c r="G52" s="260"/>
    </row>
    <row r="55" spans="1:7" ht="15">
      <c r="B55" s="262" t="s">
        <v>39</v>
      </c>
      <c r="C55" s="263"/>
    </row>
    <row r="56" spans="1:7">
      <c r="B56" s="265" t="s">
        <v>40</v>
      </c>
      <c r="C56" s="266">
        <f ca="1">ROUND(C51/C52,3)</f>
        <v>1E-3</v>
      </c>
    </row>
    <row r="57" spans="1:7">
      <c r="B57" s="265" t="s">
        <v>41</v>
      </c>
      <c r="C57" s="267">
        <f ca="1">1-C56</f>
        <v>0.999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F954-E8A2-4C12-BCEF-A6E432CF2A4D}">
  <dimension ref="A1:AB78"/>
  <sheetViews>
    <sheetView topLeftCell="A7" workbookViewId="0">
      <selection activeCell="K6" sqref="K6"/>
    </sheetView>
  </sheetViews>
  <sheetFormatPr defaultRowHeight="13.5"/>
  <cols>
    <col min="11" max="13" width="8.625" customWidth="1"/>
    <col min="14" max="14" width="13.125" customWidth="1"/>
  </cols>
  <sheetData>
    <row r="1" spans="1:15" ht="14.25" thickBot="1"/>
    <row r="2" spans="1:15" ht="15" thickBot="1">
      <c r="A2" s="3143" t="s">
        <v>3396</v>
      </c>
      <c r="B2" s="3143" t="s">
        <v>3397</v>
      </c>
      <c r="C2" s="3143" t="s">
        <v>3398</v>
      </c>
      <c r="D2" s="3143" t="s">
        <v>3399</v>
      </c>
      <c r="E2" s="3143" t="s">
        <v>3400</v>
      </c>
      <c r="F2" s="3143" t="s">
        <v>3401</v>
      </c>
      <c r="G2" s="3143" t="s">
        <v>3402</v>
      </c>
      <c r="H2" s="3143" t="s">
        <v>3403</v>
      </c>
      <c r="I2" s="3143" t="s">
        <v>3404</v>
      </c>
      <c r="J2" s="3143" t="s">
        <v>3405</v>
      </c>
      <c r="K2" s="3143" t="s">
        <v>3406</v>
      </c>
      <c r="L2" s="3143" t="s">
        <v>3407</v>
      </c>
      <c r="M2" s="3143" t="s">
        <v>3408</v>
      </c>
      <c r="N2" s="3143" t="s">
        <v>3409</v>
      </c>
    </row>
    <row r="3" spans="1:15" s="3146" customFormat="1" ht="43.5" thickBot="1">
      <c r="A3" s="3144" t="s">
        <v>3395</v>
      </c>
      <c r="B3" s="3144" t="s">
        <v>3393</v>
      </c>
      <c r="C3" s="3144" t="s">
        <v>3394</v>
      </c>
      <c r="D3" s="3144">
        <v>57.11</v>
      </c>
      <c r="E3" s="3144" t="s">
        <v>3388</v>
      </c>
      <c r="F3" s="3144">
        <v>6</v>
      </c>
      <c r="G3" s="3144">
        <v>2</v>
      </c>
      <c r="H3" s="3144">
        <v>1983</v>
      </c>
      <c r="I3" s="3144" t="s">
        <v>633</v>
      </c>
      <c r="J3" s="3144" t="s">
        <v>633</v>
      </c>
      <c r="K3" s="3144">
        <v>98932</v>
      </c>
      <c r="L3" s="3144">
        <v>94631</v>
      </c>
      <c r="M3" s="3144">
        <v>5404376</v>
      </c>
      <c r="N3" s="3145">
        <v>45296</v>
      </c>
    </row>
    <row r="4" spans="1:15" s="3146" customFormat="1" ht="29.25" thickBot="1">
      <c r="A4" s="3144" t="s">
        <v>3410</v>
      </c>
      <c r="B4" s="3144" t="s">
        <v>3393</v>
      </c>
      <c r="C4" s="3144" t="s">
        <v>3411</v>
      </c>
      <c r="D4" s="3144">
        <v>67.88</v>
      </c>
      <c r="E4" s="3144" t="s">
        <v>3388</v>
      </c>
      <c r="F4" s="3144">
        <v>4</v>
      </c>
      <c r="G4" s="3144">
        <v>4</v>
      </c>
      <c r="H4" s="3144" t="s">
        <v>633</v>
      </c>
      <c r="I4" s="3144">
        <v>1955</v>
      </c>
      <c r="J4" s="3144" t="s">
        <v>633</v>
      </c>
      <c r="K4" s="3144">
        <v>87213</v>
      </c>
      <c r="L4" s="3144">
        <v>84935</v>
      </c>
      <c r="M4" s="3144">
        <v>5765388</v>
      </c>
      <c r="N4" s="3145">
        <v>45174</v>
      </c>
    </row>
    <row r="5" spans="1:15" s="3146" customFormat="1" ht="29.25" thickBot="1">
      <c r="A5" s="3144" t="s">
        <v>3412</v>
      </c>
      <c r="B5" s="3144" t="s">
        <v>3393</v>
      </c>
      <c r="C5" s="3144" t="s">
        <v>3394</v>
      </c>
      <c r="D5" s="3144">
        <v>26.86</v>
      </c>
      <c r="E5" s="3144" t="s">
        <v>3388</v>
      </c>
      <c r="F5" s="3144">
        <v>4</v>
      </c>
      <c r="G5" s="3144">
        <v>2</v>
      </c>
      <c r="H5" s="3144">
        <v>1958</v>
      </c>
      <c r="I5" s="3144" t="s">
        <v>633</v>
      </c>
      <c r="J5" s="3144" t="s">
        <v>633</v>
      </c>
      <c r="K5" s="3144">
        <v>146687</v>
      </c>
      <c r="L5" s="3144">
        <v>144198</v>
      </c>
      <c r="M5" s="3144">
        <v>3873158</v>
      </c>
      <c r="N5" s="3145">
        <v>45090</v>
      </c>
    </row>
    <row r="6" spans="1:15" s="3146" customFormat="1" ht="43.5" thickBot="1">
      <c r="A6" s="3147" t="s">
        <v>3413</v>
      </c>
      <c r="B6" s="3147" t="s">
        <v>3393</v>
      </c>
      <c r="C6" s="3147" t="s">
        <v>3394</v>
      </c>
      <c r="D6" s="3147">
        <v>46.8</v>
      </c>
      <c r="E6" s="3147" t="s">
        <v>3388</v>
      </c>
      <c r="F6" s="3147">
        <v>4</v>
      </c>
      <c r="G6" s="3147">
        <v>4</v>
      </c>
      <c r="H6" s="3147" t="s">
        <v>633</v>
      </c>
      <c r="I6" s="3147">
        <v>1955</v>
      </c>
      <c r="J6" s="3147" t="s">
        <v>633</v>
      </c>
      <c r="K6" s="3147">
        <v>103205</v>
      </c>
      <c r="L6" s="3147">
        <v>99182</v>
      </c>
      <c r="M6" s="3147">
        <v>4641718</v>
      </c>
      <c r="N6" s="3148">
        <v>45068</v>
      </c>
      <c r="O6" s="3146" t="s">
        <v>3461</v>
      </c>
    </row>
    <row r="7" spans="1:15" s="3146" customFormat="1" ht="29.25" thickBot="1">
      <c r="A7" s="3144" t="s">
        <v>3414</v>
      </c>
      <c r="B7" s="3144" t="s">
        <v>3393</v>
      </c>
      <c r="C7" s="3144" t="s">
        <v>3411</v>
      </c>
      <c r="D7" s="3144">
        <v>45.7</v>
      </c>
      <c r="E7" s="3144" t="s">
        <v>3388</v>
      </c>
      <c r="F7" s="3144">
        <v>6</v>
      </c>
      <c r="G7" s="3144">
        <v>4</v>
      </c>
      <c r="H7" s="3144">
        <v>1983</v>
      </c>
      <c r="I7" s="3144" t="s">
        <v>633</v>
      </c>
      <c r="J7" s="3144" t="s">
        <v>633</v>
      </c>
      <c r="K7" s="3144">
        <v>109409</v>
      </c>
      <c r="L7" s="3144">
        <v>105522</v>
      </c>
      <c r="M7" s="3144">
        <v>4822355</v>
      </c>
      <c r="N7" s="3145">
        <v>45051</v>
      </c>
    </row>
    <row r="8" spans="1:15" s="3146" customFormat="1" ht="29.25" thickBot="1">
      <c r="A8" s="3144" t="s">
        <v>3415</v>
      </c>
      <c r="B8" s="3144" t="s">
        <v>3416</v>
      </c>
      <c r="C8" s="3144" t="s">
        <v>3411</v>
      </c>
      <c r="D8" s="3144">
        <v>50.99</v>
      </c>
      <c r="E8" s="3144" t="s">
        <v>3388</v>
      </c>
      <c r="F8" s="3144">
        <v>4</v>
      </c>
      <c r="G8" s="3144">
        <v>2</v>
      </c>
      <c r="H8" s="3144" t="s">
        <v>633</v>
      </c>
      <c r="I8" s="3144">
        <v>1958</v>
      </c>
      <c r="J8" s="3144" t="s">
        <v>633</v>
      </c>
      <c r="K8" s="3144">
        <v>101000</v>
      </c>
      <c r="L8" s="3144">
        <v>90666</v>
      </c>
      <c r="M8" s="3144">
        <v>4623059</v>
      </c>
      <c r="N8" s="3145">
        <v>45123</v>
      </c>
    </row>
    <row r="9" spans="1:15" s="3146" customFormat="1" ht="29.25" thickBot="1">
      <c r="A9" s="3144" t="s">
        <v>3417</v>
      </c>
      <c r="B9" s="3144" t="s">
        <v>3393</v>
      </c>
      <c r="C9" s="3144" t="s">
        <v>3411</v>
      </c>
      <c r="D9" s="3144">
        <v>54.65</v>
      </c>
      <c r="E9" s="3144" t="s">
        <v>3388</v>
      </c>
      <c r="F9" s="3144">
        <v>5</v>
      </c>
      <c r="G9" s="3144">
        <v>4</v>
      </c>
      <c r="H9" s="3144">
        <v>1955</v>
      </c>
      <c r="I9" s="3144" t="s">
        <v>633</v>
      </c>
      <c r="J9" s="3144" t="s">
        <v>633</v>
      </c>
      <c r="K9" s="3144">
        <v>93321</v>
      </c>
      <c r="L9" s="3144">
        <v>90267</v>
      </c>
      <c r="M9" s="3144">
        <v>4933092</v>
      </c>
      <c r="N9" s="3145">
        <v>44980</v>
      </c>
    </row>
    <row r="10" spans="1:15" ht="29.25" thickBot="1">
      <c r="A10" s="3144" t="s">
        <v>3418</v>
      </c>
      <c r="B10" s="3144" t="s">
        <v>3393</v>
      </c>
      <c r="C10" s="3144" t="s">
        <v>3411</v>
      </c>
      <c r="D10" s="3144">
        <v>60.05</v>
      </c>
      <c r="E10" s="3144" t="s">
        <v>3388</v>
      </c>
      <c r="F10" s="3144">
        <v>4</v>
      </c>
      <c r="G10" s="3144">
        <v>4</v>
      </c>
      <c r="H10" s="3144">
        <v>1955</v>
      </c>
      <c r="I10" s="3144" t="s">
        <v>633</v>
      </c>
      <c r="J10" s="3144" t="s">
        <v>633</v>
      </c>
      <c r="K10" s="3144">
        <v>92923</v>
      </c>
      <c r="L10" s="3144">
        <v>83739</v>
      </c>
      <c r="M10" s="3144">
        <v>5028527</v>
      </c>
      <c r="N10" s="3145">
        <v>44969</v>
      </c>
    </row>
    <row r="11" spans="1:15" ht="29.25" thickBot="1">
      <c r="A11" s="3144" t="s">
        <v>3419</v>
      </c>
      <c r="B11" s="3144" t="s">
        <v>3393</v>
      </c>
      <c r="C11" s="3144" t="s">
        <v>3411</v>
      </c>
      <c r="D11" s="3144">
        <v>82.96</v>
      </c>
      <c r="E11" s="3144" t="s">
        <v>3388</v>
      </c>
      <c r="F11" s="3144">
        <v>5</v>
      </c>
      <c r="G11" s="3144">
        <v>3</v>
      </c>
      <c r="H11" s="3144">
        <v>1958</v>
      </c>
      <c r="I11" s="3144" t="s">
        <v>633</v>
      </c>
      <c r="J11" s="3144" t="s">
        <v>633</v>
      </c>
      <c r="K11" s="3144">
        <v>88959</v>
      </c>
      <c r="L11" s="3144">
        <v>85767</v>
      </c>
      <c r="M11" s="3144">
        <v>7115230</v>
      </c>
      <c r="N11" s="3145">
        <v>44924</v>
      </c>
    </row>
    <row r="12" spans="1:15" ht="29.25" thickBot="1">
      <c r="A12" s="3147" t="s">
        <v>3420</v>
      </c>
      <c r="B12" s="3147" t="s">
        <v>3416</v>
      </c>
      <c r="C12" s="3147" t="s">
        <v>3411</v>
      </c>
      <c r="D12" s="3147">
        <v>46.07</v>
      </c>
      <c r="E12" s="3147" t="s">
        <v>3388</v>
      </c>
      <c r="F12" s="3147">
        <v>4</v>
      </c>
      <c r="G12" s="3147">
        <v>3</v>
      </c>
      <c r="H12" s="3147" t="s">
        <v>633</v>
      </c>
      <c r="I12" s="3147">
        <v>1958</v>
      </c>
      <c r="J12" s="3147" t="s">
        <v>633</v>
      </c>
      <c r="K12" s="3147">
        <v>95507</v>
      </c>
      <c r="L12" s="3147">
        <v>92586</v>
      </c>
      <c r="M12" s="3147">
        <v>4265437</v>
      </c>
      <c r="N12" s="3148">
        <v>44903</v>
      </c>
      <c r="O12" s="3146" t="s">
        <v>3461</v>
      </c>
    </row>
    <row r="13" spans="1:15" ht="29.25" thickBot="1">
      <c r="A13" s="3147" t="s">
        <v>3421</v>
      </c>
      <c r="B13" s="3147" t="s">
        <v>3393</v>
      </c>
      <c r="C13" s="3147" t="s">
        <v>3411</v>
      </c>
      <c r="D13" s="3147">
        <v>44.81</v>
      </c>
      <c r="E13" s="3147" t="s">
        <v>3388</v>
      </c>
      <c r="F13" s="3147">
        <v>4</v>
      </c>
      <c r="G13" s="3147">
        <v>1</v>
      </c>
      <c r="H13" s="3147" t="s">
        <v>3422</v>
      </c>
      <c r="I13" s="3147" t="s">
        <v>633</v>
      </c>
      <c r="J13" s="3147">
        <v>1957</v>
      </c>
      <c r="K13" s="3147">
        <v>107342</v>
      </c>
      <c r="L13" s="3147">
        <v>94709</v>
      </c>
      <c r="M13" s="3147">
        <v>4243910</v>
      </c>
      <c r="N13" s="3148">
        <v>44844</v>
      </c>
      <c r="O13" s="3146" t="s">
        <v>3461</v>
      </c>
    </row>
    <row r="14" spans="1:15" ht="29.25" thickBot="1">
      <c r="A14" s="3149" t="s">
        <v>3423</v>
      </c>
      <c r="B14" s="3149" t="s">
        <v>3393</v>
      </c>
      <c r="C14" s="3149" t="s">
        <v>3411</v>
      </c>
      <c r="D14" s="3149">
        <v>54.65</v>
      </c>
      <c r="E14" s="3149" t="s">
        <v>3388</v>
      </c>
      <c r="F14" s="3149">
        <v>5</v>
      </c>
      <c r="G14" s="3149">
        <v>3</v>
      </c>
      <c r="H14" s="3149" t="s">
        <v>633</v>
      </c>
      <c r="I14" s="3149">
        <v>1960</v>
      </c>
      <c r="J14" s="3149" t="s">
        <v>633</v>
      </c>
      <c r="K14" s="3149">
        <v>92406</v>
      </c>
      <c r="L14" s="3149">
        <v>81040</v>
      </c>
      <c r="M14" s="3149">
        <v>4428836</v>
      </c>
      <c r="N14" s="3150">
        <v>44883</v>
      </c>
    </row>
    <row r="15" spans="1:15" ht="29.25" thickBot="1">
      <c r="A15" s="3147" t="s">
        <v>3424</v>
      </c>
      <c r="B15" s="3147" t="s">
        <v>3393</v>
      </c>
      <c r="C15" s="3147" t="s">
        <v>3411</v>
      </c>
      <c r="D15" s="3147">
        <v>51.96</v>
      </c>
      <c r="E15" s="3147" t="s">
        <v>3388</v>
      </c>
      <c r="F15" s="3147">
        <v>5</v>
      </c>
      <c r="G15" s="3147">
        <v>2</v>
      </c>
      <c r="H15" s="3147">
        <v>1957</v>
      </c>
      <c r="I15" s="3147" t="s">
        <v>633</v>
      </c>
      <c r="J15" s="3147" t="s">
        <v>633</v>
      </c>
      <c r="K15" s="3147">
        <v>94303</v>
      </c>
      <c r="L15" s="3147">
        <v>89836</v>
      </c>
      <c r="M15" s="3147">
        <v>4667879</v>
      </c>
      <c r="N15" s="3148">
        <v>44768</v>
      </c>
    </row>
    <row r="16" spans="1:15" ht="29.25" thickBot="1">
      <c r="A16" s="3149" t="s">
        <v>3425</v>
      </c>
      <c r="B16" s="3149" t="s">
        <v>3393</v>
      </c>
      <c r="C16" s="3149" t="s">
        <v>3394</v>
      </c>
      <c r="D16" s="3149">
        <v>46.4</v>
      </c>
      <c r="E16" s="3149" t="s">
        <v>3388</v>
      </c>
      <c r="F16" s="3149">
        <v>6</v>
      </c>
      <c r="G16" s="3149">
        <v>1</v>
      </c>
      <c r="H16" s="3149">
        <v>1983</v>
      </c>
      <c r="I16" s="3149" t="s">
        <v>633</v>
      </c>
      <c r="J16" s="3149" t="s">
        <v>633</v>
      </c>
      <c r="K16" s="3149">
        <v>112716</v>
      </c>
      <c r="L16" s="3149">
        <v>105967</v>
      </c>
      <c r="M16" s="3149">
        <v>4916869</v>
      </c>
      <c r="N16" s="3150">
        <v>44748</v>
      </c>
    </row>
    <row r="17" spans="1:14" ht="29.25" thickBot="1">
      <c r="A17" s="3149" t="s">
        <v>3426</v>
      </c>
      <c r="B17" s="3149" t="s">
        <v>3393</v>
      </c>
      <c r="C17" s="3149" t="s">
        <v>3411</v>
      </c>
      <c r="D17" s="3149">
        <v>45.8</v>
      </c>
      <c r="E17" s="3149" t="s">
        <v>3388</v>
      </c>
      <c r="F17" s="3149">
        <v>4</v>
      </c>
      <c r="G17" s="3149">
        <v>2</v>
      </c>
      <c r="H17" s="3149" t="s">
        <v>633</v>
      </c>
      <c r="I17" s="3149">
        <v>1959</v>
      </c>
      <c r="J17" s="3149">
        <v>1962</v>
      </c>
      <c r="K17" s="3149">
        <v>106987</v>
      </c>
      <c r="L17" s="3149">
        <v>102146</v>
      </c>
      <c r="M17" s="3149">
        <v>4678287</v>
      </c>
      <c r="N17" s="3150">
        <v>44589</v>
      </c>
    </row>
    <row r="18" spans="1:14" ht="43.5" thickBot="1">
      <c r="A18" s="3149" t="s">
        <v>3427</v>
      </c>
      <c r="B18" s="3149" t="s">
        <v>3393</v>
      </c>
      <c r="C18" s="3149" t="s">
        <v>3411</v>
      </c>
      <c r="D18" s="3149">
        <v>67.66</v>
      </c>
      <c r="E18" s="3149" t="s">
        <v>3388</v>
      </c>
      <c r="F18" s="3149">
        <v>4</v>
      </c>
      <c r="G18" s="3149">
        <v>2</v>
      </c>
      <c r="H18" s="3149" t="s">
        <v>633</v>
      </c>
      <c r="I18" s="3149">
        <v>1958</v>
      </c>
      <c r="J18" s="3149">
        <v>1963</v>
      </c>
      <c r="K18" s="3149">
        <v>0</v>
      </c>
      <c r="L18" s="3149">
        <v>92230</v>
      </c>
      <c r="M18" s="3149">
        <v>6240282</v>
      </c>
      <c r="N18" s="3150">
        <v>44288</v>
      </c>
    </row>
    <row r="19" spans="1:14" ht="43.5" thickBot="1">
      <c r="A19" s="3149" t="s">
        <v>3428</v>
      </c>
      <c r="B19" s="3149" t="s">
        <v>3393</v>
      </c>
      <c r="C19" s="3149" t="s">
        <v>3394</v>
      </c>
      <c r="D19" s="3149">
        <v>57.37</v>
      </c>
      <c r="E19" s="3149" t="s">
        <v>3388</v>
      </c>
      <c r="F19" s="3149" t="s">
        <v>3429</v>
      </c>
      <c r="G19" s="3149">
        <v>6</v>
      </c>
      <c r="H19" s="3149">
        <v>1983</v>
      </c>
      <c r="I19" s="3149" t="s">
        <v>633</v>
      </c>
      <c r="J19" s="3149" t="s">
        <v>633</v>
      </c>
      <c r="K19" s="3149">
        <v>98658</v>
      </c>
      <c r="L19" s="3149">
        <v>93954</v>
      </c>
      <c r="M19" s="3149">
        <v>5390141</v>
      </c>
      <c r="N19" s="3150">
        <v>44272</v>
      </c>
    </row>
    <row r="46" spans="11:13">
      <c r="K46">
        <v>46.1</v>
      </c>
      <c r="L46">
        <v>6300</v>
      </c>
      <c r="M46">
        <f>L46/K46</f>
        <v>136.65943600867678</v>
      </c>
    </row>
    <row r="47" spans="11:13">
      <c r="K47">
        <v>45.86</v>
      </c>
      <c r="L47">
        <v>7960</v>
      </c>
      <c r="M47">
        <f t="shared" ref="M47:M49" si="0">L47/K47</f>
        <v>173.57174007849977</v>
      </c>
    </row>
    <row r="48" spans="11:13">
      <c r="K48">
        <v>48.76</v>
      </c>
      <c r="L48">
        <v>6600</v>
      </c>
      <c r="M48">
        <f t="shared" si="0"/>
        <v>135.35684987694833</v>
      </c>
    </row>
    <row r="49" spans="11:19">
      <c r="K49">
        <v>45.42</v>
      </c>
      <c r="L49">
        <v>6190</v>
      </c>
      <c r="M49">
        <f t="shared" si="0"/>
        <v>136.28357551739322</v>
      </c>
    </row>
    <row r="50" spans="11:19">
      <c r="K50" s="3151">
        <f>'数据-汇总表'!F19</f>
        <v>44.28</v>
      </c>
      <c r="L50" s="3151">
        <f>ROUND(M50*K50,-2)</f>
        <v>6400</v>
      </c>
      <c r="M50" s="3151">
        <f>AVERAGE(M46:M49)</f>
        <v>145.46790037037954</v>
      </c>
    </row>
    <row r="52" spans="11:19">
      <c r="Q52" t="s">
        <v>3465</v>
      </c>
    </row>
    <row r="53" spans="11:19">
      <c r="P53" s="3156" t="s">
        <v>3452</v>
      </c>
      <c r="Q53">
        <v>99</v>
      </c>
      <c r="R53">
        <f t="shared" ref="R53:R55" si="1">Q53*$S$59</f>
        <v>97.536945812807886</v>
      </c>
    </row>
    <row r="54" spans="11:19">
      <c r="P54" s="3156" t="s">
        <v>3453</v>
      </c>
      <c r="Q54">
        <v>100</v>
      </c>
      <c r="R54">
        <f t="shared" si="1"/>
        <v>98.522167487684726</v>
      </c>
    </row>
    <row r="55" spans="11:19">
      <c r="P55" s="3156" t="s">
        <v>3454</v>
      </c>
      <c r="Q55">
        <v>102</v>
      </c>
      <c r="R55">
        <f t="shared" si="1"/>
        <v>100.49261083743842</v>
      </c>
    </row>
    <row r="56" spans="11:19">
      <c r="P56" s="3156" t="s">
        <v>3455</v>
      </c>
      <c r="Q56">
        <v>98</v>
      </c>
      <c r="R56">
        <f>Q56*$S$59</f>
        <v>96.551724137931032</v>
      </c>
    </row>
    <row r="57" spans="11:19">
      <c r="P57" s="3156" t="s">
        <v>3456</v>
      </c>
    </row>
    <row r="58" spans="11:19">
      <c r="P58" s="3156" t="s">
        <v>3457</v>
      </c>
    </row>
    <row r="59" spans="11:19">
      <c r="P59" s="3156" t="s">
        <v>3458</v>
      </c>
      <c r="Q59">
        <v>101.5</v>
      </c>
      <c r="R59">
        <v>100</v>
      </c>
      <c r="S59">
        <f>R59/Q59</f>
        <v>0.98522167487684731</v>
      </c>
    </row>
    <row r="60" spans="11:19">
      <c r="P60" s="3155"/>
    </row>
    <row r="61" spans="11:19">
      <c r="P61" s="3155"/>
    </row>
    <row r="62" spans="11:19">
      <c r="P62" s="3155"/>
    </row>
    <row r="65" spans="12:28">
      <c r="Z65">
        <f>Z66/Z67</f>
        <v>1.0204081632653061</v>
      </c>
    </row>
    <row r="66" spans="12:28">
      <c r="R66">
        <f>R67*Z65</f>
        <v>104.08163265306122</v>
      </c>
      <c r="Z66">
        <v>100</v>
      </c>
    </row>
    <row r="67" spans="12:28" ht="14.25" thickBot="1">
      <c r="R67">
        <v>102</v>
      </c>
      <c r="S67">
        <v>101.5</v>
      </c>
      <c r="T67">
        <v>101</v>
      </c>
      <c r="U67">
        <v>100.5</v>
      </c>
      <c r="V67">
        <v>100</v>
      </c>
      <c r="W67">
        <v>99.5</v>
      </c>
      <c r="X67">
        <v>99</v>
      </c>
      <c r="Y67">
        <v>98.5</v>
      </c>
      <c r="Z67">
        <v>98</v>
      </c>
    </row>
    <row r="68" spans="12:28" ht="19.5" thickBot="1">
      <c r="Q68" s="3159" t="s">
        <v>3466</v>
      </c>
      <c r="R68" s="3160" t="s">
        <v>3460</v>
      </c>
      <c r="S68" s="3160" t="s">
        <v>3467</v>
      </c>
      <c r="T68" s="3160" t="s">
        <v>3468</v>
      </c>
      <c r="U68" s="3160" t="s">
        <v>3469</v>
      </c>
      <c r="V68" s="3160" t="s">
        <v>3470</v>
      </c>
      <c r="W68" s="3160" t="s">
        <v>3471</v>
      </c>
      <c r="X68" s="3160" t="s">
        <v>3472</v>
      </c>
      <c r="Y68" s="3160" t="s">
        <v>3473</v>
      </c>
      <c r="Z68" s="3160" t="s">
        <v>3463</v>
      </c>
      <c r="AA68" s="3160" t="s">
        <v>3474</v>
      </c>
    </row>
    <row r="69" spans="12:28" ht="18.75">
      <c r="Q69" s="3161" t="s">
        <v>3475</v>
      </c>
      <c r="R69" s="3485">
        <v>0.02</v>
      </c>
      <c r="S69" s="3487">
        <v>1.4999999999999999E-2</v>
      </c>
      <c r="T69" s="3485">
        <v>0.01</v>
      </c>
      <c r="U69" s="3487">
        <v>5.0000000000000001E-3</v>
      </c>
      <c r="V69" s="3485">
        <v>0</v>
      </c>
      <c r="W69" s="3487">
        <v>-5.0000000000000001E-3</v>
      </c>
      <c r="X69" s="3485">
        <v>-0.01</v>
      </c>
      <c r="Y69" s="3487">
        <v>-1.4999999999999999E-2</v>
      </c>
      <c r="Z69" s="3485">
        <v>-0.02</v>
      </c>
      <c r="AA69" s="3487">
        <v>-2.5000000000000001E-2</v>
      </c>
    </row>
    <row r="70" spans="12:28" ht="19.5" thickBot="1">
      <c r="Q70" s="3162" t="s">
        <v>3476</v>
      </c>
      <c r="R70" s="3486"/>
      <c r="S70" s="3488"/>
      <c r="T70" s="3486"/>
      <c r="U70" s="3488"/>
      <c r="V70" s="3486"/>
      <c r="W70" s="3488"/>
      <c r="X70" s="3486"/>
      <c r="Y70" s="3488"/>
      <c r="Z70" s="3486"/>
      <c r="AA70" s="3488"/>
    </row>
    <row r="74" spans="12:28">
      <c r="L74" s="3152">
        <v>45231</v>
      </c>
      <c r="M74" s="3152">
        <v>45200</v>
      </c>
      <c r="N74" s="3152">
        <v>45170</v>
      </c>
      <c r="O74" s="3152">
        <v>45139</v>
      </c>
      <c r="P74" s="3152">
        <v>45108</v>
      </c>
      <c r="Q74" s="3152">
        <v>45078</v>
      </c>
      <c r="R74" s="3152">
        <v>45047</v>
      </c>
      <c r="S74" s="3152">
        <v>45017</v>
      </c>
      <c r="T74" s="3152">
        <v>44986</v>
      </c>
      <c r="U74" s="3152">
        <v>44958</v>
      </c>
      <c r="V74" s="3152">
        <v>44927</v>
      </c>
      <c r="W74" s="3152">
        <v>44896</v>
      </c>
      <c r="X74" s="3152">
        <v>44866</v>
      </c>
      <c r="Y74" s="3152">
        <v>44835</v>
      </c>
      <c r="Z74" s="3152">
        <v>44805</v>
      </c>
      <c r="AA74" s="3152">
        <v>44774</v>
      </c>
      <c r="AB74" s="3152">
        <v>44743</v>
      </c>
    </row>
    <row r="75" spans="12:28">
      <c r="L75">
        <v>98.6</v>
      </c>
      <c r="M75">
        <v>98.9</v>
      </c>
      <c r="N75">
        <v>100.7</v>
      </c>
      <c r="O75">
        <v>100.4</v>
      </c>
      <c r="P75">
        <v>99.4</v>
      </c>
      <c r="Q75">
        <v>99.3</v>
      </c>
      <c r="R75">
        <v>99.4</v>
      </c>
      <c r="S75">
        <v>100.1</v>
      </c>
      <c r="T75">
        <v>100.7</v>
      </c>
      <c r="U75">
        <v>100.8</v>
      </c>
      <c r="V75">
        <v>100.9</v>
      </c>
      <c r="W75">
        <v>99.6</v>
      </c>
      <c r="X75">
        <v>99.8</v>
      </c>
      <c r="Y75">
        <v>100.1</v>
      </c>
      <c r="Z75">
        <v>100.4</v>
      </c>
      <c r="AA75">
        <v>100.2</v>
      </c>
      <c r="AB75">
        <v>100.2</v>
      </c>
    </row>
    <row r="76" spans="12:28">
      <c r="L76">
        <v>1</v>
      </c>
      <c r="M76">
        <f>100/L75</f>
        <v>1.0141987829614605</v>
      </c>
      <c r="N76">
        <f>100/M75</f>
        <v>1.0111223458038423</v>
      </c>
      <c r="O76">
        <f>100/N75</f>
        <v>0.99304865938430975</v>
      </c>
      <c r="P76">
        <f t="shared" ref="P76:AB76" si="2">100/O75</f>
        <v>0.99601593625497997</v>
      </c>
      <c r="Q76">
        <f t="shared" si="2"/>
        <v>1.0060362173038229</v>
      </c>
      <c r="R76">
        <f t="shared" si="2"/>
        <v>1.0070493454179255</v>
      </c>
      <c r="S76">
        <f t="shared" si="2"/>
        <v>1.0060362173038229</v>
      </c>
      <c r="T76">
        <f t="shared" si="2"/>
        <v>0.99900099900099903</v>
      </c>
      <c r="U76">
        <f t="shared" si="2"/>
        <v>0.99304865938430975</v>
      </c>
      <c r="V76">
        <f t="shared" si="2"/>
        <v>0.99206349206349209</v>
      </c>
      <c r="W76">
        <f t="shared" si="2"/>
        <v>0.99108027750247762</v>
      </c>
      <c r="X76">
        <f t="shared" si="2"/>
        <v>1.0040160642570282</v>
      </c>
      <c r="Y76">
        <f t="shared" si="2"/>
        <v>1.0020040080160322</v>
      </c>
      <c r="Z76">
        <f t="shared" si="2"/>
        <v>0.99900099900099903</v>
      </c>
      <c r="AA76">
        <f t="shared" si="2"/>
        <v>0.99601593625497997</v>
      </c>
      <c r="AB76">
        <f t="shared" si="2"/>
        <v>0.99800399201596801</v>
      </c>
    </row>
    <row r="77" spans="12:28">
      <c r="L77">
        <v>1</v>
      </c>
      <c r="M77">
        <f>L77*M76</f>
        <v>1.0141987829614605</v>
      </c>
      <c r="N77">
        <f>M77*N76</f>
        <v>1.0254790525393938</v>
      </c>
      <c r="O77">
        <f>N77*O76</f>
        <v>1.0183505983509371</v>
      </c>
      <c r="P77">
        <f t="shared" ref="P77:AB77" si="3">O77*P76</f>
        <v>1.0142934246523276</v>
      </c>
      <c r="Q77">
        <f t="shared" si="3"/>
        <v>1.0204159201733678</v>
      </c>
      <c r="R77">
        <f t="shared" si="3"/>
        <v>1.02760918446462</v>
      </c>
      <c r="S77">
        <f t="shared" si="3"/>
        <v>1.0338120568054527</v>
      </c>
      <c r="T77">
        <f t="shared" si="3"/>
        <v>1.0327792775279248</v>
      </c>
      <c r="U77">
        <f t="shared" si="3"/>
        <v>1.0256000769890017</v>
      </c>
      <c r="V77">
        <f t="shared" si="3"/>
        <v>1.0174603938382953</v>
      </c>
      <c r="W77">
        <f t="shared" si="3"/>
        <v>1.0083849294730378</v>
      </c>
      <c r="X77">
        <f t="shared" si="3"/>
        <v>1.0124346681456204</v>
      </c>
      <c r="Y77">
        <f t="shared" si="3"/>
        <v>1.014463595336293</v>
      </c>
      <c r="Z77">
        <f t="shared" si="3"/>
        <v>1.013450145191102</v>
      </c>
      <c r="AA77">
        <f t="shared" si="3"/>
        <v>1.0094124952102608</v>
      </c>
      <c r="AB77">
        <f t="shared" si="3"/>
        <v>1.0073976998106395</v>
      </c>
    </row>
    <row r="78" spans="12:28">
      <c r="L78">
        <v>100</v>
      </c>
      <c r="M78">
        <f>M77*100</f>
        <v>101.41987829614605</v>
      </c>
      <c r="N78">
        <f t="shared" ref="N78:AB78" si="4">N77*100</f>
        <v>102.54790525393938</v>
      </c>
      <c r="O78">
        <f t="shared" si="4"/>
        <v>101.83505983509372</v>
      </c>
      <c r="P78">
        <f t="shared" si="4"/>
        <v>101.42934246523276</v>
      </c>
      <c r="Q78">
        <f t="shared" si="4"/>
        <v>102.04159201733678</v>
      </c>
      <c r="R78">
        <f t="shared" si="4"/>
        <v>102.760918446462</v>
      </c>
      <c r="S78">
        <f t="shared" si="4"/>
        <v>103.38120568054528</v>
      </c>
      <c r="T78">
        <f t="shared" si="4"/>
        <v>103.27792775279248</v>
      </c>
      <c r="U78">
        <f t="shared" si="4"/>
        <v>102.56000769890016</v>
      </c>
      <c r="V78">
        <f t="shared" si="4"/>
        <v>101.74603938382954</v>
      </c>
      <c r="W78">
        <f t="shared" si="4"/>
        <v>100.83849294730378</v>
      </c>
      <c r="X78">
        <f t="shared" si="4"/>
        <v>101.24346681456204</v>
      </c>
      <c r="Y78">
        <f t="shared" si="4"/>
        <v>101.44635953362931</v>
      </c>
      <c r="Z78">
        <f t="shared" si="4"/>
        <v>101.34501451911019</v>
      </c>
      <c r="AA78">
        <f t="shared" si="4"/>
        <v>100.94124952102608</v>
      </c>
      <c r="AB78">
        <f t="shared" si="4"/>
        <v>100.73976998106396</v>
      </c>
    </row>
  </sheetData>
  <mergeCells count="10">
    <mergeCell ref="X69:X70"/>
    <mergeCell ref="Y69:Y70"/>
    <mergeCell ref="Z69:Z70"/>
    <mergeCell ref="AA69:AA70"/>
    <mergeCell ref="R69:R70"/>
    <mergeCell ref="S69:S70"/>
    <mergeCell ref="T69:T70"/>
    <mergeCell ref="U69:U70"/>
    <mergeCell ref="V69:V70"/>
    <mergeCell ref="W69:W70"/>
  </mergeCells>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M9" sqref="M9"/>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91" t="s">
        <v>2842</v>
      </c>
      <c r="B1" s="3491"/>
      <c r="C1" s="3491"/>
      <c r="D1" s="3491"/>
      <c r="E1" s="3491"/>
      <c r="F1" s="3491"/>
      <c r="G1" s="3492"/>
      <c r="I1" s="2937" t="s">
        <v>2843</v>
      </c>
      <c r="J1" s="2938" t="s">
        <v>2844</v>
      </c>
      <c r="K1" s="2938" t="s">
        <v>2845</v>
      </c>
      <c r="L1" s="2938" t="s">
        <v>2846</v>
      </c>
      <c r="M1" s="2938" t="s">
        <v>2847</v>
      </c>
      <c r="N1" s="2938" t="s">
        <v>2848</v>
      </c>
      <c r="O1" s="2938" t="s">
        <v>2849</v>
      </c>
      <c r="P1" s="2938" t="s">
        <v>2850</v>
      </c>
      <c r="Q1" s="2938" t="s">
        <v>2851</v>
      </c>
      <c r="R1" s="2938" t="s">
        <v>2852</v>
      </c>
      <c r="S1" s="2938" t="s">
        <v>2853</v>
      </c>
      <c r="T1" s="2939" t="s">
        <v>2854</v>
      </c>
    </row>
    <row r="2" spans="1:20" ht="12" thickBot="1">
      <c r="A2" s="2940" t="s">
        <v>2855</v>
      </c>
      <c r="B2" s="2940"/>
      <c r="C2" s="2940"/>
      <c r="D2" s="2940"/>
      <c r="E2" s="2940"/>
      <c r="F2" s="2940"/>
      <c r="G2" s="2941" t="s">
        <v>2856</v>
      </c>
      <c r="I2" s="2942" t="s">
        <v>2857</v>
      </c>
      <c r="J2" s="2942" t="s">
        <v>2858</v>
      </c>
      <c r="K2" s="2942" t="s">
        <v>2859</v>
      </c>
      <c r="L2" s="2942" t="s">
        <v>2860</v>
      </c>
      <c r="M2" s="2942" t="s">
        <v>2861</v>
      </c>
      <c r="N2" s="2942" t="s">
        <v>2862</v>
      </c>
      <c r="O2" s="2942" t="s">
        <v>2863</v>
      </c>
      <c r="P2" s="2942" t="s">
        <v>2864</v>
      </c>
      <c r="Q2" s="2942" t="s">
        <v>2865</v>
      </c>
      <c r="R2" s="2942" t="s">
        <v>2866</v>
      </c>
      <c r="S2" s="2942" t="s">
        <v>2867</v>
      </c>
      <c r="T2" s="2942" t="s">
        <v>2868</v>
      </c>
    </row>
    <row r="3" spans="1:20" s="2948" customFormat="1">
      <c r="A3" s="3489" t="s">
        <v>2869</v>
      </c>
      <c r="B3" s="2943"/>
      <c r="C3" s="2944" t="s">
        <v>2814</v>
      </c>
      <c r="D3" s="2944" t="s">
        <v>2870</v>
      </c>
      <c r="E3" s="2944" t="s">
        <v>2816</v>
      </c>
      <c r="F3" s="2944" t="s">
        <v>2871</v>
      </c>
      <c r="G3" s="2944" t="s">
        <v>2634</v>
      </c>
      <c r="H3" s="2945"/>
      <c r="I3" s="2946" t="s">
        <v>2872</v>
      </c>
      <c r="J3" s="2947" t="s">
        <v>128</v>
      </c>
      <c r="K3" s="2947" t="s">
        <v>129</v>
      </c>
      <c r="L3" s="2946" t="s">
        <v>130</v>
      </c>
      <c r="M3" s="2946" t="s">
        <v>131</v>
      </c>
      <c r="N3" s="2946" t="s">
        <v>132</v>
      </c>
      <c r="O3" s="2946" t="s">
        <v>133</v>
      </c>
      <c r="P3" s="2946" t="s">
        <v>134</v>
      </c>
      <c r="Q3" s="2946" t="s">
        <v>135</v>
      </c>
      <c r="R3" s="2946" t="s">
        <v>136</v>
      </c>
      <c r="S3" s="2946" t="s">
        <v>2873</v>
      </c>
      <c r="T3" s="2946" t="s">
        <v>2874</v>
      </c>
    </row>
    <row r="4" spans="1:20" s="2948" customFormat="1" ht="12" thickBot="1">
      <c r="A4" s="3490"/>
      <c r="B4" s="2949" t="s">
        <v>2875</v>
      </c>
      <c r="C4" s="2949" t="s">
        <v>2876</v>
      </c>
      <c r="D4" s="2949" t="s">
        <v>2876</v>
      </c>
      <c r="E4" s="2949" t="s">
        <v>2876</v>
      </c>
      <c r="F4" s="2950" t="s">
        <v>2876</v>
      </c>
      <c r="G4" s="2950" t="s">
        <v>2876</v>
      </c>
      <c r="H4" s="2945"/>
      <c r="I4" s="2947" t="s">
        <v>137</v>
      </c>
      <c r="J4" s="2947" t="s">
        <v>111</v>
      </c>
      <c r="K4" s="2947" t="s">
        <v>138</v>
      </c>
      <c r="L4" s="2946" t="s">
        <v>139</v>
      </c>
      <c r="M4" s="2946" t="s">
        <v>140</v>
      </c>
      <c r="N4" s="2946" t="s">
        <v>141</v>
      </c>
      <c r="O4" s="2946" t="s">
        <v>142</v>
      </c>
      <c r="P4" s="2946" t="s">
        <v>143</v>
      </c>
      <c r="Q4" s="2946" t="s">
        <v>2877</v>
      </c>
      <c r="R4" s="2946" t="s">
        <v>2878</v>
      </c>
      <c r="S4" s="2946" t="s">
        <v>2879</v>
      </c>
      <c r="T4" s="2946" t="s">
        <v>2880</v>
      </c>
    </row>
    <row r="5" spans="1:20">
      <c r="A5" s="2951" t="s">
        <v>2843</v>
      </c>
      <c r="B5" s="2942" t="s">
        <v>2857</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2881</v>
      </c>
      <c r="R5" s="2946" t="s">
        <v>2882</v>
      </c>
      <c r="S5" s="2946" t="s">
        <v>153</v>
      </c>
      <c r="T5" s="2946" t="s">
        <v>2883</v>
      </c>
    </row>
    <row r="6" spans="1:20" ht="12" thickBot="1">
      <c r="A6" s="2946" t="s">
        <v>144</v>
      </c>
      <c r="B6" s="2946" t="s">
        <v>2872</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2884</v>
      </c>
      <c r="Q6" s="2946" t="s">
        <v>2885</v>
      </c>
      <c r="R6" s="2946" t="s">
        <v>161</v>
      </c>
      <c r="S6" s="2946" t="s">
        <v>2886</v>
      </c>
      <c r="T6" s="2946" t="s">
        <v>2887</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2888</v>
      </c>
      <c r="Q7" s="2946" t="s">
        <v>2889</v>
      </c>
      <c r="R7" s="2946" t="s">
        <v>2890</v>
      </c>
      <c r="S7" s="2946" t="s">
        <v>2891</v>
      </c>
      <c r="T7" s="2946" t="s">
        <v>2892</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2893</v>
      </c>
      <c r="Q8" s="2946" t="s">
        <v>174</v>
      </c>
      <c r="R8" s="2946" t="s">
        <v>2894</v>
      </c>
      <c r="S8" s="2946" t="s">
        <v>2895</v>
      </c>
      <c r="T8" s="2953" t="s">
        <v>2896</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2897</v>
      </c>
      <c r="Q9" s="2946" t="s">
        <v>182</v>
      </c>
      <c r="R9" s="2946" t="s">
        <v>183</v>
      </c>
      <c r="S9" s="2946" t="s">
        <v>200</v>
      </c>
    </row>
    <row r="10" spans="1:20">
      <c r="A10" s="2951" t="s">
        <v>184</v>
      </c>
      <c r="B10" s="2942" t="s">
        <v>2858</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2898</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2899</v>
      </c>
      <c r="P11" s="2946" t="s">
        <v>191</v>
      </c>
      <c r="Q11" s="2946" t="s">
        <v>199</v>
      </c>
      <c r="R11" s="2946" t="s">
        <v>2900</v>
      </c>
      <c r="S11" s="2946" t="s">
        <v>2901</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2902</v>
      </c>
      <c r="P12" s="2946" t="s">
        <v>2903</v>
      </c>
      <c r="Q12" s="2946" t="s">
        <v>2904</v>
      </c>
      <c r="R12" s="2946" t="s">
        <v>2905</v>
      </c>
      <c r="S12" s="2946" t="s">
        <v>2906</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2907</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2908</v>
      </c>
      <c r="K14" s="2947" t="s">
        <v>215</v>
      </c>
      <c r="L14" s="2946" t="s">
        <v>216</v>
      </c>
      <c r="M14" s="2946" t="s">
        <v>217</v>
      </c>
      <c r="N14" s="2946" t="s">
        <v>218</v>
      </c>
      <c r="O14" s="2946" t="s">
        <v>240</v>
      </c>
      <c r="P14" s="2946" t="s">
        <v>213</v>
      </c>
      <c r="Q14" s="2946" t="s">
        <v>2909</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2910</v>
      </c>
      <c r="P15" s="2946" t="s">
        <v>2911</v>
      </c>
      <c r="Q15" s="2946" t="s">
        <v>242</v>
      </c>
      <c r="R15" s="2946" t="s">
        <v>2912</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2913</v>
      </c>
      <c r="P16" s="2946" t="s">
        <v>227</v>
      </c>
      <c r="Q16" s="2946" t="s">
        <v>250</v>
      </c>
      <c r="R16" s="2946" t="s">
        <v>207</v>
      </c>
      <c r="S16" s="2946" t="s">
        <v>2914</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2915</v>
      </c>
      <c r="P17" s="2946" t="s">
        <v>2916</v>
      </c>
      <c r="Q17" s="2946" t="s">
        <v>256</v>
      </c>
      <c r="R17" s="2946" t="s">
        <v>2917</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2918</v>
      </c>
      <c r="P18" s="2946" t="s">
        <v>241</v>
      </c>
      <c r="Q18" s="2946" t="s">
        <v>2919</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2920</v>
      </c>
      <c r="P19" s="2946" t="s">
        <v>249</v>
      </c>
      <c r="Q19" s="2946" t="s">
        <v>2921</v>
      </c>
      <c r="R19" s="2946" t="s">
        <v>265</v>
      </c>
      <c r="S19" s="2946" t="s">
        <v>2922</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2923</v>
      </c>
      <c r="P20" s="2946" t="s">
        <v>2924</v>
      </c>
      <c r="Q20" s="2946" t="s">
        <v>290</v>
      </c>
      <c r="R20" s="2946" t="s">
        <v>2925</v>
      </c>
      <c r="S20" s="2946" t="s">
        <v>277</v>
      </c>
    </row>
    <row r="21" spans="1:19" ht="14.25" customHeight="1" thickBot="1">
      <c r="A21" s="2946" t="s">
        <v>184</v>
      </c>
      <c r="B21" s="2947" t="s">
        <v>208</v>
      </c>
      <c r="C21" s="2946">
        <v>32370</v>
      </c>
      <c r="D21" s="2946">
        <v>26730</v>
      </c>
      <c r="E21" s="2946">
        <v>26640</v>
      </c>
      <c r="F21" s="2946"/>
      <c r="G21" s="2946">
        <v>19440</v>
      </c>
      <c r="J21" s="2953" t="s">
        <v>2926</v>
      </c>
      <c r="K21" s="2947" t="s">
        <v>267</v>
      </c>
      <c r="L21" s="2946" t="s">
        <v>268</v>
      </c>
      <c r="M21" s="2946" t="s">
        <v>269</v>
      </c>
      <c r="N21" s="2946" t="s">
        <v>270</v>
      </c>
      <c r="O21" s="2946" t="s">
        <v>264</v>
      </c>
      <c r="P21" s="2946" t="s">
        <v>283</v>
      </c>
      <c r="Q21" s="2946" t="s">
        <v>293</v>
      </c>
      <c r="R21" s="2946" t="s">
        <v>2927</v>
      </c>
      <c r="S21" s="2953" t="s">
        <v>2928</v>
      </c>
    </row>
    <row r="22" spans="1:19" ht="14.25" customHeight="1">
      <c r="A22" s="2946" t="s">
        <v>184</v>
      </c>
      <c r="B22" s="2947" t="s">
        <v>2908</v>
      </c>
      <c r="C22" s="2946">
        <v>29830</v>
      </c>
      <c r="D22" s="2946">
        <v>27600</v>
      </c>
      <c r="E22" s="2946">
        <v>28150</v>
      </c>
      <c r="F22" s="2946"/>
      <c r="G22" s="2946">
        <v>20080</v>
      </c>
      <c r="K22" s="2947" t="s">
        <v>2929</v>
      </c>
      <c r="L22" s="2946" t="s">
        <v>272</v>
      </c>
      <c r="M22" s="2946" t="s">
        <v>273</v>
      </c>
      <c r="N22" s="2946" t="s">
        <v>274</v>
      </c>
      <c r="O22" s="2946" t="s">
        <v>2930</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2931</v>
      </c>
      <c r="L23" s="2946" t="s">
        <v>278</v>
      </c>
      <c r="M23" s="2946" t="s">
        <v>279</v>
      </c>
      <c r="N23" s="2946" t="s">
        <v>2932</v>
      </c>
      <c r="O23" s="2946" t="s">
        <v>2933</v>
      </c>
      <c r="P23" s="2946" t="s">
        <v>289</v>
      </c>
      <c r="Q23" s="2946" t="s">
        <v>298</v>
      </c>
      <c r="R23" s="2946" t="s">
        <v>2934</v>
      </c>
    </row>
    <row r="24" spans="1:19" ht="14.25" customHeight="1">
      <c r="A24" s="2946" t="s">
        <v>184</v>
      </c>
      <c r="B24" s="2947" t="s">
        <v>230</v>
      </c>
      <c r="C24" s="2946">
        <v>27930</v>
      </c>
      <c r="D24" s="2946">
        <v>32260</v>
      </c>
      <c r="E24" s="2946">
        <v>32120</v>
      </c>
      <c r="F24" s="2946"/>
      <c r="G24" s="2946">
        <v>23470</v>
      </c>
      <c r="K24" s="2947" t="s">
        <v>2935</v>
      </c>
      <c r="L24" s="2946" t="s">
        <v>281</v>
      </c>
      <c r="M24" s="2946" t="s">
        <v>282</v>
      </c>
      <c r="N24" s="2946" t="s">
        <v>2936</v>
      </c>
      <c r="O24" s="2946" t="s">
        <v>285</v>
      </c>
      <c r="P24" s="2946" t="s">
        <v>2937</v>
      </c>
      <c r="Q24" s="2955" t="s">
        <v>2938</v>
      </c>
      <c r="R24" s="2946" t="s">
        <v>2939</v>
      </c>
    </row>
    <row r="25" spans="1:19" ht="14.25" customHeight="1">
      <c r="A25" s="2946" t="s">
        <v>184</v>
      </c>
      <c r="B25" s="2947" t="s">
        <v>235</v>
      </c>
      <c r="C25" s="2946">
        <v>32230</v>
      </c>
      <c r="D25" s="2946">
        <v>29640</v>
      </c>
      <c r="E25" s="2946">
        <v>29510</v>
      </c>
      <c r="F25" s="2946"/>
      <c r="G25" s="2946">
        <v>21560</v>
      </c>
      <c r="K25" s="2947" t="s">
        <v>2940</v>
      </c>
      <c r="L25" s="2946" t="s">
        <v>2941</v>
      </c>
      <c r="M25" s="2946" t="s">
        <v>284</v>
      </c>
      <c r="N25" s="2946" t="s">
        <v>292</v>
      </c>
      <c r="O25" s="2946" t="s">
        <v>288</v>
      </c>
      <c r="P25" s="2946" t="s">
        <v>275</v>
      </c>
      <c r="Q25" s="2955" t="s">
        <v>271</v>
      </c>
      <c r="R25" s="2946" t="s">
        <v>2942</v>
      </c>
    </row>
    <row r="26" spans="1:19" ht="14.25" customHeight="1" thickBot="1">
      <c r="A26" s="2946" t="s">
        <v>184</v>
      </c>
      <c r="B26" s="2947" t="s">
        <v>244</v>
      </c>
      <c r="C26" s="2946">
        <v>31690</v>
      </c>
      <c r="D26" s="2946">
        <v>27650</v>
      </c>
      <c r="E26" s="2946">
        <v>28200</v>
      </c>
      <c r="F26" s="2946"/>
      <c r="G26" s="2946">
        <v>20110</v>
      </c>
      <c r="K26" s="2952" t="s">
        <v>2943</v>
      </c>
      <c r="L26" s="2946" t="s">
        <v>2944</v>
      </c>
      <c r="M26" s="2946" t="s">
        <v>287</v>
      </c>
      <c r="N26" s="2946" t="s">
        <v>294</v>
      </c>
      <c r="O26" s="2946" t="s">
        <v>2945</v>
      </c>
      <c r="P26" s="2946" t="s">
        <v>2946</v>
      </c>
      <c r="Q26" s="2955" t="s">
        <v>276</v>
      </c>
      <c r="R26" s="2946" t="s">
        <v>2947</v>
      </c>
    </row>
    <row r="27" spans="1:19" ht="14.25" customHeight="1">
      <c r="A27" s="2946" t="s">
        <v>184</v>
      </c>
      <c r="B27" s="2947" t="s">
        <v>251</v>
      </c>
      <c r="C27" s="2946">
        <v>29610</v>
      </c>
      <c r="D27" s="2946">
        <v>27770</v>
      </c>
      <c r="E27" s="2946">
        <v>28300</v>
      </c>
      <c r="F27" s="2946"/>
      <c r="G27" s="2946">
        <v>20210</v>
      </c>
      <c r="L27" s="2946" t="s">
        <v>2948</v>
      </c>
      <c r="M27" s="2946" t="s">
        <v>291</v>
      </c>
      <c r="N27" s="2946" t="s">
        <v>297</v>
      </c>
      <c r="O27" s="2946" t="s">
        <v>2949</v>
      </c>
      <c r="P27" s="2946" t="s">
        <v>2950</v>
      </c>
      <c r="Q27" s="2946" t="s">
        <v>2951</v>
      </c>
      <c r="R27" s="2946" t="s">
        <v>2952</v>
      </c>
    </row>
    <row r="28" spans="1:19" ht="14.25" customHeight="1">
      <c r="A28" s="2946" t="s">
        <v>184</v>
      </c>
      <c r="B28" s="2947" t="s">
        <v>259</v>
      </c>
      <c r="C28" s="2946"/>
      <c r="D28" s="2946">
        <v>31520</v>
      </c>
      <c r="E28" s="2946">
        <v>31410</v>
      </c>
      <c r="F28" s="2946"/>
      <c r="G28" s="2946">
        <v>22940</v>
      </c>
      <c r="L28" s="2946" t="s">
        <v>2953</v>
      </c>
      <c r="M28" s="2946" t="s">
        <v>2954</v>
      </c>
      <c r="N28" s="2946" t="s">
        <v>2955</v>
      </c>
      <c r="O28" s="2946" t="s">
        <v>2956</v>
      </c>
      <c r="P28" s="2946" t="s">
        <v>2957</v>
      </c>
      <c r="Q28" s="2946" t="s">
        <v>2958</v>
      </c>
      <c r="R28" s="2946" t="s">
        <v>2959</v>
      </c>
    </row>
    <row r="29" spans="1:19" ht="14.25" customHeight="1" thickBot="1">
      <c r="A29" s="2954" t="s">
        <v>184</v>
      </c>
      <c r="B29" s="2956" t="s">
        <v>2926</v>
      </c>
      <c r="C29" s="2957"/>
      <c r="D29" s="2957">
        <v>29460</v>
      </c>
      <c r="E29" s="2957">
        <v>28640</v>
      </c>
      <c r="F29" s="2957"/>
      <c r="G29" s="2957">
        <v>21430</v>
      </c>
      <c r="L29" s="2946" t="s">
        <v>2960</v>
      </c>
      <c r="M29" s="2946" t="s">
        <v>2961</v>
      </c>
      <c r="N29" s="2946" t="s">
        <v>2962</v>
      </c>
      <c r="O29" s="2946" t="s">
        <v>2963</v>
      </c>
      <c r="P29" s="2946" t="s">
        <v>2964</v>
      </c>
      <c r="Q29" s="2946" t="s">
        <v>2965</v>
      </c>
      <c r="R29" s="2946" t="s">
        <v>280</v>
      </c>
    </row>
    <row r="30" spans="1:19" ht="14.25" customHeight="1">
      <c r="A30" s="2951" t="s">
        <v>296</v>
      </c>
      <c r="B30" s="2942" t="s">
        <v>2859</v>
      </c>
      <c r="C30" s="2942">
        <v>26890</v>
      </c>
      <c r="D30" s="2942">
        <v>26770</v>
      </c>
      <c r="E30" s="2942">
        <v>25700</v>
      </c>
      <c r="F30" s="2942">
        <v>8180</v>
      </c>
      <c r="G30" s="2958">
        <v>18740</v>
      </c>
      <c r="L30" s="2946" t="s">
        <v>2966</v>
      </c>
      <c r="M30" s="2946" t="s">
        <v>2967</v>
      </c>
      <c r="N30" s="2946" t="s">
        <v>2968</v>
      </c>
      <c r="O30" s="2946" t="s">
        <v>2969</v>
      </c>
      <c r="P30" s="2946" t="s">
        <v>2970</v>
      </c>
      <c r="Q30" s="2946" t="s">
        <v>2971</v>
      </c>
      <c r="R30" s="2946" t="s">
        <v>2972</v>
      </c>
    </row>
    <row r="31" spans="1:19" ht="14.25" customHeight="1">
      <c r="A31" s="2946" t="s">
        <v>296</v>
      </c>
      <c r="B31" s="2947" t="s">
        <v>129</v>
      </c>
      <c r="C31" s="2946">
        <v>24550</v>
      </c>
      <c r="D31" s="2946">
        <v>23990</v>
      </c>
      <c r="E31" s="2946">
        <v>22930</v>
      </c>
      <c r="F31" s="2946">
        <v>7470</v>
      </c>
      <c r="G31" s="2959">
        <v>16790</v>
      </c>
      <c r="L31" s="2946" t="s">
        <v>2973</v>
      </c>
      <c r="M31" s="2946" t="s">
        <v>2974</v>
      </c>
      <c r="N31" s="2946" t="s">
        <v>2975</v>
      </c>
      <c r="O31" s="2946" t="s">
        <v>2976</v>
      </c>
      <c r="P31" s="2946" t="s">
        <v>2977</v>
      </c>
      <c r="Q31" s="2946" t="s">
        <v>2978</v>
      </c>
      <c r="R31" s="2946" t="s">
        <v>2979</v>
      </c>
    </row>
    <row r="32" spans="1:19" ht="14.25" customHeight="1" thickBot="1">
      <c r="A32" s="2946" t="s">
        <v>296</v>
      </c>
      <c r="B32" s="2947" t="s">
        <v>138</v>
      </c>
      <c r="C32" s="2946">
        <v>27210</v>
      </c>
      <c r="D32" s="2946">
        <v>23240</v>
      </c>
      <c r="E32" s="2946">
        <v>23260</v>
      </c>
      <c r="F32" s="2946">
        <v>7130</v>
      </c>
      <c r="G32" s="2959">
        <v>16270</v>
      </c>
      <c r="L32" s="2946" t="s">
        <v>2980</v>
      </c>
      <c r="M32" s="2946" t="s">
        <v>2981</v>
      </c>
      <c r="N32" s="2946" t="s">
        <v>300</v>
      </c>
      <c r="O32" s="2946" t="s">
        <v>2982</v>
      </c>
      <c r="P32" s="2946" t="s">
        <v>299</v>
      </c>
      <c r="Q32" s="2946" t="s">
        <v>2983</v>
      </c>
      <c r="R32" s="2953" t="s">
        <v>2984</v>
      </c>
    </row>
    <row r="33" spans="1:17" ht="14.25" customHeight="1" thickBot="1">
      <c r="A33" s="2946" t="s">
        <v>296</v>
      </c>
      <c r="B33" s="2947" t="s">
        <v>147</v>
      </c>
      <c r="C33" s="2946">
        <v>27300</v>
      </c>
      <c r="D33" s="2946">
        <v>22980</v>
      </c>
      <c r="E33" s="2946">
        <v>24260</v>
      </c>
      <c r="F33" s="2946">
        <v>5860</v>
      </c>
      <c r="G33" s="2959">
        <v>16090</v>
      </c>
      <c r="L33" s="2953" t="s">
        <v>2985</v>
      </c>
      <c r="M33" s="2946" t="s">
        <v>2986</v>
      </c>
      <c r="N33" s="2946" t="s">
        <v>301</v>
      </c>
      <c r="O33" s="2946" t="s">
        <v>2987</v>
      </c>
      <c r="P33" s="2946" t="s">
        <v>2988</v>
      </c>
      <c r="Q33" s="2946" t="s">
        <v>2989</v>
      </c>
    </row>
    <row r="34" spans="1:17" ht="14.25" customHeight="1">
      <c r="A34" s="2946" t="s">
        <v>296</v>
      </c>
      <c r="B34" s="2947" t="s">
        <v>156</v>
      </c>
      <c r="C34" s="2946">
        <v>23090</v>
      </c>
      <c r="D34" s="2946">
        <v>23390</v>
      </c>
      <c r="E34" s="2946">
        <v>23510</v>
      </c>
      <c r="F34" s="2946">
        <v>6700</v>
      </c>
      <c r="G34" s="2959">
        <v>16370</v>
      </c>
      <c r="M34" s="2946" t="s">
        <v>2990</v>
      </c>
      <c r="N34" s="2946" t="s">
        <v>302</v>
      </c>
      <c r="O34" s="2946" t="s">
        <v>2991</v>
      </c>
      <c r="P34" s="2946" t="s">
        <v>2992</v>
      </c>
      <c r="Q34" s="2946" t="s">
        <v>2993</v>
      </c>
    </row>
    <row r="35" spans="1:17" ht="14.25" customHeight="1">
      <c r="A35" s="2946" t="s">
        <v>296</v>
      </c>
      <c r="B35" s="2947" t="s">
        <v>163</v>
      </c>
      <c r="C35" s="2946">
        <v>27270</v>
      </c>
      <c r="D35" s="2946">
        <v>24270</v>
      </c>
      <c r="E35" s="2946">
        <v>24950</v>
      </c>
      <c r="F35" s="2946">
        <v>6600</v>
      </c>
      <c r="G35" s="2959">
        <v>16990</v>
      </c>
      <c r="M35" s="2946" t="s">
        <v>2994</v>
      </c>
      <c r="N35" s="2946" t="s">
        <v>2995</v>
      </c>
      <c r="O35" s="2946" t="s">
        <v>2996</v>
      </c>
      <c r="P35" s="2946" t="s">
        <v>2997</v>
      </c>
      <c r="Q35" s="2946" t="s">
        <v>2998</v>
      </c>
    </row>
    <row r="36" spans="1:17" ht="14.25" customHeight="1">
      <c r="A36" s="2946" t="s">
        <v>296</v>
      </c>
      <c r="B36" s="2947" t="s">
        <v>169</v>
      </c>
      <c r="C36" s="2946">
        <v>23490</v>
      </c>
      <c r="D36" s="2946">
        <v>23020</v>
      </c>
      <c r="E36" s="2946">
        <v>25230</v>
      </c>
      <c r="F36" s="2946">
        <v>6780</v>
      </c>
      <c r="G36" s="2959">
        <v>16120</v>
      </c>
      <c r="M36" s="2946" t="s">
        <v>2999</v>
      </c>
      <c r="N36" s="2946" t="s">
        <v>3000</v>
      </c>
      <c r="O36" s="2946" t="s">
        <v>3001</v>
      </c>
      <c r="P36" s="2946" t="s">
        <v>3002</v>
      </c>
      <c r="Q36" s="2946" t="s">
        <v>3003</v>
      </c>
    </row>
    <row r="37" spans="1:17" ht="14.25" customHeight="1">
      <c r="A37" s="2946" t="s">
        <v>296</v>
      </c>
      <c r="B37" s="2947" t="s">
        <v>176</v>
      </c>
      <c r="C37" s="2946">
        <v>24380</v>
      </c>
      <c r="D37" s="2946">
        <v>22240</v>
      </c>
      <c r="E37" s="2946">
        <v>25980</v>
      </c>
      <c r="F37" s="2946">
        <v>8160</v>
      </c>
      <c r="G37" s="2959">
        <v>15570</v>
      </c>
      <c r="M37" s="2946" t="s">
        <v>3004</v>
      </c>
      <c r="N37" s="2946" t="s">
        <v>3005</v>
      </c>
      <c r="O37" s="2946" t="s">
        <v>3006</v>
      </c>
      <c r="P37" s="2946" t="s">
        <v>3007</v>
      </c>
      <c r="Q37" s="2946" t="s">
        <v>3008</v>
      </c>
    </row>
    <row r="38" spans="1:17" ht="14.25" customHeight="1">
      <c r="A38" s="2946" t="s">
        <v>296</v>
      </c>
      <c r="B38" s="2947" t="s">
        <v>186</v>
      </c>
      <c r="C38" s="2946">
        <v>23120</v>
      </c>
      <c r="D38" s="2946">
        <v>24630</v>
      </c>
      <c r="E38" s="2946">
        <v>25030</v>
      </c>
      <c r="F38" s="2946">
        <v>7710</v>
      </c>
      <c r="G38" s="2959">
        <v>17240</v>
      </c>
      <c r="M38" s="2946" t="s">
        <v>3009</v>
      </c>
      <c r="N38" s="2946" t="s">
        <v>3010</v>
      </c>
      <c r="O38" s="2946" t="s">
        <v>3011</v>
      </c>
      <c r="P38" s="2946" t="s">
        <v>3012</v>
      </c>
      <c r="Q38" s="2946" t="s">
        <v>3013</v>
      </c>
    </row>
    <row r="39" spans="1:17" ht="14.25" customHeight="1">
      <c r="A39" s="2946" t="s">
        <v>296</v>
      </c>
      <c r="B39" s="2947" t="s">
        <v>195</v>
      </c>
      <c r="C39" s="2946">
        <v>22330</v>
      </c>
      <c r="D39" s="2946">
        <v>21140</v>
      </c>
      <c r="E39" s="2946">
        <v>23970</v>
      </c>
      <c r="F39" s="2946">
        <v>7940</v>
      </c>
      <c r="G39" s="2959">
        <v>14790</v>
      </c>
      <c r="M39" s="2946" t="s">
        <v>3014</v>
      </c>
      <c r="N39" s="2946" t="s">
        <v>3015</v>
      </c>
      <c r="O39" s="2946" t="s">
        <v>3016</v>
      </c>
      <c r="P39" s="2946" t="s">
        <v>3017</v>
      </c>
      <c r="Q39" s="2946" t="s">
        <v>3018</v>
      </c>
    </row>
    <row r="40" spans="1:17" ht="14.25" customHeight="1">
      <c r="A40" s="2946" t="s">
        <v>296</v>
      </c>
      <c r="B40" s="2947" t="s">
        <v>202</v>
      </c>
      <c r="C40" s="2946">
        <v>24740</v>
      </c>
      <c r="D40" s="2946">
        <v>24690</v>
      </c>
      <c r="E40" s="2946">
        <v>22610</v>
      </c>
      <c r="F40" s="2946"/>
      <c r="G40" s="2959">
        <v>17280</v>
      </c>
      <c r="M40" s="2946" t="s">
        <v>3019</v>
      </c>
      <c r="N40" s="2946" t="s">
        <v>3020</v>
      </c>
      <c r="O40" s="2946" t="s">
        <v>3021</v>
      </c>
      <c r="P40" s="2946" t="s">
        <v>3022</v>
      </c>
      <c r="Q40" s="2946" t="s">
        <v>3023</v>
      </c>
    </row>
    <row r="41" spans="1:17" ht="14.25" customHeight="1" thickBot="1">
      <c r="A41" s="2946" t="s">
        <v>296</v>
      </c>
      <c r="B41" s="2947" t="s">
        <v>209</v>
      </c>
      <c r="C41" s="2946">
        <v>21220</v>
      </c>
      <c r="D41" s="2946">
        <v>21120</v>
      </c>
      <c r="E41" s="2946">
        <v>22590</v>
      </c>
      <c r="F41" s="2946"/>
      <c r="G41" s="2959">
        <v>14780</v>
      </c>
      <c r="M41" s="2953" t="s">
        <v>3024</v>
      </c>
      <c r="N41" s="2946" t="s">
        <v>3025</v>
      </c>
      <c r="O41" s="2946" t="s">
        <v>3026</v>
      </c>
      <c r="P41" s="2946" t="s">
        <v>3027</v>
      </c>
      <c r="Q41" s="2946" t="s">
        <v>3028</v>
      </c>
    </row>
    <row r="42" spans="1:17" ht="14.25" customHeight="1">
      <c r="A42" s="2946" t="s">
        <v>296</v>
      </c>
      <c r="B42" s="2947" t="s">
        <v>215</v>
      </c>
      <c r="C42" s="2946">
        <v>24800</v>
      </c>
      <c r="D42" s="2946">
        <v>22280</v>
      </c>
      <c r="E42" s="2946">
        <v>24350</v>
      </c>
      <c r="F42" s="2946"/>
      <c r="G42" s="2959">
        <v>15590</v>
      </c>
      <c r="N42" s="2946" t="s">
        <v>3029</v>
      </c>
      <c r="O42" s="2946" t="s">
        <v>3030</v>
      </c>
      <c r="P42" s="2946" t="s">
        <v>3031</v>
      </c>
      <c r="Q42" s="2946" t="s">
        <v>3032</v>
      </c>
    </row>
    <row r="43" spans="1:17" ht="14.25" customHeight="1">
      <c r="A43" s="2946" t="s">
        <v>3033</v>
      </c>
      <c r="B43" s="2947" t="s">
        <v>223</v>
      </c>
      <c r="C43" s="2946">
        <v>21210</v>
      </c>
      <c r="D43" s="2946">
        <v>21160</v>
      </c>
      <c r="E43" s="2946">
        <v>22650</v>
      </c>
      <c r="F43" s="2946"/>
      <c r="G43" s="2959">
        <v>14800</v>
      </c>
      <c r="N43" s="2946" t="s">
        <v>3034</v>
      </c>
      <c r="O43" s="2946" t="s">
        <v>3035</v>
      </c>
      <c r="P43" s="2946" t="s">
        <v>3036</v>
      </c>
      <c r="Q43" s="2946" t="s">
        <v>3037</v>
      </c>
    </row>
    <row r="44" spans="1:17" ht="14.25" customHeight="1" thickBot="1">
      <c r="A44" s="2946" t="s">
        <v>296</v>
      </c>
      <c r="B44" s="2947" t="s">
        <v>231</v>
      </c>
      <c r="C44" s="2946">
        <v>22370</v>
      </c>
      <c r="D44" s="2946">
        <v>23140</v>
      </c>
      <c r="E44" s="2946">
        <v>25090</v>
      </c>
      <c r="F44" s="2946"/>
      <c r="G44" s="2959">
        <v>16190</v>
      </c>
      <c r="N44" s="2946" t="s">
        <v>3038</v>
      </c>
      <c r="O44" s="2946" t="s">
        <v>3039</v>
      </c>
      <c r="P44" s="2953" t="s">
        <v>3040</v>
      </c>
      <c r="Q44" s="2946" t="s">
        <v>3041</v>
      </c>
    </row>
    <row r="45" spans="1:17" ht="14.25" customHeight="1" thickBot="1">
      <c r="A45" s="2946" t="s">
        <v>296</v>
      </c>
      <c r="B45" s="2947" t="s">
        <v>236</v>
      </c>
      <c r="C45" s="2946">
        <v>21240</v>
      </c>
      <c r="D45" s="2946">
        <v>27050</v>
      </c>
      <c r="E45" s="2946">
        <v>28000</v>
      </c>
      <c r="F45" s="2946"/>
      <c r="G45" s="2959">
        <v>18940</v>
      </c>
      <c r="N45" s="2946" t="s">
        <v>3042</v>
      </c>
      <c r="O45" s="2953" t="s">
        <v>3043</v>
      </c>
      <c r="Q45" s="2946" t="s">
        <v>3044</v>
      </c>
    </row>
    <row r="46" spans="1:17" ht="14.25" customHeight="1">
      <c r="A46" s="2946" t="s">
        <v>296</v>
      </c>
      <c r="B46" s="2947" t="s">
        <v>245</v>
      </c>
      <c r="C46" s="2946">
        <v>23240</v>
      </c>
      <c r="D46" s="2946">
        <v>23000</v>
      </c>
      <c r="E46" s="2946">
        <v>24980</v>
      </c>
      <c r="F46" s="2946"/>
      <c r="G46" s="2959">
        <v>16100</v>
      </c>
      <c r="N46" s="2946" t="s">
        <v>3045</v>
      </c>
      <c r="Q46" s="2946" t="s">
        <v>3046</v>
      </c>
    </row>
    <row r="47" spans="1:17" ht="14.25" customHeight="1">
      <c r="A47" s="2946" t="s">
        <v>296</v>
      </c>
      <c r="B47" s="2947" t="s">
        <v>252</v>
      </c>
      <c r="C47" s="2946">
        <v>27150</v>
      </c>
      <c r="D47" s="2946">
        <v>23310</v>
      </c>
      <c r="E47" s="2946">
        <v>25150</v>
      </c>
      <c r="F47" s="2946"/>
      <c r="G47" s="2959">
        <v>16310</v>
      </c>
      <c r="N47" s="2946" t="s">
        <v>3047</v>
      </c>
      <c r="Q47" s="2946" t="s">
        <v>3048</v>
      </c>
    </row>
    <row r="48" spans="1:17" ht="14.25" customHeight="1">
      <c r="A48" s="2946" t="s">
        <v>296</v>
      </c>
      <c r="B48" s="2947" t="s">
        <v>260</v>
      </c>
      <c r="C48" s="2946">
        <v>23100</v>
      </c>
      <c r="D48" s="2946">
        <v>21110</v>
      </c>
      <c r="E48" s="2946">
        <v>23080</v>
      </c>
      <c r="F48" s="2946"/>
      <c r="G48" s="2959">
        <v>14780</v>
      </c>
      <c r="N48" s="2946" t="s">
        <v>3049</v>
      </c>
      <c r="Q48" s="2946" t="s">
        <v>3050</v>
      </c>
    </row>
    <row r="49" spans="1:17" ht="14.25" customHeight="1">
      <c r="A49" s="2946" t="s">
        <v>296</v>
      </c>
      <c r="B49" s="2947" t="s">
        <v>267</v>
      </c>
      <c r="C49" s="2946">
        <v>23400</v>
      </c>
      <c r="D49" s="2946">
        <v>22920</v>
      </c>
      <c r="E49" s="2946">
        <v>24900</v>
      </c>
      <c r="F49" s="2946"/>
      <c r="G49" s="2959">
        <v>16040</v>
      </c>
      <c r="N49" s="2946" t="s">
        <v>3051</v>
      </c>
      <c r="Q49" s="2946" t="s">
        <v>3052</v>
      </c>
    </row>
    <row r="50" spans="1:17" ht="14.25" customHeight="1">
      <c r="A50" s="2946" t="s">
        <v>296</v>
      </c>
      <c r="B50" s="2947" t="s">
        <v>2929</v>
      </c>
      <c r="C50" s="2946">
        <v>21200</v>
      </c>
      <c r="D50" s="2946">
        <v>26540</v>
      </c>
      <c r="E50" s="2946">
        <v>23200</v>
      </c>
      <c r="F50" s="2946"/>
      <c r="G50" s="2959">
        <v>18580</v>
      </c>
      <c r="N50" s="2946" t="s">
        <v>3053</v>
      </c>
      <c r="Q50" s="2947" t="s">
        <v>3054</v>
      </c>
    </row>
    <row r="51" spans="1:17" ht="14.25" customHeight="1" thickBot="1">
      <c r="A51" s="2946" t="s">
        <v>296</v>
      </c>
      <c r="B51" s="2947" t="s">
        <v>2931</v>
      </c>
      <c r="C51" s="2946">
        <v>23000</v>
      </c>
      <c r="D51" s="2946">
        <v>23460</v>
      </c>
      <c r="E51" s="2946">
        <v>25290</v>
      </c>
      <c r="F51" s="2946"/>
      <c r="G51" s="2959">
        <v>16420</v>
      </c>
      <c r="N51" s="2946" t="s">
        <v>3055</v>
      </c>
      <c r="Q51" s="2953" t="s">
        <v>3056</v>
      </c>
    </row>
    <row r="52" spans="1:17" ht="14.25" customHeight="1">
      <c r="A52" s="2946" t="s">
        <v>296</v>
      </c>
      <c r="B52" s="2947" t="s">
        <v>2935</v>
      </c>
      <c r="C52" s="2946">
        <v>26660</v>
      </c>
      <c r="D52" s="2946">
        <v>22350</v>
      </c>
      <c r="E52" s="2946">
        <v>22920</v>
      </c>
      <c r="F52" s="2946"/>
      <c r="G52" s="2959">
        <v>15640</v>
      </c>
      <c r="N52" s="2946" t="s">
        <v>3057</v>
      </c>
    </row>
    <row r="53" spans="1:17" ht="14.25" customHeight="1">
      <c r="A53" s="2946" t="s">
        <v>296</v>
      </c>
      <c r="B53" s="2947" t="s">
        <v>2940</v>
      </c>
      <c r="C53" s="2946">
        <v>23580</v>
      </c>
      <c r="D53" s="2946"/>
      <c r="E53" s="2946">
        <v>24280</v>
      </c>
      <c r="F53" s="2946"/>
      <c r="G53" s="2959"/>
      <c r="N53" s="2946" t="s">
        <v>3058</v>
      </c>
    </row>
    <row r="54" spans="1:17" ht="14.25" customHeight="1" thickBot="1">
      <c r="A54" s="2960" t="s">
        <v>296</v>
      </c>
      <c r="B54" s="2952" t="s">
        <v>2943</v>
      </c>
      <c r="C54" s="2953">
        <v>22460</v>
      </c>
      <c r="D54" s="2953"/>
      <c r="E54" s="2953"/>
      <c r="F54" s="2953"/>
      <c r="G54" s="2961"/>
      <c r="N54" s="2946" t="s">
        <v>3059</v>
      </c>
    </row>
    <row r="55" spans="1:17" ht="14.25" customHeight="1">
      <c r="A55" s="2951" t="s">
        <v>110</v>
      </c>
      <c r="B55" s="2942" t="s">
        <v>3060</v>
      </c>
      <c r="C55" s="2946">
        <v>21970</v>
      </c>
      <c r="D55" s="2946">
        <v>20370</v>
      </c>
      <c r="E55" s="2946">
        <v>20180</v>
      </c>
      <c r="F55" s="2946">
        <v>5730</v>
      </c>
      <c r="G55" s="2946">
        <v>13820</v>
      </c>
      <c r="N55" s="2946" t="s">
        <v>3061</v>
      </c>
    </row>
    <row r="56" spans="1:17" ht="14.25" customHeight="1">
      <c r="A56" s="2946" t="s">
        <v>110</v>
      </c>
      <c r="B56" s="2946" t="s">
        <v>130</v>
      </c>
      <c r="C56" s="2946">
        <v>20470</v>
      </c>
      <c r="D56" s="2946">
        <v>20700</v>
      </c>
      <c r="E56" s="2946">
        <v>20380</v>
      </c>
      <c r="F56" s="2946">
        <v>4760</v>
      </c>
      <c r="G56" s="2946">
        <v>14050</v>
      </c>
      <c r="N56" s="2946" t="s">
        <v>3062</v>
      </c>
    </row>
    <row r="57" spans="1:17" ht="14.25" customHeight="1">
      <c r="A57" s="2946" t="s">
        <v>110</v>
      </c>
      <c r="B57" s="2946" t="s">
        <v>139</v>
      </c>
      <c r="C57" s="2946">
        <v>20790</v>
      </c>
      <c r="D57" s="2946">
        <v>21370</v>
      </c>
      <c r="E57" s="2946">
        <v>20890</v>
      </c>
      <c r="F57" s="2946">
        <v>4910</v>
      </c>
      <c r="G57" s="2946">
        <v>14510</v>
      </c>
      <c r="N57" s="2946" t="s">
        <v>3063</v>
      </c>
    </row>
    <row r="58" spans="1:17" ht="14.25" customHeight="1">
      <c r="A58" s="2946" t="s">
        <v>110</v>
      </c>
      <c r="B58" s="2946" t="s">
        <v>148</v>
      </c>
      <c r="C58" s="2946">
        <v>21460</v>
      </c>
      <c r="D58" s="2946">
        <v>20920</v>
      </c>
      <c r="E58" s="2946">
        <v>23410</v>
      </c>
      <c r="F58" s="2946">
        <v>5100</v>
      </c>
      <c r="G58" s="2946">
        <v>14200</v>
      </c>
      <c r="N58" s="2946" t="s">
        <v>3064</v>
      </c>
    </row>
    <row r="59" spans="1:17" ht="14.25" customHeight="1">
      <c r="A59" s="2946" t="s">
        <v>110</v>
      </c>
      <c r="B59" s="2946" t="s">
        <v>157</v>
      </c>
      <c r="C59" s="2946">
        <v>21000</v>
      </c>
      <c r="D59" s="2946">
        <v>21550</v>
      </c>
      <c r="E59" s="2946">
        <v>21150</v>
      </c>
      <c r="F59" s="2946">
        <v>5250</v>
      </c>
      <c r="G59" s="2946">
        <v>14630</v>
      </c>
      <c r="N59" s="2946" t="s">
        <v>3065</v>
      </c>
    </row>
    <row r="60" spans="1:17" ht="14.25" customHeight="1">
      <c r="A60" s="2946" t="s">
        <v>110</v>
      </c>
      <c r="B60" s="2946" t="s">
        <v>164</v>
      </c>
      <c r="C60" s="2946">
        <v>21640</v>
      </c>
      <c r="D60" s="2946">
        <v>21260</v>
      </c>
      <c r="E60" s="2946">
        <v>24040</v>
      </c>
      <c r="F60" s="2946">
        <v>4470</v>
      </c>
      <c r="G60" s="2946">
        <v>14430</v>
      </c>
      <c r="N60" s="2946" t="s">
        <v>3066</v>
      </c>
    </row>
    <row r="61" spans="1:17" ht="14.25" customHeight="1">
      <c r="A61" s="2946" t="s">
        <v>110</v>
      </c>
      <c r="B61" s="2946" t="s">
        <v>170</v>
      </c>
      <c r="C61" s="2946">
        <v>21330</v>
      </c>
      <c r="D61" s="2946">
        <v>18640</v>
      </c>
      <c r="E61" s="2946">
        <v>21190</v>
      </c>
      <c r="F61" s="2946">
        <v>4180</v>
      </c>
      <c r="G61" s="2946">
        <v>12650</v>
      </c>
      <c r="N61" s="2946" t="s">
        <v>3067</v>
      </c>
    </row>
    <row r="62" spans="1:17" ht="14.25" customHeight="1">
      <c r="A62" s="2946" t="s">
        <v>110</v>
      </c>
      <c r="B62" s="2946" t="s">
        <v>177</v>
      </c>
      <c r="C62" s="2946">
        <v>18710</v>
      </c>
      <c r="D62" s="2946">
        <v>19400</v>
      </c>
      <c r="E62" s="2946">
        <v>23750</v>
      </c>
      <c r="F62" s="2946">
        <v>4860</v>
      </c>
      <c r="G62" s="2946">
        <v>13170</v>
      </c>
      <c r="N62" s="2946" t="s">
        <v>3068</v>
      </c>
    </row>
    <row r="63" spans="1:17" ht="14.25" customHeight="1">
      <c r="A63" s="2946" t="s">
        <v>110</v>
      </c>
      <c r="B63" s="2946" t="s">
        <v>187</v>
      </c>
      <c r="C63" s="2946">
        <v>19480</v>
      </c>
      <c r="D63" s="2946">
        <v>16830</v>
      </c>
      <c r="E63" s="2946">
        <v>21590</v>
      </c>
      <c r="F63" s="2946">
        <v>4560</v>
      </c>
      <c r="G63" s="2946">
        <v>11420</v>
      </c>
      <c r="N63" s="2946" t="s">
        <v>3069</v>
      </c>
    </row>
    <row r="64" spans="1:17" ht="14.25" customHeight="1" thickBot="1">
      <c r="A64" s="2946" t="s">
        <v>110</v>
      </c>
      <c r="B64" s="2946" t="s">
        <v>196</v>
      </c>
      <c r="C64" s="2946">
        <v>16920</v>
      </c>
      <c r="D64" s="2946">
        <v>19190</v>
      </c>
      <c r="E64" s="2946">
        <v>22200</v>
      </c>
      <c r="F64" s="2946">
        <v>4390</v>
      </c>
      <c r="G64" s="2946">
        <v>13030</v>
      </c>
      <c r="N64" s="2953" t="s">
        <v>3070</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2941</v>
      </c>
      <c r="C78" s="2946">
        <v>19820</v>
      </c>
      <c r="D78" s="2946">
        <v>19780</v>
      </c>
      <c r="E78" s="2946">
        <v>18560</v>
      </c>
      <c r="F78" s="2946"/>
      <c r="G78" s="2946">
        <v>13430</v>
      </c>
    </row>
    <row r="79" spans="1:7" s="2780" customFormat="1" ht="14.25" customHeight="1">
      <c r="A79" s="2946" t="s">
        <v>110</v>
      </c>
      <c r="B79" s="2946" t="s">
        <v>2944</v>
      </c>
      <c r="C79" s="2946">
        <v>21660</v>
      </c>
      <c r="D79" s="2946">
        <v>18000</v>
      </c>
      <c r="E79" s="2946">
        <v>22570</v>
      </c>
      <c r="F79" s="2946"/>
      <c r="G79" s="2946">
        <v>12220</v>
      </c>
    </row>
    <row r="80" spans="1:7" s="2780" customFormat="1" ht="14.25" customHeight="1">
      <c r="A80" s="2946" t="s">
        <v>110</v>
      </c>
      <c r="B80" s="2946" t="s">
        <v>2948</v>
      </c>
      <c r="C80" s="2946">
        <v>19850</v>
      </c>
      <c r="D80" s="2946"/>
      <c r="E80" s="2946">
        <v>21700</v>
      </c>
      <c r="F80" s="2946"/>
      <c r="G80" s="2946"/>
    </row>
    <row r="81" spans="1:7" s="2780" customFormat="1" ht="14.25" customHeight="1">
      <c r="A81" s="2946" t="s">
        <v>110</v>
      </c>
      <c r="B81" s="2946" t="s">
        <v>2953</v>
      </c>
      <c r="C81" s="2946">
        <v>18080</v>
      </c>
      <c r="D81" s="2946"/>
      <c r="E81" s="2946">
        <v>20900</v>
      </c>
      <c r="F81" s="2946"/>
      <c r="G81" s="2946"/>
    </row>
    <row r="82" spans="1:7" s="2780" customFormat="1" ht="14.25" customHeight="1">
      <c r="A82" s="2946" t="s">
        <v>110</v>
      </c>
      <c r="B82" s="2946" t="s">
        <v>2960</v>
      </c>
      <c r="C82" s="2946"/>
      <c r="D82" s="2946"/>
      <c r="E82" s="2946">
        <v>20840</v>
      </c>
      <c r="F82" s="2946"/>
      <c r="G82" s="2946"/>
    </row>
    <row r="83" spans="1:7" s="2780" customFormat="1" ht="14.25" customHeight="1">
      <c r="A83" s="2946" t="s">
        <v>110</v>
      </c>
      <c r="B83" s="2946" t="s">
        <v>3071</v>
      </c>
      <c r="C83" s="2946"/>
      <c r="D83" s="2946"/>
      <c r="E83" s="2946"/>
      <c r="F83" s="2946">
        <v>4770</v>
      </c>
      <c r="G83" s="2946"/>
    </row>
    <row r="84" spans="1:7" s="2780" customFormat="1" ht="14.25" customHeight="1">
      <c r="A84" s="2946" t="s">
        <v>110</v>
      </c>
      <c r="B84" s="2946" t="s">
        <v>3072</v>
      </c>
      <c r="C84" s="2946"/>
      <c r="D84" s="2946"/>
      <c r="E84" s="2946"/>
      <c r="F84" s="2946">
        <v>4600</v>
      </c>
      <c r="G84" s="2946"/>
    </row>
    <row r="85" spans="1:7" s="2780" customFormat="1" ht="14.25" customHeight="1">
      <c r="A85" s="2946" t="s">
        <v>110</v>
      </c>
      <c r="B85" s="2946" t="s">
        <v>3073</v>
      </c>
      <c r="C85" s="2946"/>
      <c r="D85" s="2946"/>
      <c r="E85" s="2946"/>
      <c r="F85" s="2946">
        <v>4680</v>
      </c>
      <c r="G85" s="2946"/>
    </row>
    <row r="86" spans="1:7" s="2780" customFormat="1" ht="14.25" customHeight="1" thickBot="1">
      <c r="A86" s="2954" t="s">
        <v>110</v>
      </c>
      <c r="B86" s="2956" t="s">
        <v>3074</v>
      </c>
      <c r="C86" s="2957">
        <v>16610</v>
      </c>
      <c r="D86" s="2957">
        <v>16540</v>
      </c>
      <c r="E86" s="2957">
        <v>18850</v>
      </c>
      <c r="F86" s="2957"/>
      <c r="G86" s="2957">
        <v>11220</v>
      </c>
    </row>
    <row r="87" spans="1:7" s="2780" customFormat="1" ht="14.25" customHeight="1">
      <c r="A87" s="2951" t="s">
        <v>303</v>
      </c>
      <c r="B87" s="2942" t="s">
        <v>3075</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2954</v>
      </c>
      <c r="C113" s="2946">
        <v>15520</v>
      </c>
      <c r="D113" s="2946">
        <v>15450</v>
      </c>
      <c r="E113" s="2946"/>
      <c r="F113" s="2946"/>
      <c r="G113" s="2959">
        <v>10210</v>
      </c>
    </row>
    <row r="114" spans="1:7" s="2780" customFormat="1" ht="14.25" customHeight="1">
      <c r="A114" s="2946" t="s">
        <v>303</v>
      </c>
      <c r="B114" s="2946" t="s">
        <v>2961</v>
      </c>
      <c r="C114" s="2946">
        <v>13110</v>
      </c>
      <c r="D114" s="2946">
        <v>13050</v>
      </c>
      <c r="E114" s="2946"/>
      <c r="F114" s="2946"/>
      <c r="G114" s="2959">
        <v>8620</v>
      </c>
    </row>
    <row r="115" spans="1:7" s="2780" customFormat="1" ht="14.25" customHeight="1">
      <c r="A115" s="2946" t="s">
        <v>303</v>
      </c>
      <c r="B115" s="2946" t="s">
        <v>2967</v>
      </c>
      <c r="C115" s="2946">
        <v>12460</v>
      </c>
      <c r="D115" s="2946">
        <v>12390</v>
      </c>
      <c r="E115" s="2946"/>
      <c r="F115" s="2946"/>
      <c r="G115" s="2959">
        <v>8190</v>
      </c>
    </row>
    <row r="116" spans="1:7" s="2780" customFormat="1" ht="14.25" customHeight="1">
      <c r="A116" s="2946" t="s">
        <v>303</v>
      </c>
      <c r="B116" s="2946" t="s">
        <v>2974</v>
      </c>
      <c r="C116" s="2946">
        <v>13580</v>
      </c>
      <c r="D116" s="2946">
        <v>13520</v>
      </c>
      <c r="E116" s="2946"/>
      <c r="F116" s="2946"/>
      <c r="G116" s="2959">
        <v>8930</v>
      </c>
    </row>
    <row r="117" spans="1:7" s="2780" customFormat="1" ht="14.25" customHeight="1">
      <c r="A117" s="2946" t="s">
        <v>303</v>
      </c>
      <c r="B117" s="2946" t="s">
        <v>2981</v>
      </c>
      <c r="C117" s="2946">
        <v>17120</v>
      </c>
      <c r="D117" s="2946">
        <v>17040</v>
      </c>
      <c r="E117" s="2946"/>
      <c r="F117" s="2946"/>
      <c r="G117" s="2959">
        <v>11260</v>
      </c>
    </row>
    <row r="118" spans="1:7" s="2780" customFormat="1" ht="14.25" customHeight="1">
      <c r="A118" s="2946" t="s">
        <v>303</v>
      </c>
      <c r="B118" s="2946" t="s">
        <v>2986</v>
      </c>
      <c r="C118" s="2946">
        <v>14860</v>
      </c>
      <c r="D118" s="2946">
        <v>14790</v>
      </c>
      <c r="E118" s="2946"/>
      <c r="F118" s="2946"/>
      <c r="G118" s="2959">
        <v>9780</v>
      </c>
    </row>
    <row r="119" spans="1:7" s="2780" customFormat="1" ht="14.25" customHeight="1">
      <c r="A119" s="2946" t="s">
        <v>303</v>
      </c>
      <c r="B119" s="2946" t="s">
        <v>2990</v>
      </c>
      <c r="C119" s="2946">
        <v>16470</v>
      </c>
      <c r="D119" s="2946">
        <v>16400</v>
      </c>
      <c r="E119" s="2946"/>
      <c r="F119" s="2946"/>
      <c r="G119" s="2959">
        <v>10840</v>
      </c>
    </row>
    <row r="120" spans="1:7" s="2780" customFormat="1" ht="14.25" customHeight="1">
      <c r="A120" s="2946" t="s">
        <v>303</v>
      </c>
      <c r="B120" s="2946" t="s">
        <v>3076</v>
      </c>
      <c r="C120" s="2946"/>
      <c r="D120" s="2946"/>
      <c r="E120" s="2946"/>
      <c r="F120" s="2946">
        <v>4160</v>
      </c>
      <c r="G120" s="2959"/>
    </row>
    <row r="121" spans="1:7" s="2780" customFormat="1" ht="14.25" customHeight="1">
      <c r="A121" s="2946" t="s">
        <v>303</v>
      </c>
      <c r="B121" s="2946" t="s">
        <v>3077</v>
      </c>
      <c r="C121" s="2946"/>
      <c r="D121" s="2946"/>
      <c r="E121" s="2946"/>
      <c r="F121" s="2946">
        <v>3880</v>
      </c>
      <c r="G121" s="2959"/>
    </row>
    <row r="122" spans="1:7" s="2780" customFormat="1" ht="14.25" customHeight="1">
      <c r="A122" s="2946" t="s">
        <v>303</v>
      </c>
      <c r="B122" s="2946" t="s">
        <v>3078</v>
      </c>
      <c r="C122" s="2946">
        <v>13750</v>
      </c>
      <c r="D122" s="2946">
        <v>13680</v>
      </c>
      <c r="E122" s="2946">
        <v>16460</v>
      </c>
      <c r="F122" s="2946">
        <v>2880</v>
      </c>
      <c r="G122" s="2959">
        <v>9040</v>
      </c>
    </row>
    <row r="123" spans="1:7" s="2780" customFormat="1" ht="14.25" customHeight="1">
      <c r="A123" s="2946" t="s">
        <v>303</v>
      </c>
      <c r="B123" s="2946" t="s">
        <v>3009</v>
      </c>
      <c r="C123" s="2946">
        <v>13590</v>
      </c>
      <c r="D123" s="2946">
        <v>13520</v>
      </c>
      <c r="E123" s="2946">
        <v>16290</v>
      </c>
      <c r="F123" s="2946">
        <v>2790</v>
      </c>
      <c r="G123" s="2959">
        <v>8930</v>
      </c>
    </row>
    <row r="124" spans="1:7" s="2780" customFormat="1" ht="14.25" customHeight="1">
      <c r="A124" s="2946" t="s">
        <v>303</v>
      </c>
      <c r="B124" s="2946" t="s">
        <v>3014</v>
      </c>
      <c r="C124" s="2946">
        <v>13400</v>
      </c>
      <c r="D124" s="2946">
        <v>13320</v>
      </c>
      <c r="E124" s="2946">
        <v>16100</v>
      </c>
      <c r="F124" s="2946">
        <v>2320</v>
      </c>
      <c r="G124" s="2959">
        <v>8800</v>
      </c>
    </row>
    <row r="125" spans="1:7" s="2780" customFormat="1" ht="14.25" customHeight="1">
      <c r="A125" s="2946" t="s">
        <v>303</v>
      </c>
      <c r="B125" s="2946" t="s">
        <v>3019</v>
      </c>
      <c r="C125" s="2946">
        <v>12860</v>
      </c>
      <c r="D125" s="2946">
        <v>12790</v>
      </c>
      <c r="E125" s="2946">
        <v>15370</v>
      </c>
      <c r="F125" s="2946">
        <v>2280</v>
      </c>
      <c r="G125" s="2959">
        <v>8450</v>
      </c>
    </row>
    <row r="126" spans="1:7" s="2780" customFormat="1" ht="14.25" customHeight="1" thickBot="1">
      <c r="A126" s="2960" t="s">
        <v>303</v>
      </c>
      <c r="B126" s="2953" t="s">
        <v>3024</v>
      </c>
      <c r="C126" s="2953">
        <v>12960</v>
      </c>
      <c r="D126" s="2953">
        <v>12890</v>
      </c>
      <c r="E126" s="2953">
        <v>15530</v>
      </c>
      <c r="F126" s="2953">
        <v>2910</v>
      </c>
      <c r="G126" s="2961">
        <v>8520</v>
      </c>
    </row>
    <row r="127" spans="1:7" s="2780" customFormat="1" ht="14.25" customHeight="1">
      <c r="A127" s="2951" t="s">
        <v>29</v>
      </c>
      <c r="B127" s="2942" t="s">
        <v>3079</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3080</v>
      </c>
      <c r="C148" s="2946">
        <v>10370</v>
      </c>
      <c r="D148" s="2946">
        <v>10310</v>
      </c>
      <c r="E148" s="2946">
        <v>12970</v>
      </c>
      <c r="F148" s="2946"/>
      <c r="G148" s="2946">
        <v>6630</v>
      </c>
    </row>
    <row r="149" spans="1:7" s="2780" customFormat="1" ht="14.25" customHeight="1">
      <c r="A149" s="2946" t="s">
        <v>29</v>
      </c>
      <c r="B149" s="2946" t="s">
        <v>3081</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2955</v>
      </c>
      <c r="C153" s="2946">
        <v>10880</v>
      </c>
      <c r="D153" s="2946">
        <v>10820</v>
      </c>
      <c r="E153" s="2946">
        <v>13660</v>
      </c>
      <c r="F153" s="2946">
        <v>2260</v>
      </c>
      <c r="G153" s="2946">
        <v>6970</v>
      </c>
    </row>
    <row r="154" spans="1:7" s="2780" customFormat="1" ht="14.25" customHeight="1">
      <c r="A154" s="2946" t="s">
        <v>29</v>
      </c>
      <c r="B154" s="2946" t="s">
        <v>3082</v>
      </c>
      <c r="C154" s="2946">
        <v>11220</v>
      </c>
      <c r="D154" s="2946">
        <v>11160</v>
      </c>
      <c r="E154" s="2946">
        <v>14130</v>
      </c>
      <c r="F154" s="2946">
        <v>2230</v>
      </c>
      <c r="G154" s="2946">
        <v>7180</v>
      </c>
    </row>
    <row r="155" spans="1:7" s="2780" customFormat="1" ht="14.25" customHeight="1">
      <c r="A155" s="2946" t="s">
        <v>29</v>
      </c>
      <c r="B155" s="2946" t="s">
        <v>2968</v>
      </c>
      <c r="C155" s="2946">
        <v>10430</v>
      </c>
      <c r="D155" s="2946">
        <v>10380</v>
      </c>
      <c r="E155" s="2946">
        <v>13140</v>
      </c>
      <c r="F155" s="2946">
        <v>2080</v>
      </c>
      <c r="G155" s="2946">
        <v>6650</v>
      </c>
    </row>
    <row r="156" spans="1:7" s="2780" customFormat="1" ht="14.25" customHeight="1">
      <c r="A156" s="2946" t="s">
        <v>29</v>
      </c>
      <c r="B156" s="2946" t="s">
        <v>3083</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3084</v>
      </c>
      <c r="C160" s="2946">
        <v>11180</v>
      </c>
      <c r="D160" s="2946">
        <v>11140</v>
      </c>
      <c r="E160" s="2946">
        <v>14050</v>
      </c>
      <c r="F160" s="2946">
        <v>2270</v>
      </c>
      <c r="G160" s="2946">
        <v>7170</v>
      </c>
    </row>
    <row r="161" spans="1:7" s="2780" customFormat="1" ht="14.25" customHeight="1">
      <c r="A161" s="2946" t="s">
        <v>29</v>
      </c>
      <c r="B161" s="2946" t="s">
        <v>3000</v>
      </c>
      <c r="C161" s="2946">
        <v>11160</v>
      </c>
      <c r="D161" s="2946">
        <v>11120</v>
      </c>
      <c r="E161" s="2946">
        <v>14020</v>
      </c>
      <c r="F161" s="2946">
        <v>2150</v>
      </c>
      <c r="G161" s="2946">
        <v>7160</v>
      </c>
    </row>
    <row r="162" spans="1:7" s="2780" customFormat="1" ht="14.25" customHeight="1">
      <c r="A162" s="2946" t="s">
        <v>29</v>
      </c>
      <c r="B162" s="2946" t="s">
        <v>3005</v>
      </c>
      <c r="C162" s="2946">
        <v>9620</v>
      </c>
      <c r="D162" s="2946">
        <v>9570</v>
      </c>
      <c r="E162" s="2946">
        <v>12320</v>
      </c>
      <c r="F162" s="2946">
        <v>2010</v>
      </c>
      <c r="G162" s="2946">
        <v>6160</v>
      </c>
    </row>
    <row r="163" spans="1:7" s="2780" customFormat="1" ht="14.25" customHeight="1">
      <c r="A163" s="2946" t="s">
        <v>29</v>
      </c>
      <c r="B163" s="2946" t="s">
        <v>3010</v>
      </c>
      <c r="C163" s="2946">
        <v>9320</v>
      </c>
      <c r="D163" s="2946">
        <v>9270</v>
      </c>
      <c r="E163" s="2946">
        <v>11790</v>
      </c>
      <c r="F163" s="2946">
        <v>1920</v>
      </c>
      <c r="G163" s="2946">
        <v>5960</v>
      </c>
    </row>
    <row r="164" spans="1:7" s="2780" customFormat="1" ht="14.25" customHeight="1">
      <c r="A164" s="2946" t="s">
        <v>29</v>
      </c>
      <c r="B164" s="2946" t="s">
        <v>3015</v>
      </c>
      <c r="C164" s="2946"/>
      <c r="D164" s="2946"/>
      <c r="E164" s="2946"/>
      <c r="F164" s="2946">
        <v>1980</v>
      </c>
      <c r="G164" s="2946"/>
    </row>
    <row r="165" spans="1:7" s="2780" customFormat="1" ht="14.25" customHeight="1">
      <c r="A165" s="2946" t="s">
        <v>29</v>
      </c>
      <c r="B165" s="2946" t="s">
        <v>3085</v>
      </c>
      <c r="C165" s="2946">
        <v>11060</v>
      </c>
      <c r="D165" s="2946">
        <v>11030</v>
      </c>
      <c r="E165" s="2946">
        <v>13850</v>
      </c>
      <c r="F165" s="2946">
        <v>2170</v>
      </c>
      <c r="G165" s="2946">
        <v>7090</v>
      </c>
    </row>
    <row r="166" spans="1:7" s="2780" customFormat="1" ht="14.25" customHeight="1">
      <c r="A166" s="2946" t="s">
        <v>29</v>
      </c>
      <c r="B166" s="2946" t="s">
        <v>3025</v>
      </c>
      <c r="C166" s="2946">
        <v>11050</v>
      </c>
      <c r="D166" s="2946">
        <v>11010</v>
      </c>
      <c r="E166" s="2946">
        <v>13920</v>
      </c>
      <c r="F166" s="2946">
        <v>2140</v>
      </c>
      <c r="G166" s="2946">
        <v>7080</v>
      </c>
    </row>
    <row r="167" spans="1:7" s="2780" customFormat="1" ht="14.25" customHeight="1">
      <c r="A167" s="2946" t="s">
        <v>29</v>
      </c>
      <c r="B167" s="2946" t="s">
        <v>3029</v>
      </c>
      <c r="C167" s="2946">
        <v>10930</v>
      </c>
      <c r="D167" s="2946">
        <v>10890</v>
      </c>
      <c r="E167" s="2946">
        <v>13790</v>
      </c>
      <c r="F167" s="2946">
        <v>2010</v>
      </c>
      <c r="G167" s="2946">
        <v>7000</v>
      </c>
    </row>
    <row r="168" spans="1:7" s="2780" customFormat="1" ht="14.25" customHeight="1">
      <c r="A168" s="2946" t="s">
        <v>29</v>
      </c>
      <c r="B168" s="2946" t="s">
        <v>3034</v>
      </c>
      <c r="C168" s="2946">
        <v>9420</v>
      </c>
      <c r="D168" s="2946">
        <v>9380</v>
      </c>
      <c r="E168" s="2946">
        <v>11970</v>
      </c>
      <c r="F168" s="2946"/>
      <c r="G168" s="2946">
        <v>6040</v>
      </c>
    </row>
    <row r="169" spans="1:7" s="2780" customFormat="1" ht="14.25" customHeight="1">
      <c r="A169" s="2946" t="s">
        <v>29</v>
      </c>
      <c r="B169" s="2946" t="s">
        <v>3086</v>
      </c>
      <c r="C169" s="2946"/>
      <c r="D169" s="2946"/>
      <c r="E169" s="2946"/>
      <c r="F169" s="2946">
        <v>2880</v>
      </c>
      <c r="G169" s="2946"/>
    </row>
    <row r="170" spans="1:7" s="2780" customFormat="1" ht="14.25" customHeight="1">
      <c r="A170" s="2946" t="s">
        <v>29</v>
      </c>
      <c r="B170" s="2946" t="s">
        <v>3042</v>
      </c>
      <c r="C170" s="2946"/>
      <c r="D170" s="2946"/>
      <c r="E170" s="2946"/>
      <c r="F170" s="2946">
        <v>2880</v>
      </c>
      <c r="G170" s="2946"/>
    </row>
    <row r="171" spans="1:7" s="2780" customFormat="1" ht="14.25" customHeight="1">
      <c r="A171" s="2946" t="s">
        <v>29</v>
      </c>
      <c r="B171" s="2946" t="s">
        <v>3045</v>
      </c>
      <c r="C171" s="2946"/>
      <c r="D171" s="2946"/>
      <c r="E171" s="2946"/>
      <c r="F171" s="2946">
        <v>2880</v>
      </c>
      <c r="G171" s="2946"/>
    </row>
    <row r="172" spans="1:7" s="2780" customFormat="1" ht="14.25" customHeight="1">
      <c r="A172" s="2946" t="s">
        <v>29</v>
      </c>
      <c r="B172" s="2946" t="s">
        <v>3047</v>
      </c>
      <c r="C172" s="2946"/>
      <c r="D172" s="2946"/>
      <c r="E172" s="2946"/>
      <c r="F172" s="2946">
        <v>2880</v>
      </c>
      <c r="G172" s="2946"/>
    </row>
    <row r="173" spans="1:7" s="2780" customFormat="1" ht="14.25" customHeight="1">
      <c r="A173" s="2946" t="s">
        <v>29</v>
      </c>
      <c r="B173" s="2946" t="s">
        <v>3049</v>
      </c>
      <c r="C173" s="2946"/>
      <c r="D173" s="2946"/>
      <c r="E173" s="2946"/>
      <c r="F173" s="2946">
        <v>2150</v>
      </c>
      <c r="G173" s="2946"/>
    </row>
    <row r="174" spans="1:7" s="2780" customFormat="1" ht="14.25" customHeight="1">
      <c r="A174" s="2946" t="s">
        <v>29</v>
      </c>
      <c r="B174" s="2946" t="s">
        <v>3051</v>
      </c>
      <c r="C174" s="2946"/>
      <c r="D174" s="2946"/>
      <c r="E174" s="2946"/>
      <c r="F174" s="2946">
        <v>2030</v>
      </c>
      <c r="G174" s="2946"/>
    </row>
    <row r="175" spans="1:7" s="2780" customFormat="1" ht="14.25" customHeight="1">
      <c r="A175" s="2946" t="s">
        <v>29</v>
      </c>
      <c r="B175" s="2946" t="s">
        <v>3053</v>
      </c>
      <c r="C175" s="2946"/>
      <c r="D175" s="2946"/>
      <c r="E175" s="2946"/>
      <c r="F175" s="2946">
        <v>2780</v>
      </c>
      <c r="G175" s="2946"/>
    </row>
    <row r="176" spans="1:7" s="2780" customFormat="1" ht="14.25" customHeight="1">
      <c r="A176" s="2946" t="s">
        <v>29</v>
      </c>
      <c r="B176" s="2946" t="s">
        <v>3055</v>
      </c>
      <c r="C176" s="2946"/>
      <c r="D176" s="2946"/>
      <c r="E176" s="2946"/>
      <c r="F176" s="2946">
        <v>2780</v>
      </c>
      <c r="G176" s="2946"/>
    </row>
    <row r="177" spans="1:7" s="2780" customFormat="1" ht="14.25" customHeight="1">
      <c r="A177" s="2946" t="s">
        <v>29</v>
      </c>
      <c r="B177" s="2946" t="s">
        <v>3087</v>
      </c>
      <c r="C177" s="2946"/>
      <c r="D177" s="2946"/>
      <c r="E177" s="2946"/>
      <c r="F177" s="2946">
        <v>2780</v>
      </c>
      <c r="G177" s="2946"/>
    </row>
    <row r="178" spans="1:7" s="2780" customFormat="1" ht="14.25" customHeight="1">
      <c r="A178" s="2946" t="s">
        <v>29</v>
      </c>
      <c r="B178" s="2946" t="s">
        <v>3088</v>
      </c>
      <c r="C178" s="2946"/>
      <c r="D178" s="2946"/>
      <c r="E178" s="2946"/>
      <c r="F178" s="2946">
        <v>2060</v>
      </c>
      <c r="G178" s="2946"/>
    </row>
    <row r="179" spans="1:7" s="2780" customFormat="1" ht="14.25" customHeight="1">
      <c r="A179" s="2946" t="s">
        <v>29</v>
      </c>
      <c r="B179" s="2946" t="s">
        <v>3089</v>
      </c>
      <c r="C179" s="2946"/>
      <c r="D179" s="2946"/>
      <c r="E179" s="2946"/>
      <c r="F179" s="2946">
        <v>2120</v>
      </c>
      <c r="G179" s="2946"/>
    </row>
    <row r="180" spans="1:7" s="2780" customFormat="1" ht="14.25" customHeight="1">
      <c r="A180" s="2946" t="s">
        <v>29</v>
      </c>
      <c r="B180" s="2946" t="s">
        <v>3061</v>
      </c>
      <c r="C180" s="2946"/>
      <c r="D180" s="2946"/>
      <c r="E180" s="2946"/>
      <c r="F180" s="2946">
        <v>2340</v>
      </c>
      <c r="G180" s="2946"/>
    </row>
    <row r="181" spans="1:7" s="2780" customFormat="1" ht="14.25" customHeight="1">
      <c r="A181" s="2946" t="s">
        <v>29</v>
      </c>
      <c r="B181" s="2946" t="s">
        <v>3062</v>
      </c>
      <c r="C181" s="2946"/>
      <c r="D181" s="2946"/>
      <c r="E181" s="2946"/>
      <c r="F181" s="2946">
        <v>2340</v>
      </c>
      <c r="G181" s="2946"/>
    </row>
    <row r="182" spans="1:7" s="2780" customFormat="1" ht="14.25" customHeight="1">
      <c r="A182" s="2946" t="s">
        <v>29</v>
      </c>
      <c r="B182" s="2946" t="s">
        <v>3063</v>
      </c>
      <c r="C182" s="2946"/>
      <c r="D182" s="2946"/>
      <c r="E182" s="2946"/>
      <c r="F182" s="2946">
        <v>2340</v>
      </c>
      <c r="G182" s="2946"/>
    </row>
    <row r="183" spans="1:7" s="2780" customFormat="1" ht="14.25" customHeight="1">
      <c r="A183" s="2946" t="s">
        <v>29</v>
      </c>
      <c r="B183" s="2946" t="s">
        <v>3064</v>
      </c>
      <c r="C183" s="2946"/>
      <c r="D183" s="2946"/>
      <c r="E183" s="2946"/>
      <c r="F183" s="2946">
        <v>2340</v>
      </c>
      <c r="G183" s="2946"/>
    </row>
    <row r="184" spans="1:7" s="2780" customFormat="1" ht="14.25" customHeight="1">
      <c r="A184" s="2946" t="s">
        <v>29</v>
      </c>
      <c r="B184" s="2946" t="s">
        <v>3065</v>
      </c>
      <c r="C184" s="2946"/>
      <c r="D184" s="2946"/>
      <c r="E184" s="2946"/>
      <c r="F184" s="2946">
        <v>2340</v>
      </c>
      <c r="G184" s="2946"/>
    </row>
    <row r="185" spans="1:7" s="2780" customFormat="1" ht="14.25" customHeight="1">
      <c r="A185" s="2946" t="s">
        <v>29</v>
      </c>
      <c r="B185" s="2946" t="s">
        <v>3066</v>
      </c>
      <c r="C185" s="2946"/>
      <c r="D185" s="2946"/>
      <c r="E185" s="2946"/>
      <c r="F185" s="2946">
        <v>2530</v>
      </c>
      <c r="G185" s="2946"/>
    </row>
    <row r="186" spans="1:7" s="2780" customFormat="1" ht="14.25" customHeight="1">
      <c r="A186" s="2946" t="s">
        <v>29</v>
      </c>
      <c r="B186" s="2946" t="s">
        <v>3067</v>
      </c>
      <c r="C186" s="2946"/>
      <c r="D186" s="2946"/>
      <c r="E186" s="2946"/>
      <c r="F186" s="2946">
        <v>2550</v>
      </c>
      <c r="G186" s="2946"/>
    </row>
    <row r="187" spans="1:7" s="2780" customFormat="1" ht="14.25" customHeight="1">
      <c r="A187" s="2946" t="s">
        <v>29</v>
      </c>
      <c r="B187" s="2946" t="s">
        <v>3068</v>
      </c>
      <c r="C187" s="2946"/>
      <c r="D187" s="2946"/>
      <c r="E187" s="2946"/>
      <c r="F187" s="2946">
        <v>2070</v>
      </c>
      <c r="G187" s="2946"/>
    </row>
    <row r="188" spans="1:7" s="2780" customFormat="1" ht="14.25" customHeight="1">
      <c r="A188" s="2946" t="s">
        <v>29</v>
      </c>
      <c r="B188" s="2946" t="s">
        <v>3069</v>
      </c>
      <c r="C188" s="2946"/>
      <c r="D188" s="2946"/>
      <c r="E188" s="2946"/>
      <c r="F188" s="2946">
        <v>2340</v>
      </c>
      <c r="G188" s="2946"/>
    </row>
    <row r="189" spans="1:7" s="2780" customFormat="1" ht="14.25" customHeight="1" thickBot="1">
      <c r="A189" s="2954" t="s">
        <v>29</v>
      </c>
      <c r="B189" s="2957" t="s">
        <v>3070</v>
      </c>
      <c r="C189" s="2957"/>
      <c r="D189" s="2957"/>
      <c r="E189" s="2957"/>
      <c r="F189" s="2957">
        <v>2050</v>
      </c>
      <c r="G189" s="2957"/>
    </row>
    <row r="190" spans="1:7" s="2780" customFormat="1" ht="14.25" customHeight="1">
      <c r="A190" s="2951" t="s">
        <v>304</v>
      </c>
      <c r="B190" s="2942" t="s">
        <v>3090</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3091</v>
      </c>
      <c r="C199" s="2946">
        <v>8690</v>
      </c>
      <c r="D199" s="2946">
        <v>8630</v>
      </c>
      <c r="E199" s="2946">
        <v>11350</v>
      </c>
      <c r="F199" s="2946">
        <v>1600</v>
      </c>
      <c r="G199" s="2959">
        <v>5450</v>
      </c>
    </row>
    <row r="200" spans="1:7" s="2780" customFormat="1" ht="14.25" customHeight="1">
      <c r="A200" s="2946" t="s">
        <v>304</v>
      </c>
      <c r="B200" s="2946" t="s">
        <v>2902</v>
      </c>
      <c r="C200" s="2946"/>
      <c r="D200" s="2946"/>
      <c r="E200" s="2946"/>
      <c r="F200" s="2946">
        <v>1510</v>
      </c>
      <c r="G200" s="2959"/>
    </row>
    <row r="201" spans="1:7" s="2780" customFormat="1" ht="14.25" customHeight="1">
      <c r="A201" s="2946" t="s">
        <v>304</v>
      </c>
      <c r="B201" s="2946" t="s">
        <v>3092</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3093</v>
      </c>
      <c r="C203" s="2946">
        <v>8130</v>
      </c>
      <c r="D203" s="2946">
        <v>8070</v>
      </c>
      <c r="E203" s="2946">
        <v>10820</v>
      </c>
      <c r="F203" s="2946">
        <v>1690</v>
      </c>
      <c r="G203" s="2959">
        <v>5100</v>
      </c>
    </row>
    <row r="204" spans="1:7" s="2780" customFormat="1" ht="14.25" customHeight="1">
      <c r="A204" s="2946" t="s">
        <v>304</v>
      </c>
      <c r="B204" s="2946" t="s">
        <v>2913</v>
      </c>
      <c r="C204" s="2946">
        <v>8350</v>
      </c>
      <c r="D204" s="2946">
        <v>8290</v>
      </c>
      <c r="E204" s="2946">
        <v>11080</v>
      </c>
      <c r="F204" s="2946">
        <v>1450</v>
      </c>
      <c r="G204" s="2959">
        <v>5240</v>
      </c>
    </row>
    <row r="205" spans="1:7" s="2780" customFormat="1" ht="14.25" customHeight="1">
      <c r="A205" s="2946" t="s">
        <v>304</v>
      </c>
      <c r="B205" s="2946" t="s">
        <v>2915</v>
      </c>
      <c r="C205" s="2946">
        <v>7190</v>
      </c>
      <c r="D205" s="2946">
        <v>7130</v>
      </c>
      <c r="E205" s="2946">
        <v>9490</v>
      </c>
      <c r="F205" s="2946">
        <v>1470</v>
      </c>
      <c r="G205" s="2959">
        <v>4510</v>
      </c>
    </row>
    <row r="206" spans="1:7" s="2780" customFormat="1" ht="14.25" customHeight="1">
      <c r="A206" s="2946" t="s">
        <v>304</v>
      </c>
      <c r="B206" s="2946" t="s">
        <v>2918</v>
      </c>
      <c r="C206" s="2946">
        <v>7000</v>
      </c>
      <c r="D206" s="2946">
        <v>6950</v>
      </c>
      <c r="E206" s="2946">
        <v>9170</v>
      </c>
      <c r="F206" s="2946">
        <v>1400</v>
      </c>
      <c r="G206" s="2959">
        <v>4380</v>
      </c>
    </row>
    <row r="207" spans="1:7" s="2780" customFormat="1" ht="14.25" customHeight="1">
      <c r="A207" s="2946" t="s">
        <v>304</v>
      </c>
      <c r="B207" s="2946" t="s">
        <v>2920</v>
      </c>
      <c r="C207" s="2946">
        <v>6950</v>
      </c>
      <c r="D207" s="2946">
        <v>6900</v>
      </c>
      <c r="E207" s="2946">
        <v>9110</v>
      </c>
      <c r="F207" s="2946">
        <v>1790</v>
      </c>
      <c r="G207" s="2959">
        <v>4360</v>
      </c>
    </row>
    <row r="208" spans="1:7" s="2780" customFormat="1" ht="14.25" customHeight="1">
      <c r="A208" s="2946" t="s">
        <v>304</v>
      </c>
      <c r="B208" s="2946" t="s">
        <v>3094</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2930</v>
      </c>
      <c r="C210" s="2946">
        <v>8710</v>
      </c>
      <c r="D210" s="2946">
        <v>8660</v>
      </c>
      <c r="E210" s="2946">
        <v>11440</v>
      </c>
      <c r="F210" s="2946">
        <v>1740</v>
      </c>
      <c r="G210" s="2959">
        <v>5470</v>
      </c>
    </row>
    <row r="211" spans="1:7" s="2780" customFormat="1" ht="14.25" customHeight="1">
      <c r="A211" s="2946" t="s">
        <v>304</v>
      </c>
      <c r="B211" s="2946" t="s">
        <v>3095</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3096</v>
      </c>
      <c r="C214" s="2946">
        <v>8090</v>
      </c>
      <c r="D214" s="2946">
        <v>8030</v>
      </c>
      <c r="E214" s="2946">
        <v>10780</v>
      </c>
      <c r="F214" s="2946">
        <v>1570</v>
      </c>
      <c r="G214" s="2959">
        <v>5070</v>
      </c>
    </row>
    <row r="215" spans="1:7" s="2780" customFormat="1" ht="14.25" customHeight="1">
      <c r="A215" s="2946" t="s">
        <v>304</v>
      </c>
      <c r="B215" s="2946" t="s">
        <v>3097</v>
      </c>
      <c r="C215" s="2946">
        <v>7950</v>
      </c>
      <c r="D215" s="2946">
        <v>7900</v>
      </c>
      <c r="E215" s="2946">
        <v>10560</v>
      </c>
      <c r="F215" s="2946">
        <v>1630</v>
      </c>
      <c r="G215" s="2959">
        <v>4990</v>
      </c>
    </row>
    <row r="216" spans="1:7" s="2780" customFormat="1" ht="14.25" customHeight="1">
      <c r="A216" s="2946" t="s">
        <v>304</v>
      </c>
      <c r="B216" s="2946" t="s">
        <v>3098</v>
      </c>
      <c r="C216" s="2946">
        <v>8490</v>
      </c>
      <c r="D216" s="2946">
        <v>8440</v>
      </c>
      <c r="E216" s="2946">
        <v>11260</v>
      </c>
      <c r="F216" s="2946">
        <v>1690</v>
      </c>
      <c r="G216" s="2959">
        <v>5330</v>
      </c>
    </row>
    <row r="217" spans="1:7" s="2780" customFormat="1" ht="14.25" customHeight="1">
      <c r="A217" s="2946" t="s">
        <v>304</v>
      </c>
      <c r="B217" s="2946" t="s">
        <v>2963</v>
      </c>
      <c r="C217" s="2946">
        <v>8200</v>
      </c>
      <c r="D217" s="2946">
        <v>8150</v>
      </c>
      <c r="E217" s="2946">
        <v>10910</v>
      </c>
      <c r="F217" s="2946">
        <v>1670</v>
      </c>
      <c r="G217" s="2959">
        <v>5150</v>
      </c>
    </row>
    <row r="218" spans="1:7" s="2780" customFormat="1" ht="14.25" customHeight="1">
      <c r="A218" s="2946" t="s">
        <v>304</v>
      </c>
      <c r="B218" s="2946" t="s">
        <v>3099</v>
      </c>
      <c r="C218" s="2946"/>
      <c r="D218" s="2946"/>
      <c r="E218" s="2946"/>
      <c r="F218" s="2946">
        <v>2040</v>
      </c>
      <c r="G218" s="2959"/>
    </row>
    <row r="219" spans="1:7" s="2780" customFormat="1" ht="14.25" customHeight="1">
      <c r="A219" s="2946" t="s">
        <v>304</v>
      </c>
      <c r="B219" s="2946" t="s">
        <v>3100</v>
      </c>
      <c r="C219" s="2946"/>
      <c r="D219" s="2946"/>
      <c r="E219" s="2946"/>
      <c r="F219" s="2946">
        <v>2040</v>
      </c>
      <c r="G219" s="2959"/>
    </row>
    <row r="220" spans="1:7" s="2780" customFormat="1" ht="14.25" customHeight="1">
      <c r="A220" s="2946" t="s">
        <v>304</v>
      </c>
      <c r="B220" s="2946" t="s">
        <v>3101</v>
      </c>
      <c r="C220" s="2946"/>
      <c r="D220" s="2946"/>
      <c r="E220" s="2946"/>
      <c r="F220" s="2946">
        <v>2040</v>
      </c>
      <c r="G220" s="2959"/>
    </row>
    <row r="221" spans="1:7" s="2780" customFormat="1" ht="14.25" customHeight="1">
      <c r="A221" s="2946" t="s">
        <v>304</v>
      </c>
      <c r="B221" s="2946" t="s">
        <v>3102</v>
      </c>
      <c r="C221" s="2946"/>
      <c r="D221" s="2946"/>
      <c r="E221" s="2946"/>
      <c r="F221" s="2946">
        <v>2040</v>
      </c>
      <c r="G221" s="2959"/>
    </row>
    <row r="222" spans="1:7" s="2780" customFormat="1" ht="14.25" customHeight="1">
      <c r="A222" s="2946" t="s">
        <v>304</v>
      </c>
      <c r="B222" s="2946" t="s">
        <v>3103</v>
      </c>
      <c r="C222" s="2946"/>
      <c r="D222" s="2946"/>
      <c r="E222" s="2946"/>
      <c r="F222" s="2946">
        <v>2040</v>
      </c>
      <c r="G222" s="2959"/>
    </row>
    <row r="223" spans="1:7" s="2780" customFormat="1" ht="14.25" customHeight="1">
      <c r="A223" s="2946" t="s">
        <v>304</v>
      </c>
      <c r="B223" s="2946" t="s">
        <v>3104</v>
      </c>
      <c r="C223" s="2946"/>
      <c r="D223" s="2946"/>
      <c r="E223" s="2946"/>
      <c r="F223" s="2946">
        <v>1930</v>
      </c>
      <c r="G223" s="2959"/>
    </row>
    <row r="224" spans="1:7" s="2780" customFormat="1" ht="14.25" customHeight="1">
      <c r="A224" s="2946" t="s">
        <v>304</v>
      </c>
      <c r="B224" s="2946" t="s">
        <v>3105</v>
      </c>
      <c r="C224" s="2946"/>
      <c r="D224" s="2946"/>
      <c r="E224" s="2946"/>
      <c r="F224" s="2946">
        <v>1930</v>
      </c>
      <c r="G224" s="2959"/>
    </row>
    <row r="225" spans="1:7" s="2780" customFormat="1" ht="14.25" customHeight="1">
      <c r="A225" s="2946" t="s">
        <v>304</v>
      </c>
      <c r="B225" s="2946" t="s">
        <v>3106</v>
      </c>
      <c r="C225" s="2946"/>
      <c r="D225" s="2946"/>
      <c r="E225" s="2946"/>
      <c r="F225" s="2946">
        <v>1930</v>
      </c>
      <c r="G225" s="2959"/>
    </row>
    <row r="226" spans="1:7" s="2780" customFormat="1" ht="14.25" customHeight="1">
      <c r="A226" s="2946" t="s">
        <v>304</v>
      </c>
      <c r="B226" s="2946" t="s">
        <v>3107</v>
      </c>
      <c r="C226" s="2946"/>
      <c r="D226" s="2946"/>
      <c r="E226" s="2946"/>
      <c r="F226" s="2946">
        <v>1700</v>
      </c>
      <c r="G226" s="2959"/>
    </row>
    <row r="227" spans="1:7" s="2780" customFormat="1" ht="14.25" customHeight="1">
      <c r="A227" s="2946" t="s">
        <v>304</v>
      </c>
      <c r="B227" s="2946" t="s">
        <v>3108</v>
      </c>
      <c r="C227" s="2946"/>
      <c r="D227" s="2946"/>
      <c r="E227" s="2946"/>
      <c r="F227" s="2946">
        <v>1520</v>
      </c>
      <c r="G227" s="2959"/>
    </row>
    <row r="228" spans="1:7" s="2780" customFormat="1" ht="14.25" customHeight="1">
      <c r="A228" s="2946" t="s">
        <v>304</v>
      </c>
      <c r="B228" s="2946" t="s">
        <v>3109</v>
      </c>
      <c r="C228" s="2946"/>
      <c r="D228" s="2946"/>
      <c r="E228" s="2946"/>
      <c r="F228" s="2946">
        <v>1520</v>
      </c>
      <c r="G228" s="2959"/>
    </row>
    <row r="229" spans="1:7" s="2780" customFormat="1" ht="14.25" customHeight="1">
      <c r="A229" s="2946" t="s">
        <v>304</v>
      </c>
      <c r="B229" s="2946" t="s">
        <v>3026</v>
      </c>
      <c r="C229" s="2946"/>
      <c r="D229" s="2946"/>
      <c r="E229" s="2946"/>
      <c r="F229" s="2946">
        <v>1520</v>
      </c>
      <c r="G229" s="2959"/>
    </row>
    <row r="230" spans="1:7" s="2780" customFormat="1" ht="14.25" customHeight="1">
      <c r="A230" s="2946" t="s">
        <v>304</v>
      </c>
      <c r="B230" s="2946" t="s">
        <v>3110</v>
      </c>
      <c r="C230" s="2946"/>
      <c r="D230" s="2946"/>
      <c r="E230" s="2946"/>
      <c r="F230" s="2946">
        <v>1820</v>
      </c>
      <c r="G230" s="2959"/>
    </row>
    <row r="231" spans="1:7" s="2780" customFormat="1" ht="14.25" customHeight="1">
      <c r="A231" s="2946" t="s">
        <v>304</v>
      </c>
      <c r="B231" s="2946" t="s">
        <v>3111</v>
      </c>
      <c r="C231" s="2946"/>
      <c r="D231" s="2946"/>
      <c r="E231" s="2946"/>
      <c r="F231" s="2946">
        <v>1760</v>
      </c>
      <c r="G231" s="2959"/>
    </row>
    <row r="232" spans="1:7" s="2780" customFormat="1" ht="14.25" customHeight="1">
      <c r="A232" s="2946" t="s">
        <v>304</v>
      </c>
      <c r="B232" s="2946" t="s">
        <v>3112</v>
      </c>
      <c r="C232" s="2946"/>
      <c r="D232" s="2946"/>
      <c r="E232" s="2946"/>
      <c r="F232" s="2946">
        <v>1840</v>
      </c>
      <c r="G232" s="2959"/>
    </row>
    <row r="233" spans="1:7" s="2780" customFormat="1" ht="14.25" customHeight="1" thickBot="1">
      <c r="A233" s="2960" t="s">
        <v>304</v>
      </c>
      <c r="B233" s="2953" t="s">
        <v>3043</v>
      </c>
      <c r="C233" s="2953"/>
      <c r="D233" s="2953"/>
      <c r="E233" s="2953"/>
      <c r="F233" s="2953">
        <v>1770</v>
      </c>
      <c r="G233" s="2961"/>
    </row>
    <row r="234" spans="1:7" s="2780" customFormat="1" ht="14.25" customHeight="1">
      <c r="A234" s="2951" t="s">
        <v>305</v>
      </c>
      <c r="B234" s="2942" t="s">
        <v>3113</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2884</v>
      </c>
      <c r="C238" s="2946">
        <v>6920</v>
      </c>
      <c r="D238" s="2946">
        <v>6890</v>
      </c>
      <c r="E238" s="2946">
        <v>8640</v>
      </c>
      <c r="F238" s="2946">
        <v>1310</v>
      </c>
      <c r="G238" s="2946">
        <v>4230</v>
      </c>
    </row>
    <row r="239" spans="1:7" s="2780" customFormat="1" ht="14.25" customHeight="1">
      <c r="A239" s="2946" t="s">
        <v>305</v>
      </c>
      <c r="B239" s="2946" t="s">
        <v>3114</v>
      </c>
      <c r="C239" s="2946">
        <v>6780</v>
      </c>
      <c r="D239" s="2946">
        <v>6750</v>
      </c>
      <c r="E239" s="2946">
        <v>8440</v>
      </c>
      <c r="F239" s="2946">
        <v>1160</v>
      </c>
      <c r="G239" s="2946">
        <v>4140</v>
      </c>
    </row>
    <row r="240" spans="1:7" s="2780" customFormat="1" ht="14.25" customHeight="1">
      <c r="A240" s="2946" t="s">
        <v>305</v>
      </c>
      <c r="B240" s="2946" t="s">
        <v>3115</v>
      </c>
      <c r="C240" s="2946">
        <v>5420</v>
      </c>
      <c r="D240" s="2946">
        <v>5380</v>
      </c>
      <c r="E240" s="2946">
        <v>6640</v>
      </c>
      <c r="F240" s="2946">
        <v>1020</v>
      </c>
      <c r="G240" s="2946">
        <v>3300</v>
      </c>
    </row>
    <row r="241" spans="1:7" s="2780" customFormat="1" ht="14.25" customHeight="1">
      <c r="A241" s="2946" t="s">
        <v>305</v>
      </c>
      <c r="B241" s="2946" t="s">
        <v>3116</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3117</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3118</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3119</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3120</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3121</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2946</v>
      </c>
      <c r="C258" s="2946">
        <v>6190</v>
      </c>
      <c r="D258" s="2946">
        <v>6160</v>
      </c>
      <c r="E258" s="2946">
        <v>7680</v>
      </c>
      <c r="F258" s="2946">
        <v>1170</v>
      </c>
      <c r="G258" s="2946">
        <v>3780</v>
      </c>
    </row>
    <row r="259" spans="1:7" s="2780" customFormat="1" ht="14.25" customHeight="1">
      <c r="A259" s="2946" t="s">
        <v>305</v>
      </c>
      <c r="B259" s="2946" t="s">
        <v>3122</v>
      </c>
      <c r="C259" s="2946">
        <v>7610</v>
      </c>
      <c r="D259" s="2946">
        <v>7570</v>
      </c>
      <c r="E259" s="2946">
        <v>9350</v>
      </c>
      <c r="F259" s="2946">
        <v>1350</v>
      </c>
      <c r="G259" s="2946">
        <v>4650</v>
      </c>
    </row>
    <row r="260" spans="1:7" s="2780" customFormat="1" ht="14.25" customHeight="1">
      <c r="A260" s="2946" t="s">
        <v>305</v>
      </c>
      <c r="B260" s="2946" t="s">
        <v>3123</v>
      </c>
      <c r="C260" s="2946">
        <v>6920</v>
      </c>
      <c r="D260" s="2946">
        <v>6880</v>
      </c>
      <c r="E260" s="2946">
        <v>8380</v>
      </c>
      <c r="F260" s="2946">
        <v>1160</v>
      </c>
      <c r="G260" s="2946">
        <v>4220</v>
      </c>
    </row>
    <row r="261" spans="1:7" s="2780" customFormat="1" ht="14.25" customHeight="1">
      <c r="A261" s="2946" t="s">
        <v>305</v>
      </c>
      <c r="B261" s="2946" t="s">
        <v>3124</v>
      </c>
      <c r="C261" s="2946">
        <v>6850</v>
      </c>
      <c r="D261" s="2946">
        <v>6810</v>
      </c>
      <c r="E261" s="2946">
        <v>8290</v>
      </c>
      <c r="F261" s="2946">
        <v>1130</v>
      </c>
      <c r="G261" s="2946">
        <v>4180</v>
      </c>
    </row>
    <row r="262" spans="1:7" s="2780" customFormat="1" ht="14.25" customHeight="1">
      <c r="A262" s="2946" t="s">
        <v>305</v>
      </c>
      <c r="B262" s="2946" t="s">
        <v>3125</v>
      </c>
      <c r="C262" s="2946">
        <v>5860</v>
      </c>
      <c r="D262" s="2946">
        <v>5820</v>
      </c>
      <c r="E262" s="2946">
        <v>7640</v>
      </c>
      <c r="F262" s="2946">
        <v>1070</v>
      </c>
      <c r="G262" s="2946">
        <v>3570</v>
      </c>
    </row>
    <row r="263" spans="1:7" s="2780" customFormat="1" ht="14.25" customHeight="1">
      <c r="A263" s="2946" t="s">
        <v>305</v>
      </c>
      <c r="B263" s="2946" t="s">
        <v>3126</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3127</v>
      </c>
      <c r="C265" s="2946"/>
      <c r="D265" s="2946"/>
      <c r="E265" s="2946"/>
      <c r="F265" s="2946">
        <v>1500</v>
      </c>
      <c r="G265" s="2946"/>
    </row>
    <row r="266" spans="1:7" s="2780" customFormat="1" ht="14.25" customHeight="1">
      <c r="A266" s="2946" t="s">
        <v>305</v>
      </c>
      <c r="B266" s="2946" t="s">
        <v>3128</v>
      </c>
      <c r="C266" s="2946"/>
      <c r="D266" s="2946"/>
      <c r="E266" s="2946"/>
      <c r="F266" s="2946">
        <v>1500</v>
      </c>
      <c r="G266" s="2946"/>
    </row>
    <row r="267" spans="1:7" s="2780" customFormat="1" ht="14.25" customHeight="1">
      <c r="A267" s="2946" t="s">
        <v>305</v>
      </c>
      <c r="B267" s="2946" t="s">
        <v>3129</v>
      </c>
      <c r="C267" s="2946"/>
      <c r="D267" s="2946"/>
      <c r="E267" s="2946"/>
      <c r="F267" s="2946">
        <v>1500</v>
      </c>
      <c r="G267" s="2946"/>
    </row>
    <row r="268" spans="1:7" s="2780" customFormat="1" ht="14.25" customHeight="1">
      <c r="A268" s="2946" t="s">
        <v>305</v>
      </c>
      <c r="B268" s="2946" t="s">
        <v>3130</v>
      </c>
      <c r="C268" s="2946"/>
      <c r="D268" s="2946"/>
      <c r="E268" s="2946"/>
      <c r="F268" s="2946">
        <v>1290</v>
      </c>
      <c r="G268" s="2946"/>
    </row>
    <row r="269" spans="1:7" s="2780" customFormat="1" ht="14.25" customHeight="1">
      <c r="A269" s="2946" t="s">
        <v>305</v>
      </c>
      <c r="B269" s="2946" t="s">
        <v>3131</v>
      </c>
      <c r="C269" s="2946"/>
      <c r="D269" s="2946"/>
      <c r="E269" s="2946"/>
      <c r="F269" s="2946">
        <v>1150</v>
      </c>
      <c r="G269" s="2946"/>
    </row>
    <row r="270" spans="1:7" s="2780" customFormat="1" ht="14.25" customHeight="1">
      <c r="A270" s="2946" t="s">
        <v>305</v>
      </c>
      <c r="B270" s="2946" t="s">
        <v>3132</v>
      </c>
      <c r="C270" s="2946"/>
      <c r="D270" s="2946"/>
      <c r="E270" s="2946"/>
      <c r="F270" s="2946">
        <v>1380</v>
      </c>
      <c r="G270" s="2946"/>
    </row>
    <row r="271" spans="1:7" s="2780" customFormat="1" ht="14.25" customHeight="1">
      <c r="A271" s="2946" t="s">
        <v>305</v>
      </c>
      <c r="B271" s="2946" t="s">
        <v>3133</v>
      </c>
      <c r="C271" s="2946"/>
      <c r="D271" s="2946"/>
      <c r="E271" s="2946"/>
      <c r="F271" s="2946">
        <v>1460</v>
      </c>
      <c r="G271" s="2946"/>
    </row>
    <row r="272" spans="1:7" s="2780" customFormat="1" ht="14.25" customHeight="1">
      <c r="A272" s="2946" t="s">
        <v>305</v>
      </c>
      <c r="B272" s="2946" t="s">
        <v>3134</v>
      </c>
      <c r="C272" s="2946"/>
      <c r="D272" s="2946"/>
      <c r="E272" s="2946"/>
      <c r="F272" s="2946">
        <v>1460</v>
      </c>
      <c r="G272" s="2946"/>
    </row>
    <row r="273" spans="1:7" s="2780" customFormat="1" ht="14.25" customHeight="1">
      <c r="A273" s="2946" t="s">
        <v>305</v>
      </c>
      <c r="B273" s="2946" t="s">
        <v>3027</v>
      </c>
      <c r="C273" s="2946"/>
      <c r="D273" s="2946"/>
      <c r="E273" s="2946"/>
      <c r="F273" s="2946">
        <v>1490</v>
      </c>
      <c r="G273" s="2946"/>
    </row>
    <row r="274" spans="1:7" s="2780" customFormat="1" ht="14.25" customHeight="1">
      <c r="A274" s="2946" t="s">
        <v>305</v>
      </c>
      <c r="B274" s="2946" t="s">
        <v>3135</v>
      </c>
      <c r="C274" s="2946"/>
      <c r="D274" s="2946"/>
      <c r="E274" s="2946"/>
      <c r="F274" s="2946">
        <v>1490</v>
      </c>
      <c r="G274" s="2946"/>
    </row>
    <row r="275" spans="1:7" s="2780" customFormat="1" ht="14.25" customHeight="1">
      <c r="A275" s="2946" t="s">
        <v>305</v>
      </c>
      <c r="B275" s="2946" t="s">
        <v>3136</v>
      </c>
      <c r="C275" s="2946"/>
      <c r="D275" s="2946"/>
      <c r="E275" s="2946"/>
      <c r="F275" s="2946">
        <v>1220</v>
      </c>
      <c r="G275" s="2946"/>
    </row>
    <row r="276" spans="1:7" s="2780" customFormat="1" ht="14.25" customHeight="1" thickBot="1">
      <c r="A276" s="2954" t="s">
        <v>305</v>
      </c>
      <c r="B276" s="2956" t="s">
        <v>3137</v>
      </c>
      <c r="C276" s="2957"/>
      <c r="D276" s="2957"/>
      <c r="E276" s="2957"/>
      <c r="F276" s="2957">
        <v>1380</v>
      </c>
      <c r="G276" s="2957"/>
    </row>
    <row r="277" spans="1:7" s="2780" customFormat="1" ht="14.25" customHeight="1">
      <c r="A277" s="2951" t="s">
        <v>306</v>
      </c>
      <c r="B277" s="2942" t="s">
        <v>3138</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3139</v>
      </c>
      <c r="C279" s="2946">
        <v>4760</v>
      </c>
      <c r="D279" s="2946">
        <v>4720</v>
      </c>
      <c r="E279" s="2946">
        <v>5540</v>
      </c>
      <c r="F279" s="2946">
        <v>810</v>
      </c>
      <c r="G279" s="2959">
        <v>2850</v>
      </c>
    </row>
    <row r="280" spans="1:7" s="2780" customFormat="1" ht="14.25" customHeight="1">
      <c r="A280" s="2946" t="s">
        <v>306</v>
      </c>
      <c r="B280" s="2946" t="s">
        <v>3140</v>
      </c>
      <c r="C280" s="2946">
        <v>4010</v>
      </c>
      <c r="D280" s="2946">
        <v>3950</v>
      </c>
      <c r="E280" s="2946">
        <v>4710</v>
      </c>
      <c r="F280" s="2946">
        <v>800</v>
      </c>
      <c r="G280" s="2959">
        <v>2390</v>
      </c>
    </row>
    <row r="281" spans="1:7" s="2780" customFormat="1" ht="14.25" customHeight="1">
      <c r="A281" s="2946" t="s">
        <v>306</v>
      </c>
      <c r="B281" s="2946" t="s">
        <v>3141</v>
      </c>
      <c r="C281" s="2946">
        <v>4480</v>
      </c>
      <c r="D281" s="2946">
        <v>4420</v>
      </c>
      <c r="E281" s="2946">
        <v>5230</v>
      </c>
      <c r="F281" s="2946">
        <v>870</v>
      </c>
      <c r="G281" s="2959">
        <v>2660</v>
      </c>
    </row>
    <row r="282" spans="1:7" s="2780" customFormat="1" ht="14.25" customHeight="1">
      <c r="A282" s="2946" t="s">
        <v>306</v>
      </c>
      <c r="B282" s="2946" t="s">
        <v>3142</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3143</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3144</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2919</v>
      </c>
      <c r="C293" s="2946">
        <v>5320</v>
      </c>
      <c r="D293" s="2946">
        <v>5270</v>
      </c>
      <c r="E293" s="2946">
        <v>6160</v>
      </c>
      <c r="F293" s="2946">
        <v>990</v>
      </c>
      <c r="G293" s="2959">
        <v>3170</v>
      </c>
    </row>
    <row r="294" spans="1:7" s="2780" customFormat="1" ht="14.25" customHeight="1">
      <c r="A294" s="2946" t="s">
        <v>306</v>
      </c>
      <c r="B294" s="2946" t="s">
        <v>3145</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2938</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3146</v>
      </c>
      <c r="C302" s="2946">
        <v>5520</v>
      </c>
      <c r="D302" s="2946">
        <v>5470</v>
      </c>
      <c r="E302" s="2946">
        <v>6410</v>
      </c>
      <c r="F302" s="2946">
        <v>950</v>
      </c>
      <c r="G302" s="2959">
        <v>3300</v>
      </c>
    </row>
    <row r="303" spans="1:7" s="2780" customFormat="1" ht="14.25" customHeight="1">
      <c r="A303" s="2946" t="s">
        <v>306</v>
      </c>
      <c r="B303" s="2946" t="s">
        <v>2958</v>
      </c>
      <c r="C303" s="2946">
        <v>5630</v>
      </c>
      <c r="D303" s="2946">
        <v>5590</v>
      </c>
      <c r="E303" s="2946">
        <v>6550</v>
      </c>
      <c r="F303" s="2946">
        <v>1010</v>
      </c>
      <c r="G303" s="2959">
        <v>3370</v>
      </c>
    </row>
    <row r="304" spans="1:7" s="2780" customFormat="1" ht="14.25" customHeight="1">
      <c r="A304" s="2946" t="s">
        <v>306</v>
      </c>
      <c r="B304" s="2946" t="s">
        <v>2965</v>
      </c>
      <c r="C304" s="2946">
        <v>5680</v>
      </c>
      <c r="D304" s="2946">
        <v>5620</v>
      </c>
      <c r="E304" s="2946">
        <v>6620</v>
      </c>
      <c r="F304" s="2946">
        <v>1050</v>
      </c>
      <c r="G304" s="2959">
        <v>3390</v>
      </c>
    </row>
    <row r="305" spans="1:7" s="2780" customFormat="1" ht="14.25" customHeight="1">
      <c r="A305" s="2946" t="s">
        <v>306</v>
      </c>
      <c r="B305" s="2946" t="s">
        <v>2971</v>
      </c>
      <c r="C305" s="2946">
        <v>5590</v>
      </c>
      <c r="D305" s="2946">
        <v>5530</v>
      </c>
      <c r="E305" s="2946">
        <v>6460</v>
      </c>
      <c r="F305" s="2946">
        <v>900</v>
      </c>
      <c r="G305" s="2959">
        <v>3340</v>
      </c>
    </row>
    <row r="306" spans="1:7" s="2780" customFormat="1" ht="14.25" customHeight="1">
      <c r="A306" s="2946" t="s">
        <v>306</v>
      </c>
      <c r="B306" s="2946" t="s">
        <v>3147</v>
      </c>
      <c r="C306" s="2946">
        <v>5560</v>
      </c>
      <c r="D306" s="2946">
        <v>5510</v>
      </c>
      <c r="E306" s="2946">
        <v>6440</v>
      </c>
      <c r="F306" s="2946">
        <v>900</v>
      </c>
      <c r="G306" s="2959">
        <v>3320</v>
      </c>
    </row>
    <row r="307" spans="1:7" s="2780" customFormat="1" ht="14.25" customHeight="1">
      <c r="A307" s="2946" t="s">
        <v>306</v>
      </c>
      <c r="B307" s="2946" t="s">
        <v>2983</v>
      </c>
      <c r="C307" s="2946">
        <v>5650</v>
      </c>
      <c r="D307" s="2946">
        <v>5600</v>
      </c>
      <c r="E307" s="2946">
        <v>6590</v>
      </c>
      <c r="F307" s="2946">
        <v>930</v>
      </c>
      <c r="G307" s="2959">
        <v>3380</v>
      </c>
    </row>
    <row r="308" spans="1:7" s="2780" customFormat="1" ht="14.25" customHeight="1">
      <c r="A308" s="2946" t="s">
        <v>306</v>
      </c>
      <c r="B308" s="2946" t="s">
        <v>3148</v>
      </c>
      <c r="C308" s="2946">
        <v>5620</v>
      </c>
      <c r="D308" s="2946">
        <v>5580</v>
      </c>
      <c r="E308" s="2946">
        <v>6540</v>
      </c>
      <c r="F308" s="2946">
        <v>910</v>
      </c>
      <c r="G308" s="2959">
        <v>3370</v>
      </c>
    </row>
    <row r="309" spans="1:7" s="2780" customFormat="1" ht="14.25" customHeight="1">
      <c r="A309" s="2946" t="s">
        <v>306</v>
      </c>
      <c r="B309" s="2946" t="s">
        <v>3149</v>
      </c>
      <c r="C309" s="2946">
        <v>5060</v>
      </c>
      <c r="D309" s="2946">
        <v>5020</v>
      </c>
      <c r="E309" s="2946">
        <v>6370</v>
      </c>
      <c r="F309" s="2946">
        <v>800</v>
      </c>
      <c r="G309" s="2959">
        <v>3020</v>
      </c>
    </row>
    <row r="310" spans="1:7" s="2780" customFormat="1" ht="14.25" customHeight="1">
      <c r="A310" s="2946" t="s">
        <v>306</v>
      </c>
      <c r="B310" s="2946" t="s">
        <v>2998</v>
      </c>
      <c r="C310" s="2946">
        <v>5150</v>
      </c>
      <c r="D310" s="2946">
        <v>5110</v>
      </c>
      <c r="E310" s="2946">
        <v>6500</v>
      </c>
      <c r="F310" s="2946">
        <v>880</v>
      </c>
      <c r="G310" s="2959">
        <v>3080</v>
      </c>
    </row>
    <row r="311" spans="1:7" s="2780" customFormat="1" ht="14.25" customHeight="1">
      <c r="A311" s="2946" t="s">
        <v>306</v>
      </c>
      <c r="B311" s="2946" t="s">
        <v>3150</v>
      </c>
      <c r="C311" s="2946">
        <v>4750</v>
      </c>
      <c r="D311" s="2946">
        <v>4710</v>
      </c>
      <c r="E311" s="2946">
        <v>5510</v>
      </c>
      <c r="F311" s="2946">
        <v>880</v>
      </c>
      <c r="G311" s="2959">
        <v>2840</v>
      </c>
    </row>
    <row r="312" spans="1:7" s="2780" customFormat="1" ht="14.25" customHeight="1">
      <c r="A312" s="2946" t="s">
        <v>306</v>
      </c>
      <c r="B312" s="2946" t="s">
        <v>3008</v>
      </c>
      <c r="C312" s="2946">
        <v>4690</v>
      </c>
      <c r="D312" s="2946">
        <v>4640</v>
      </c>
      <c r="E312" s="2946">
        <v>5420</v>
      </c>
      <c r="F312" s="2946">
        <v>800</v>
      </c>
      <c r="G312" s="2959">
        <v>2800</v>
      </c>
    </row>
    <row r="313" spans="1:7" s="2780" customFormat="1" ht="14.25" customHeight="1">
      <c r="A313" s="2946" t="s">
        <v>306</v>
      </c>
      <c r="B313" s="2946" t="s">
        <v>3013</v>
      </c>
      <c r="C313" s="2946">
        <v>4810</v>
      </c>
      <c r="D313" s="2946">
        <v>4760</v>
      </c>
      <c r="E313" s="2946">
        <v>5550</v>
      </c>
      <c r="F313" s="2946">
        <v>920</v>
      </c>
      <c r="G313" s="2959">
        <v>2870</v>
      </c>
    </row>
    <row r="314" spans="1:7" s="2780" customFormat="1" ht="14.25" customHeight="1">
      <c r="A314" s="2946" t="s">
        <v>306</v>
      </c>
      <c r="B314" s="2946" t="s">
        <v>3151</v>
      </c>
      <c r="C314" s="2946"/>
      <c r="D314" s="2946"/>
      <c r="E314" s="2946"/>
      <c r="F314" s="2946">
        <v>1020</v>
      </c>
      <c r="G314" s="2959"/>
    </row>
    <row r="315" spans="1:7" s="2780" customFormat="1" ht="14.25" customHeight="1">
      <c r="A315" s="2946" t="s">
        <v>306</v>
      </c>
      <c r="B315" s="2946" t="s">
        <v>3152</v>
      </c>
      <c r="C315" s="2946"/>
      <c r="D315" s="2946"/>
      <c r="E315" s="2946"/>
      <c r="F315" s="2946">
        <v>1050</v>
      </c>
      <c r="G315" s="2959"/>
    </row>
    <row r="316" spans="1:7" s="2780" customFormat="1" ht="14.25" customHeight="1">
      <c r="A316" s="2946" t="s">
        <v>306</v>
      </c>
      <c r="B316" s="2946" t="s">
        <v>3028</v>
      </c>
      <c r="C316" s="2946"/>
      <c r="D316" s="2946"/>
      <c r="E316" s="2946"/>
      <c r="F316" s="2946">
        <v>900</v>
      </c>
      <c r="G316" s="2959"/>
    </row>
    <row r="317" spans="1:7" s="2780" customFormat="1" ht="14.25" customHeight="1">
      <c r="A317" s="2946" t="s">
        <v>306</v>
      </c>
      <c r="B317" s="2946" t="s">
        <v>3153</v>
      </c>
      <c r="C317" s="2946"/>
      <c r="D317" s="2946"/>
      <c r="E317" s="2946"/>
      <c r="F317" s="2946">
        <v>920</v>
      </c>
      <c r="G317" s="2959"/>
    </row>
    <row r="318" spans="1:7" s="2780" customFormat="1" ht="14.25" customHeight="1">
      <c r="A318" s="2946" t="s">
        <v>306</v>
      </c>
      <c r="B318" s="2946" t="s">
        <v>3154</v>
      </c>
      <c r="C318" s="2946"/>
      <c r="D318" s="2946"/>
      <c r="E318" s="2946"/>
      <c r="F318" s="2946">
        <v>1080</v>
      </c>
      <c r="G318" s="2959"/>
    </row>
    <row r="319" spans="1:7" s="2780" customFormat="1" ht="14.25" customHeight="1">
      <c r="A319" s="2946" t="s">
        <v>306</v>
      </c>
      <c r="B319" s="2946" t="s">
        <v>3041</v>
      </c>
      <c r="C319" s="2946"/>
      <c r="D319" s="2946"/>
      <c r="E319" s="2946"/>
      <c r="F319" s="2946">
        <v>1020</v>
      </c>
      <c r="G319" s="2959"/>
    </row>
    <row r="320" spans="1:7" s="2780" customFormat="1" ht="14.25" customHeight="1">
      <c r="A320" s="2946" t="s">
        <v>306</v>
      </c>
      <c r="B320" s="2946" t="s">
        <v>3044</v>
      </c>
      <c r="C320" s="2946"/>
      <c r="D320" s="2946"/>
      <c r="E320" s="2946"/>
      <c r="F320" s="2946">
        <v>1050</v>
      </c>
      <c r="G320" s="2959"/>
    </row>
    <row r="321" spans="1:7" s="2780" customFormat="1" ht="14.25" customHeight="1">
      <c r="A321" s="2946" t="s">
        <v>306</v>
      </c>
      <c r="B321" s="2946" t="s">
        <v>3046</v>
      </c>
      <c r="C321" s="2946"/>
      <c r="D321" s="2946"/>
      <c r="E321" s="2946"/>
      <c r="F321" s="2946">
        <v>960</v>
      </c>
      <c r="G321" s="2959"/>
    </row>
    <row r="322" spans="1:7" s="2780" customFormat="1" ht="14.25" customHeight="1">
      <c r="A322" s="2946" t="s">
        <v>306</v>
      </c>
      <c r="B322" s="2946" t="s">
        <v>3048</v>
      </c>
      <c r="C322" s="2946"/>
      <c r="D322" s="2946"/>
      <c r="E322" s="2946"/>
      <c r="F322" s="2946">
        <v>960</v>
      </c>
      <c r="G322" s="2959"/>
    </row>
    <row r="323" spans="1:7" s="2780" customFormat="1" ht="14.25" customHeight="1">
      <c r="A323" s="2946" t="s">
        <v>306</v>
      </c>
      <c r="B323" s="2946" t="s">
        <v>3050</v>
      </c>
      <c r="C323" s="2946"/>
      <c r="D323" s="2946"/>
      <c r="E323" s="2946"/>
      <c r="F323" s="2946">
        <v>880</v>
      </c>
      <c r="G323" s="2959"/>
    </row>
    <row r="324" spans="1:7" s="2780" customFormat="1" ht="14.25" customHeight="1">
      <c r="A324" s="2946" t="s">
        <v>306</v>
      </c>
      <c r="B324" s="2946" t="s">
        <v>3052</v>
      </c>
      <c r="C324" s="2946"/>
      <c r="D324" s="2946"/>
      <c r="E324" s="2946"/>
      <c r="F324" s="2946">
        <v>930</v>
      </c>
      <c r="G324" s="2959"/>
    </row>
    <row r="325" spans="1:7" s="2780" customFormat="1" ht="14.25" customHeight="1">
      <c r="A325" s="2946" t="s">
        <v>306</v>
      </c>
      <c r="B325" s="2947" t="s">
        <v>3054</v>
      </c>
      <c r="C325" s="2946"/>
      <c r="D325" s="2946"/>
      <c r="E325" s="2946"/>
      <c r="F325" s="2946">
        <v>900</v>
      </c>
      <c r="G325" s="2959"/>
    </row>
    <row r="326" spans="1:7" s="2780" customFormat="1" ht="14.25" customHeight="1" thickBot="1">
      <c r="A326" s="2960" t="s">
        <v>306</v>
      </c>
      <c r="B326" s="2953" t="s">
        <v>3056</v>
      </c>
      <c r="C326" s="2953"/>
      <c r="D326" s="2953"/>
      <c r="E326" s="2953"/>
      <c r="F326" s="2953">
        <v>790</v>
      </c>
      <c r="G326" s="2961"/>
    </row>
    <row r="327" spans="1:7" s="2780" customFormat="1" ht="14.25" customHeight="1">
      <c r="A327" s="2951" t="s">
        <v>307</v>
      </c>
      <c r="B327" s="2942" t="s">
        <v>3155</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3156</v>
      </c>
      <c r="C329" s="2946">
        <v>2730</v>
      </c>
      <c r="D329" s="2946">
        <v>2690</v>
      </c>
      <c r="E329" s="2946">
        <v>3100</v>
      </c>
      <c r="F329" s="2946">
        <v>660</v>
      </c>
      <c r="G329" s="2946">
        <v>1610</v>
      </c>
    </row>
    <row r="330" spans="1:7" s="2780" customFormat="1" ht="14.25" customHeight="1">
      <c r="A330" s="2946" t="s">
        <v>307</v>
      </c>
      <c r="B330" s="2946" t="s">
        <v>3157</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2890</v>
      </c>
      <c r="C332" s="2946">
        <v>3520</v>
      </c>
      <c r="D332" s="2946">
        <v>3480</v>
      </c>
      <c r="E332" s="2946">
        <v>3830</v>
      </c>
      <c r="F332" s="2946">
        <v>720</v>
      </c>
      <c r="G332" s="2946">
        <v>2090</v>
      </c>
    </row>
    <row r="333" spans="1:7" s="2780" customFormat="1" ht="14.25" customHeight="1">
      <c r="A333" s="2946" t="s">
        <v>307</v>
      </c>
      <c r="B333" s="2946" t="s">
        <v>3158</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2900</v>
      </c>
      <c r="C336" s="2946">
        <v>3570</v>
      </c>
      <c r="D336" s="2946">
        <v>3530</v>
      </c>
      <c r="E336" s="2946">
        <v>3880</v>
      </c>
      <c r="F336" s="2946">
        <v>770</v>
      </c>
      <c r="G336" s="2946">
        <v>2110</v>
      </c>
    </row>
    <row r="337" spans="1:10" s="2780" customFormat="1" ht="14.25" customHeight="1">
      <c r="A337" s="2946" t="s">
        <v>307</v>
      </c>
      <c r="B337" s="2946" t="s">
        <v>3159</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3160</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3161</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2925</v>
      </c>
      <c r="C345" s="2946">
        <v>3190</v>
      </c>
      <c r="D345" s="2946">
        <v>3140</v>
      </c>
      <c r="E345" s="2946">
        <v>3450</v>
      </c>
      <c r="F345" s="2946">
        <v>720</v>
      </c>
      <c r="G345" s="2946">
        <v>1880</v>
      </c>
      <c r="J345" s="2780"/>
    </row>
    <row r="346" spans="1:10">
      <c r="A346" s="2946" t="s">
        <v>307</v>
      </c>
      <c r="B346" s="2946" t="s">
        <v>3162</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2934</v>
      </c>
      <c r="C348" s="2946">
        <v>4000</v>
      </c>
      <c r="D348" s="2946">
        <v>3950</v>
      </c>
      <c r="E348" s="2946">
        <v>4430</v>
      </c>
      <c r="F348" s="2946">
        <v>760</v>
      </c>
      <c r="G348" s="2946">
        <v>2360</v>
      </c>
      <c r="J348" s="2780"/>
    </row>
    <row r="349" spans="1:10">
      <c r="A349" s="2946" t="s">
        <v>307</v>
      </c>
      <c r="B349" s="2946" t="s">
        <v>2939</v>
      </c>
      <c r="C349" s="2946">
        <v>3820</v>
      </c>
      <c r="D349" s="2946">
        <v>3780</v>
      </c>
      <c r="E349" s="2946">
        <v>4170</v>
      </c>
      <c r="F349" s="2946">
        <v>710</v>
      </c>
      <c r="G349" s="2946">
        <v>2260</v>
      </c>
      <c r="J349" s="2780"/>
    </row>
    <row r="350" spans="1:10">
      <c r="A350" s="2946" t="s">
        <v>307</v>
      </c>
      <c r="B350" s="2946" t="s">
        <v>3163</v>
      </c>
      <c r="C350" s="2946">
        <v>3760</v>
      </c>
      <c r="D350" s="2946">
        <v>3730</v>
      </c>
      <c r="E350" s="2946">
        <v>4100</v>
      </c>
      <c r="F350" s="2946">
        <v>800</v>
      </c>
      <c r="G350" s="2946">
        <v>2230</v>
      </c>
      <c r="J350" s="2780"/>
    </row>
    <row r="351" spans="1:10">
      <c r="A351" s="2946" t="s">
        <v>307</v>
      </c>
      <c r="B351" s="2946" t="s">
        <v>2947</v>
      </c>
      <c r="C351" s="2946">
        <v>3610</v>
      </c>
      <c r="D351" s="2946">
        <v>3580</v>
      </c>
      <c r="E351" s="2946">
        <v>3930</v>
      </c>
      <c r="F351" s="2946">
        <v>700</v>
      </c>
      <c r="G351" s="2946">
        <v>2140</v>
      </c>
      <c r="J351" s="2780"/>
    </row>
    <row r="352" spans="1:10">
      <c r="A352" s="2946" t="s">
        <v>307</v>
      </c>
      <c r="B352" s="2946" t="s">
        <v>2952</v>
      </c>
      <c r="C352" s="2946">
        <v>3670</v>
      </c>
      <c r="D352" s="2946">
        <v>3630</v>
      </c>
      <c r="E352" s="2946">
        <v>4000</v>
      </c>
      <c r="F352" s="2946">
        <v>750</v>
      </c>
      <c r="G352" s="2946">
        <v>2180</v>
      </c>
    </row>
    <row r="353" spans="1:7" s="2781" customFormat="1">
      <c r="A353" s="2946" t="s">
        <v>307</v>
      </c>
      <c r="B353" s="2946" t="s">
        <v>3164</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2972</v>
      </c>
      <c r="C355" s="2946">
        <v>3650</v>
      </c>
      <c r="D355" s="2946">
        <v>3610</v>
      </c>
      <c r="E355" s="2946">
        <v>4200</v>
      </c>
      <c r="F355" s="2946">
        <v>640</v>
      </c>
      <c r="G355" s="2946">
        <v>2160</v>
      </c>
    </row>
    <row r="356" spans="1:7" s="2781" customFormat="1">
      <c r="A356" s="2946" t="s">
        <v>307</v>
      </c>
      <c r="B356" s="2946" t="s">
        <v>2979</v>
      </c>
      <c r="C356" s="2946">
        <v>3260</v>
      </c>
      <c r="D356" s="2946">
        <v>3230</v>
      </c>
      <c r="E356" s="2946">
        <v>3740</v>
      </c>
      <c r="F356" s="2946">
        <v>600</v>
      </c>
      <c r="G356" s="2946">
        <v>1930</v>
      </c>
    </row>
    <row r="357" spans="1:7" s="2781" customFormat="1" ht="12" thickBot="1">
      <c r="A357" s="2954" t="s">
        <v>307</v>
      </c>
      <c r="B357" s="2957" t="s">
        <v>3165</v>
      </c>
      <c r="C357" s="2957">
        <v>3690</v>
      </c>
      <c r="D357" s="2957">
        <v>3650</v>
      </c>
      <c r="E357" s="2957">
        <v>4020</v>
      </c>
      <c r="F357" s="2957">
        <v>700</v>
      </c>
      <c r="G357" s="2957">
        <v>2190</v>
      </c>
    </row>
    <row r="358" spans="1:7" s="2781" customFormat="1">
      <c r="A358" s="2951" t="s">
        <v>3166</v>
      </c>
      <c r="B358" s="2942" t="s">
        <v>3167</v>
      </c>
      <c r="C358" s="2942">
        <v>2080</v>
      </c>
      <c r="D358" s="2942">
        <v>2040</v>
      </c>
      <c r="E358" s="2942">
        <v>2010</v>
      </c>
      <c r="F358" s="2942">
        <v>530</v>
      </c>
      <c r="G358" s="2958">
        <v>1230</v>
      </c>
    </row>
    <row r="359" spans="1:7" s="2781" customFormat="1">
      <c r="A359" s="2946" t="s">
        <v>3166</v>
      </c>
      <c r="B359" s="2946" t="s">
        <v>3168</v>
      </c>
      <c r="C359" s="2946">
        <v>1850</v>
      </c>
      <c r="D359" s="2946">
        <v>1820</v>
      </c>
      <c r="E359" s="2946">
        <v>1780</v>
      </c>
      <c r="F359" s="2946">
        <v>520</v>
      </c>
      <c r="G359" s="2959">
        <v>1100</v>
      </c>
    </row>
    <row r="360" spans="1:7" s="2781" customFormat="1">
      <c r="A360" s="2946" t="s">
        <v>3166</v>
      </c>
      <c r="B360" s="2946" t="s">
        <v>3169</v>
      </c>
      <c r="C360" s="2946">
        <v>2020</v>
      </c>
      <c r="D360" s="2946">
        <v>1990</v>
      </c>
      <c r="E360" s="2946">
        <v>1950</v>
      </c>
      <c r="F360" s="2946">
        <v>500</v>
      </c>
      <c r="G360" s="2959">
        <v>1200</v>
      </c>
    </row>
    <row r="361" spans="1:7" s="2781" customFormat="1">
      <c r="A361" s="2946" t="s">
        <v>3166</v>
      </c>
      <c r="B361" s="2946" t="s">
        <v>153</v>
      </c>
      <c r="C361" s="2946">
        <v>2260</v>
      </c>
      <c r="D361" s="2946">
        <v>2220</v>
      </c>
      <c r="E361" s="2946">
        <v>2180</v>
      </c>
      <c r="F361" s="2946">
        <v>580</v>
      </c>
      <c r="G361" s="2959">
        <v>1340</v>
      </c>
    </row>
    <row r="362" spans="1:7" s="2781" customFormat="1">
      <c r="A362" s="2946" t="s">
        <v>3166</v>
      </c>
      <c r="B362" s="2946" t="s">
        <v>3170</v>
      </c>
      <c r="C362" s="2946">
        <v>2650</v>
      </c>
      <c r="D362" s="2946">
        <v>2610</v>
      </c>
      <c r="E362" s="2946">
        <v>2570</v>
      </c>
      <c r="F362" s="2946">
        <v>630</v>
      </c>
      <c r="G362" s="2959">
        <v>1570</v>
      </c>
    </row>
    <row r="363" spans="1:7" s="2781" customFormat="1">
      <c r="A363" s="2946" t="s">
        <v>3166</v>
      </c>
      <c r="B363" s="2946" t="s">
        <v>2891</v>
      </c>
      <c r="C363" s="2946">
        <v>2390</v>
      </c>
      <c r="D363" s="2946">
        <v>2360</v>
      </c>
      <c r="E363" s="2946">
        <v>2320</v>
      </c>
      <c r="F363" s="2946">
        <v>600</v>
      </c>
      <c r="G363" s="2959">
        <v>1420</v>
      </c>
    </row>
    <row r="364" spans="1:7" s="2781" customFormat="1">
      <c r="A364" s="2946" t="s">
        <v>3166</v>
      </c>
      <c r="B364" s="2946" t="s">
        <v>3171</v>
      </c>
      <c r="C364" s="2946">
        <v>2050</v>
      </c>
      <c r="D364" s="2946">
        <v>2030</v>
      </c>
      <c r="E364" s="2946">
        <v>1990</v>
      </c>
      <c r="F364" s="2946">
        <v>550</v>
      </c>
      <c r="G364" s="2959">
        <v>1220</v>
      </c>
    </row>
    <row r="365" spans="1:7" s="2781" customFormat="1">
      <c r="A365" s="2946" t="s">
        <v>3166</v>
      </c>
      <c r="B365" s="2946" t="s">
        <v>200</v>
      </c>
      <c r="C365" s="2946">
        <v>2140</v>
      </c>
      <c r="D365" s="2946">
        <v>2100</v>
      </c>
      <c r="E365" s="2946">
        <v>2060</v>
      </c>
      <c r="F365" s="2946">
        <v>540</v>
      </c>
      <c r="G365" s="2959">
        <v>1270</v>
      </c>
    </row>
    <row r="366" spans="1:7" s="2781" customFormat="1">
      <c r="A366" s="2946" t="s">
        <v>3166</v>
      </c>
      <c r="B366" s="2946" t="s">
        <v>2898</v>
      </c>
      <c r="C366" s="2946">
        <v>2410</v>
      </c>
      <c r="D366" s="2946">
        <v>2370</v>
      </c>
      <c r="E366" s="2946">
        <v>2330</v>
      </c>
      <c r="F366" s="2946">
        <v>570</v>
      </c>
      <c r="G366" s="2959">
        <v>1440</v>
      </c>
    </row>
    <row r="367" spans="1:7" s="2781" customFormat="1">
      <c r="A367" s="2946" t="s">
        <v>3166</v>
      </c>
      <c r="B367" s="2946" t="s">
        <v>3172</v>
      </c>
      <c r="C367" s="2946">
        <v>2300</v>
      </c>
      <c r="D367" s="2946">
        <v>2260</v>
      </c>
      <c r="E367" s="2946">
        <v>2220</v>
      </c>
      <c r="F367" s="2946">
        <v>560</v>
      </c>
      <c r="G367" s="2959">
        <v>1370</v>
      </c>
    </row>
    <row r="368" spans="1:7" s="2781" customFormat="1">
      <c r="A368" s="2946" t="s">
        <v>3166</v>
      </c>
      <c r="B368" s="2946" t="s">
        <v>3173</v>
      </c>
      <c r="C368" s="2946">
        <v>2430</v>
      </c>
      <c r="D368" s="2946">
        <v>2390</v>
      </c>
      <c r="E368" s="2946">
        <v>2350</v>
      </c>
      <c r="F368" s="2946">
        <v>570</v>
      </c>
      <c r="G368" s="2959">
        <v>1450</v>
      </c>
    </row>
    <row r="369" spans="1:7" s="2781" customFormat="1">
      <c r="A369" s="2946" t="s">
        <v>3166</v>
      </c>
      <c r="B369" s="2946" t="s">
        <v>214</v>
      </c>
      <c r="C369" s="2946">
        <v>2320</v>
      </c>
      <c r="D369" s="2946">
        <v>2290</v>
      </c>
      <c r="E369" s="2946">
        <v>2250</v>
      </c>
      <c r="F369" s="2946">
        <v>550</v>
      </c>
      <c r="G369" s="2959">
        <v>1380</v>
      </c>
    </row>
    <row r="370" spans="1:7" s="2781" customFormat="1">
      <c r="A370" s="2946" t="s">
        <v>3166</v>
      </c>
      <c r="B370" s="2946" t="s">
        <v>221</v>
      </c>
      <c r="C370" s="2946">
        <v>2190</v>
      </c>
      <c r="D370" s="2946">
        <v>2170</v>
      </c>
      <c r="E370" s="2946">
        <v>2130</v>
      </c>
      <c r="F370" s="2946">
        <v>530</v>
      </c>
      <c r="G370" s="2959">
        <v>1310</v>
      </c>
    </row>
    <row r="371" spans="1:7" s="2781" customFormat="1">
      <c r="A371" s="2946" t="s">
        <v>3166</v>
      </c>
      <c r="B371" s="2946" t="s">
        <v>229</v>
      </c>
      <c r="C371" s="2946">
        <v>2460</v>
      </c>
      <c r="D371" s="2946">
        <v>2420</v>
      </c>
      <c r="E371" s="2946">
        <v>2370</v>
      </c>
      <c r="F371" s="2946">
        <v>560</v>
      </c>
      <c r="G371" s="2959">
        <v>1470</v>
      </c>
    </row>
    <row r="372" spans="1:7" s="2781" customFormat="1">
      <c r="A372" s="2946" t="s">
        <v>3166</v>
      </c>
      <c r="B372" s="2946" t="s">
        <v>3174</v>
      </c>
      <c r="C372" s="2946">
        <v>2250</v>
      </c>
      <c r="D372" s="2946">
        <v>2210</v>
      </c>
      <c r="E372" s="2946">
        <v>2180</v>
      </c>
      <c r="F372" s="2946">
        <v>550</v>
      </c>
      <c r="G372" s="2959">
        <v>1340</v>
      </c>
    </row>
    <row r="373" spans="1:7" s="2781" customFormat="1">
      <c r="A373" s="2946" t="s">
        <v>3166</v>
      </c>
      <c r="B373" s="2946" t="s">
        <v>258</v>
      </c>
      <c r="C373" s="2946">
        <v>2210</v>
      </c>
      <c r="D373" s="2946">
        <v>2190</v>
      </c>
      <c r="E373" s="2946">
        <v>2150</v>
      </c>
      <c r="F373" s="2946">
        <v>530</v>
      </c>
      <c r="G373" s="2959">
        <v>1320</v>
      </c>
    </row>
    <row r="374" spans="1:7" s="2781" customFormat="1">
      <c r="A374" s="2946" t="s">
        <v>3166</v>
      </c>
      <c r="B374" s="2946" t="s">
        <v>266</v>
      </c>
      <c r="C374" s="2946">
        <v>2320</v>
      </c>
      <c r="D374" s="2946">
        <v>2280</v>
      </c>
      <c r="E374" s="2946">
        <v>2230</v>
      </c>
      <c r="F374" s="2946">
        <v>580</v>
      </c>
      <c r="G374" s="2959">
        <v>1380</v>
      </c>
    </row>
    <row r="375" spans="1:7" s="2781" customFormat="1">
      <c r="A375" s="2946" t="s">
        <v>3166</v>
      </c>
      <c r="B375" s="2946" t="s">
        <v>3175</v>
      </c>
      <c r="C375" s="2946">
        <v>2090</v>
      </c>
      <c r="D375" s="2946">
        <v>2050</v>
      </c>
      <c r="E375" s="2946">
        <v>2020</v>
      </c>
      <c r="F375" s="2946">
        <v>520</v>
      </c>
      <c r="G375" s="2959">
        <v>1240</v>
      </c>
    </row>
    <row r="376" spans="1:7" s="2781" customFormat="1">
      <c r="A376" s="2946" t="s">
        <v>3166</v>
      </c>
      <c r="B376" s="2946" t="s">
        <v>277</v>
      </c>
      <c r="C376" s="2946">
        <v>2010</v>
      </c>
      <c r="D376" s="2946">
        <v>1980</v>
      </c>
      <c r="E376" s="2946">
        <v>1940</v>
      </c>
      <c r="F376" s="2946">
        <v>540</v>
      </c>
      <c r="G376" s="2959">
        <v>1190</v>
      </c>
    </row>
    <row r="377" spans="1:7" s="2781" customFormat="1" ht="12" thickBot="1">
      <c r="A377" s="2954" t="s">
        <v>3166</v>
      </c>
      <c r="B377" s="2957" t="s">
        <v>2928</v>
      </c>
      <c r="C377" s="2957">
        <v>1930</v>
      </c>
      <c r="D377" s="2957">
        <v>1890</v>
      </c>
      <c r="E377" s="2957">
        <v>1860</v>
      </c>
      <c r="F377" s="2957">
        <v>530</v>
      </c>
      <c r="G377" s="2962">
        <v>1150</v>
      </c>
    </row>
    <row r="378" spans="1:7" s="2781" customFormat="1">
      <c r="A378" s="2963" t="s">
        <v>3176</v>
      </c>
      <c r="B378" s="2942" t="s">
        <v>3177</v>
      </c>
      <c r="C378" s="2942">
        <v>1520</v>
      </c>
      <c r="D378" s="2942">
        <v>1490</v>
      </c>
      <c r="E378" s="2942">
        <v>1460</v>
      </c>
      <c r="F378" s="2942">
        <v>460</v>
      </c>
      <c r="G378" s="2958">
        <v>940</v>
      </c>
    </row>
    <row r="379" spans="1:7" s="2781" customFormat="1">
      <c r="A379" s="2964" t="s">
        <v>3176</v>
      </c>
      <c r="B379" s="2946" t="s">
        <v>3178</v>
      </c>
      <c r="C379" s="2946">
        <v>1500</v>
      </c>
      <c r="D379" s="2946">
        <v>1470</v>
      </c>
      <c r="E379" s="2946">
        <v>1430</v>
      </c>
      <c r="F379" s="2946">
        <v>460</v>
      </c>
      <c r="G379" s="2959">
        <v>920</v>
      </c>
    </row>
    <row r="380" spans="1:7" s="2781" customFormat="1">
      <c r="A380" s="2964" t="s">
        <v>3176</v>
      </c>
      <c r="B380" s="2946" t="s">
        <v>3179</v>
      </c>
      <c r="C380" s="2946">
        <v>1620</v>
      </c>
      <c r="D380" s="2946">
        <v>1590</v>
      </c>
      <c r="E380" s="2946">
        <v>1560</v>
      </c>
      <c r="F380" s="2946">
        <v>480</v>
      </c>
      <c r="G380" s="2959">
        <v>1000</v>
      </c>
    </row>
    <row r="381" spans="1:7" s="2781" customFormat="1">
      <c r="A381" s="2964" t="s">
        <v>3176</v>
      </c>
      <c r="B381" s="2946" t="s">
        <v>3180</v>
      </c>
      <c r="C381" s="2946">
        <v>1460</v>
      </c>
      <c r="D381" s="2946">
        <v>1430</v>
      </c>
      <c r="E381" s="2946">
        <v>1390</v>
      </c>
      <c r="F381" s="2946">
        <v>450</v>
      </c>
      <c r="G381" s="2959">
        <v>900</v>
      </c>
    </row>
    <row r="382" spans="1:7" s="2781" customFormat="1">
      <c r="A382" s="2964" t="s">
        <v>3176</v>
      </c>
      <c r="B382" s="2946" t="s">
        <v>3181</v>
      </c>
      <c r="C382" s="2946">
        <v>1310</v>
      </c>
      <c r="D382" s="2946">
        <v>1280</v>
      </c>
      <c r="E382" s="2946">
        <v>1250</v>
      </c>
      <c r="F382" s="2946">
        <v>440</v>
      </c>
      <c r="G382" s="2959">
        <v>800</v>
      </c>
    </row>
    <row r="383" spans="1:7" s="2781" customFormat="1">
      <c r="A383" s="2964" t="s">
        <v>3176</v>
      </c>
      <c r="B383" s="2946" t="s">
        <v>3182</v>
      </c>
      <c r="C383" s="2946">
        <v>1260</v>
      </c>
      <c r="D383" s="2946">
        <v>1230</v>
      </c>
      <c r="E383" s="2946">
        <v>1200</v>
      </c>
      <c r="F383" s="2946">
        <v>420</v>
      </c>
      <c r="G383" s="2959">
        <v>770</v>
      </c>
    </row>
    <row r="384" spans="1:7" s="2781" customFormat="1" ht="12" thickBot="1">
      <c r="A384" s="2965" t="s">
        <v>3176</v>
      </c>
      <c r="B384" s="2953" t="s">
        <v>3183</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93" t="s">
        <v>3184</v>
      </c>
      <c r="B1" s="3493"/>
    </row>
    <row r="2" spans="1:7" ht="14.25" thickBot="1">
      <c r="A2" s="2967"/>
      <c r="B2" s="2967"/>
    </row>
    <row r="3" spans="1:7" ht="14.25" thickBot="1">
      <c r="A3" s="2967"/>
      <c r="B3" s="2967"/>
      <c r="C3" s="2968" t="s">
        <v>2814</v>
      </c>
      <c r="D3" s="2968" t="s">
        <v>2870</v>
      </c>
      <c r="E3" s="2968" t="s">
        <v>2816</v>
      </c>
      <c r="F3" s="2968" t="s">
        <v>2871</v>
      </c>
      <c r="G3" s="2968" t="s">
        <v>2634</v>
      </c>
    </row>
    <row r="4" spans="1:7" ht="14.25" thickBot="1">
      <c r="A4" s="2969" t="s">
        <v>2869</v>
      </c>
      <c r="B4" s="2970" t="s">
        <v>2875</v>
      </c>
      <c r="C4" s="2968"/>
      <c r="D4" s="2968"/>
      <c r="E4" s="2968"/>
      <c r="F4" s="2968"/>
      <c r="G4" s="2968"/>
    </row>
    <row r="5" spans="1:7">
      <c r="A5" s="2971" t="s">
        <v>2843</v>
      </c>
      <c r="B5" s="2972" t="s">
        <v>2857</v>
      </c>
      <c r="C5" s="2973">
        <v>9.8000000000000004E-2</v>
      </c>
      <c r="D5" s="2973">
        <v>8.6999999999999994E-2</v>
      </c>
      <c r="E5" s="2973">
        <v>8.6999999999999994E-2</v>
      </c>
      <c r="F5" s="2973">
        <v>9.8000000000000004E-2</v>
      </c>
      <c r="G5" s="2974">
        <v>9.5000000000000001E-2</v>
      </c>
    </row>
    <row r="6" spans="1:7">
      <c r="A6" s="2975" t="s">
        <v>144</v>
      </c>
      <c r="B6" s="2976" t="s">
        <v>2872</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2858</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2908</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2926</v>
      </c>
      <c r="C29" s="2985"/>
      <c r="D29" s="2981">
        <v>5.1999999999999998E-2</v>
      </c>
      <c r="E29" s="2981">
        <v>7.0000000000000007E-2</v>
      </c>
      <c r="F29" s="2985"/>
      <c r="G29" s="2983">
        <v>7.0999999999999994E-2</v>
      </c>
    </row>
    <row r="30" spans="1:7">
      <c r="A30" s="2986" t="s">
        <v>296</v>
      </c>
      <c r="B30" s="2972" t="s">
        <v>2859</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2845</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2929</v>
      </c>
      <c r="C50" s="2977">
        <v>9.8000000000000004E-2</v>
      </c>
      <c r="D50" s="2977">
        <v>7.2999999999999995E-2</v>
      </c>
      <c r="E50" s="2977">
        <v>7.0999999999999994E-2</v>
      </c>
      <c r="F50" s="2988"/>
      <c r="G50" s="2978">
        <v>7.2999999999999995E-2</v>
      </c>
    </row>
    <row r="51" spans="1:7">
      <c r="A51" s="2987" t="s">
        <v>296</v>
      </c>
      <c r="B51" s="2976" t="s">
        <v>2931</v>
      </c>
      <c r="C51" s="2977">
        <v>9.9000000000000005E-2</v>
      </c>
      <c r="D51" s="2977">
        <v>8.5000000000000006E-2</v>
      </c>
      <c r="E51" s="2977">
        <v>6.3E-2</v>
      </c>
      <c r="F51" s="2988"/>
      <c r="G51" s="2978">
        <v>9.6000000000000002E-2</v>
      </c>
    </row>
    <row r="52" spans="1:7">
      <c r="A52" s="2987" t="s">
        <v>296</v>
      </c>
      <c r="B52" s="2976" t="s">
        <v>2935</v>
      </c>
      <c r="C52" s="2977">
        <v>7.3999999999999996E-2</v>
      </c>
      <c r="D52" s="2977">
        <v>9.6000000000000002E-2</v>
      </c>
      <c r="E52" s="2977">
        <v>0.05</v>
      </c>
      <c r="F52" s="2988"/>
      <c r="G52" s="2978">
        <v>9.8000000000000004E-2</v>
      </c>
    </row>
    <row r="53" spans="1:7">
      <c r="A53" s="2987" t="s">
        <v>296</v>
      </c>
      <c r="B53" s="2976" t="s">
        <v>2940</v>
      </c>
      <c r="C53" s="2977">
        <v>8.5999999999999993E-2</v>
      </c>
      <c r="D53" s="2988"/>
      <c r="E53" s="2977">
        <v>9.1999999999999998E-2</v>
      </c>
      <c r="F53" s="2988"/>
      <c r="G53" s="2989"/>
    </row>
    <row r="54" spans="1:7" ht="14.25" thickBot="1">
      <c r="A54" s="2990" t="s">
        <v>296</v>
      </c>
      <c r="B54" s="2980" t="s">
        <v>2943</v>
      </c>
      <c r="C54" s="2981">
        <v>9.6000000000000002E-2</v>
      </c>
      <c r="D54" s="2982"/>
      <c r="E54" s="2991"/>
      <c r="F54" s="2982"/>
      <c r="G54" s="2992"/>
    </row>
    <row r="55" spans="1:7">
      <c r="A55" s="2986" t="s">
        <v>110</v>
      </c>
      <c r="B55" s="2972" t="s">
        <v>2860</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2941</v>
      </c>
      <c r="C78" s="2977">
        <v>0.1</v>
      </c>
      <c r="D78" s="2977">
        <v>8.5000000000000006E-2</v>
      </c>
      <c r="E78" s="2977">
        <v>9.6000000000000002E-2</v>
      </c>
      <c r="F78" s="2988"/>
      <c r="G78" s="2978">
        <v>9.6000000000000002E-2</v>
      </c>
    </row>
    <row r="79" spans="1:7">
      <c r="A79" s="2987" t="s">
        <v>110</v>
      </c>
      <c r="B79" s="2976" t="s">
        <v>2944</v>
      </c>
      <c r="C79" s="2977">
        <v>0.05</v>
      </c>
      <c r="D79" s="2977">
        <v>9.6000000000000002E-2</v>
      </c>
      <c r="E79" s="2977">
        <v>9.5000000000000001E-2</v>
      </c>
      <c r="F79" s="2988"/>
      <c r="G79" s="2978">
        <v>9.8000000000000004E-2</v>
      </c>
    </row>
    <row r="80" spans="1:7">
      <c r="A80" s="2987" t="s">
        <v>110</v>
      </c>
      <c r="B80" s="2976" t="s">
        <v>2948</v>
      </c>
      <c r="C80" s="2977">
        <v>8.5999999999999993E-2</v>
      </c>
      <c r="D80" s="2993"/>
      <c r="E80" s="2977">
        <v>0.1</v>
      </c>
      <c r="F80" s="2988"/>
      <c r="G80" s="2989"/>
    </row>
    <row r="81" spans="1:7">
      <c r="A81" s="2987" t="s">
        <v>110</v>
      </c>
      <c r="B81" s="2976" t="s">
        <v>2953</v>
      </c>
      <c r="C81" s="2977">
        <v>9.6000000000000002E-2</v>
      </c>
      <c r="D81" s="2988"/>
      <c r="E81" s="2977">
        <v>9.8000000000000004E-2</v>
      </c>
      <c r="F81" s="2988"/>
      <c r="G81" s="2989"/>
    </row>
    <row r="82" spans="1:7">
      <c r="A82" s="2987" t="s">
        <v>110</v>
      </c>
      <c r="B82" s="2976" t="s">
        <v>2960</v>
      </c>
      <c r="C82" s="2993"/>
      <c r="D82" s="2988"/>
      <c r="E82" s="2977">
        <v>7.6999999999999999E-2</v>
      </c>
      <c r="F82" s="2988"/>
      <c r="G82" s="2989"/>
    </row>
    <row r="83" spans="1:7">
      <c r="A83" s="2987" t="s">
        <v>110</v>
      </c>
      <c r="B83" s="2976" t="s">
        <v>2966</v>
      </c>
      <c r="C83" s="2988"/>
      <c r="D83" s="2988"/>
      <c r="E83" s="2988"/>
      <c r="F83" s="2977">
        <v>0.1</v>
      </c>
      <c r="G83" s="2994"/>
    </row>
    <row r="84" spans="1:7">
      <c r="A84" s="2987" t="s">
        <v>110</v>
      </c>
      <c r="B84" s="2976" t="s">
        <v>2973</v>
      </c>
      <c r="C84" s="2988"/>
      <c r="D84" s="2988"/>
      <c r="E84" s="2988"/>
      <c r="F84" s="2977">
        <v>0.1</v>
      </c>
      <c r="G84" s="2994"/>
    </row>
    <row r="85" spans="1:7">
      <c r="A85" s="2987" t="s">
        <v>110</v>
      </c>
      <c r="B85" s="2976" t="s">
        <v>2980</v>
      </c>
      <c r="C85" s="2988"/>
      <c r="D85" s="2988"/>
      <c r="E85" s="2988"/>
      <c r="F85" s="2977">
        <v>0.1</v>
      </c>
      <c r="G85" s="2994"/>
    </row>
    <row r="86" spans="1:7" ht="14.25" thickBot="1">
      <c r="A86" s="2990" t="s">
        <v>110</v>
      </c>
      <c r="B86" s="2980" t="s">
        <v>2985</v>
      </c>
      <c r="C86" s="2981">
        <v>9.8000000000000004E-2</v>
      </c>
      <c r="D86" s="2981">
        <v>9.8000000000000004E-2</v>
      </c>
      <c r="E86" s="2981">
        <v>9.6000000000000002E-2</v>
      </c>
      <c r="F86" s="2991"/>
      <c r="G86" s="2983">
        <v>0.1</v>
      </c>
    </row>
    <row r="87" spans="1:7">
      <c r="A87" s="2986" t="s">
        <v>303</v>
      </c>
      <c r="B87" s="2972" t="s">
        <v>2861</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2954</v>
      </c>
      <c r="C113" s="2977">
        <v>0.1</v>
      </c>
      <c r="D113" s="2977">
        <v>0.1</v>
      </c>
      <c r="E113" s="2988"/>
      <c r="F113" s="2988"/>
      <c r="G113" s="2978">
        <v>0.1</v>
      </c>
    </row>
    <row r="114" spans="1:7">
      <c r="A114" s="2987" t="s">
        <v>303</v>
      </c>
      <c r="B114" s="2976" t="s">
        <v>2961</v>
      </c>
      <c r="C114" s="2977">
        <v>9.7000000000000003E-2</v>
      </c>
      <c r="D114" s="2977">
        <v>9.7000000000000003E-2</v>
      </c>
      <c r="E114" s="2988"/>
      <c r="F114" s="2988"/>
      <c r="G114" s="2978">
        <v>9.9000000000000005E-2</v>
      </c>
    </row>
    <row r="115" spans="1:7">
      <c r="A115" s="2987" t="s">
        <v>303</v>
      </c>
      <c r="B115" s="2976" t="s">
        <v>2967</v>
      </c>
      <c r="C115" s="2977">
        <v>0.1</v>
      </c>
      <c r="D115" s="2977">
        <v>0.1</v>
      </c>
      <c r="E115" s="2988"/>
      <c r="F115" s="2988"/>
      <c r="G115" s="2978">
        <v>0.1</v>
      </c>
    </row>
    <row r="116" spans="1:7">
      <c r="A116" s="2987" t="s">
        <v>303</v>
      </c>
      <c r="B116" s="2976" t="s">
        <v>2974</v>
      </c>
      <c r="C116" s="2977">
        <v>0.1</v>
      </c>
      <c r="D116" s="2977">
        <v>0.1</v>
      </c>
      <c r="E116" s="2988"/>
      <c r="F116" s="2988"/>
      <c r="G116" s="2978">
        <v>0.1</v>
      </c>
    </row>
    <row r="117" spans="1:7">
      <c r="A117" s="2987" t="s">
        <v>303</v>
      </c>
      <c r="B117" s="2976" t="s">
        <v>2981</v>
      </c>
      <c r="C117" s="2977">
        <v>9.7000000000000003E-2</v>
      </c>
      <c r="D117" s="2977">
        <v>9.7000000000000003E-2</v>
      </c>
      <c r="E117" s="2988"/>
      <c r="F117" s="2988"/>
      <c r="G117" s="2978">
        <v>9.7000000000000003E-2</v>
      </c>
    </row>
    <row r="118" spans="1:7">
      <c r="A118" s="2987" t="s">
        <v>303</v>
      </c>
      <c r="B118" s="2976" t="s">
        <v>2986</v>
      </c>
      <c r="C118" s="2977">
        <v>0.1</v>
      </c>
      <c r="D118" s="2977">
        <v>0.1</v>
      </c>
      <c r="E118" s="2988"/>
      <c r="F118" s="2988"/>
      <c r="G118" s="2978">
        <v>0.1</v>
      </c>
    </row>
    <row r="119" spans="1:7">
      <c r="A119" s="2987" t="s">
        <v>303</v>
      </c>
      <c r="B119" s="2976" t="s">
        <v>2990</v>
      </c>
      <c r="C119" s="2977">
        <v>5.0999999999999997E-2</v>
      </c>
      <c r="D119" s="2977">
        <v>5.1999999999999998E-2</v>
      </c>
      <c r="E119" s="2988"/>
      <c r="F119" s="2993"/>
      <c r="G119" s="2978">
        <v>0.06</v>
      </c>
    </row>
    <row r="120" spans="1:7">
      <c r="A120" s="2987" t="s">
        <v>303</v>
      </c>
      <c r="B120" s="2976" t="s">
        <v>2994</v>
      </c>
      <c r="C120" s="2988"/>
      <c r="D120" s="2988"/>
      <c r="E120" s="2988"/>
      <c r="F120" s="2977">
        <v>0.1</v>
      </c>
      <c r="G120" s="2994"/>
    </row>
    <row r="121" spans="1:7">
      <c r="A121" s="2987" t="s">
        <v>303</v>
      </c>
      <c r="B121" s="2976" t="s">
        <v>2999</v>
      </c>
      <c r="C121" s="2988"/>
      <c r="D121" s="2988"/>
      <c r="E121" s="2988"/>
      <c r="F121" s="2977">
        <v>0.1</v>
      </c>
      <c r="G121" s="2994"/>
    </row>
    <row r="122" spans="1:7">
      <c r="A122" s="2987" t="s">
        <v>303</v>
      </c>
      <c r="B122" s="2976" t="s">
        <v>3004</v>
      </c>
      <c r="C122" s="2977">
        <v>0.1</v>
      </c>
      <c r="D122" s="2977">
        <v>0.1</v>
      </c>
      <c r="E122" s="2977">
        <v>9.8000000000000004E-2</v>
      </c>
      <c r="F122" s="2977">
        <v>0.1</v>
      </c>
      <c r="G122" s="2978">
        <v>0.1</v>
      </c>
    </row>
    <row r="123" spans="1:7">
      <c r="A123" s="2987" t="s">
        <v>303</v>
      </c>
      <c r="B123" s="2976" t="s">
        <v>3009</v>
      </c>
      <c r="C123" s="2977">
        <v>0.1</v>
      </c>
      <c r="D123" s="2977">
        <v>0.1</v>
      </c>
      <c r="E123" s="2977">
        <v>9.8000000000000004E-2</v>
      </c>
      <c r="F123" s="2977">
        <v>0.1</v>
      </c>
      <c r="G123" s="2978">
        <v>0.1</v>
      </c>
    </row>
    <row r="124" spans="1:7">
      <c r="A124" s="2987" t="s">
        <v>303</v>
      </c>
      <c r="B124" s="2976" t="s">
        <v>3014</v>
      </c>
      <c r="C124" s="2977">
        <v>0.1</v>
      </c>
      <c r="D124" s="2977">
        <v>0.1</v>
      </c>
      <c r="E124" s="2977">
        <v>9.8000000000000004E-2</v>
      </c>
      <c r="F124" s="2993"/>
      <c r="G124" s="2978">
        <v>0.1</v>
      </c>
    </row>
    <row r="125" spans="1:7">
      <c r="A125" s="2987" t="s">
        <v>303</v>
      </c>
      <c r="B125" s="2976" t="s">
        <v>3019</v>
      </c>
      <c r="C125" s="2977">
        <v>9.8000000000000004E-2</v>
      </c>
      <c r="D125" s="2977">
        <v>9.8000000000000004E-2</v>
      </c>
      <c r="E125" s="2977">
        <v>9.6000000000000002E-2</v>
      </c>
      <c r="F125" s="2993"/>
      <c r="G125" s="2978">
        <v>0.1</v>
      </c>
    </row>
    <row r="126" spans="1:7" ht="14.25" thickBot="1">
      <c r="A126" s="2990" t="s">
        <v>303</v>
      </c>
      <c r="B126" s="2980" t="s">
        <v>3185</v>
      </c>
      <c r="C126" s="2981">
        <v>0.1</v>
      </c>
      <c r="D126" s="2981">
        <v>0.1</v>
      </c>
      <c r="E126" s="2981">
        <v>9.8000000000000004E-2</v>
      </c>
      <c r="F126" s="2981">
        <v>0.1</v>
      </c>
      <c r="G126" s="2983">
        <v>0.1</v>
      </c>
    </row>
    <row r="127" spans="1:7">
      <c r="A127" s="2986" t="s">
        <v>29</v>
      </c>
      <c r="B127" s="2972" t="s">
        <v>2862</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2932</v>
      </c>
      <c r="C148" s="2977">
        <v>0.13</v>
      </c>
      <c r="D148" s="2977">
        <v>0.13</v>
      </c>
      <c r="E148" s="2977">
        <v>0.13</v>
      </c>
      <c r="F148" s="2988"/>
      <c r="G148" s="2978">
        <v>0.13</v>
      </c>
    </row>
    <row r="149" spans="1:7">
      <c r="A149" s="2987" t="s">
        <v>29</v>
      </c>
      <c r="B149" s="2976" t="s">
        <v>2936</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2955</v>
      </c>
      <c r="C153" s="2977">
        <v>0.13</v>
      </c>
      <c r="D153" s="2977">
        <v>0.13</v>
      </c>
      <c r="E153" s="2977">
        <v>0.13</v>
      </c>
      <c r="F153" s="2977">
        <v>0.13</v>
      </c>
      <c r="G153" s="2978">
        <v>0.13</v>
      </c>
    </row>
    <row r="154" spans="1:7">
      <c r="A154" s="2987" t="s">
        <v>29</v>
      </c>
      <c r="B154" s="2976" t="s">
        <v>2962</v>
      </c>
      <c r="C154" s="2977">
        <v>0.121</v>
      </c>
      <c r="D154" s="2977">
        <v>0.121</v>
      </c>
      <c r="E154" s="2977">
        <v>0.105</v>
      </c>
      <c r="F154" s="2977">
        <v>0.121</v>
      </c>
      <c r="G154" s="2978">
        <v>0.123</v>
      </c>
    </row>
    <row r="155" spans="1:7">
      <c r="A155" s="2987" t="s">
        <v>29</v>
      </c>
      <c r="B155" s="2976" t="s">
        <v>2968</v>
      </c>
      <c r="C155" s="2977">
        <v>0.1</v>
      </c>
      <c r="D155" s="2977">
        <v>0.1</v>
      </c>
      <c r="E155" s="2977">
        <v>0.1</v>
      </c>
      <c r="F155" s="2977">
        <v>0.1</v>
      </c>
      <c r="G155" s="2978">
        <v>0.1</v>
      </c>
    </row>
    <row r="156" spans="1:7">
      <c r="A156" s="2987" t="s">
        <v>29</v>
      </c>
      <c r="B156" s="2976" t="s">
        <v>2975</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2995</v>
      </c>
      <c r="C160" s="2977">
        <v>0.13</v>
      </c>
      <c r="D160" s="2977">
        <v>0.13</v>
      </c>
      <c r="E160" s="2977">
        <v>0.124</v>
      </c>
      <c r="F160" s="2977">
        <v>0.126</v>
      </c>
      <c r="G160" s="2978">
        <v>0.13</v>
      </c>
    </row>
    <row r="161" spans="1:7">
      <c r="A161" s="2987" t="s">
        <v>29</v>
      </c>
      <c r="B161" s="2976" t="s">
        <v>3000</v>
      </c>
      <c r="C161" s="2977">
        <v>0.13</v>
      </c>
      <c r="D161" s="2977">
        <v>0.13</v>
      </c>
      <c r="E161" s="2977">
        <v>0.124</v>
      </c>
      <c r="F161" s="2977">
        <v>0.127</v>
      </c>
      <c r="G161" s="2978">
        <v>0.13</v>
      </c>
    </row>
    <row r="162" spans="1:7">
      <c r="A162" s="2987" t="s">
        <v>29</v>
      </c>
      <c r="B162" s="2976" t="s">
        <v>3005</v>
      </c>
      <c r="C162" s="2977">
        <v>0.1</v>
      </c>
      <c r="D162" s="2977">
        <v>0.1</v>
      </c>
      <c r="E162" s="2977">
        <v>0.1</v>
      </c>
      <c r="F162" s="2977">
        <v>0.121</v>
      </c>
      <c r="G162" s="2978">
        <v>0.105</v>
      </c>
    </row>
    <row r="163" spans="1:7">
      <c r="A163" s="2987" t="s">
        <v>29</v>
      </c>
      <c r="B163" s="2976" t="s">
        <v>3010</v>
      </c>
      <c r="C163" s="2977">
        <v>0.1</v>
      </c>
      <c r="D163" s="2977">
        <v>0.1</v>
      </c>
      <c r="E163" s="2977">
        <v>0.1</v>
      </c>
      <c r="F163" s="2977">
        <v>0.1</v>
      </c>
      <c r="G163" s="2978">
        <v>0.1</v>
      </c>
    </row>
    <row r="164" spans="1:7">
      <c r="A164" s="2987" t="s">
        <v>29</v>
      </c>
      <c r="B164" s="2976" t="s">
        <v>3015</v>
      </c>
      <c r="C164" s="2993"/>
      <c r="D164" s="2993"/>
      <c r="E164" s="2993"/>
      <c r="F164" s="2977">
        <v>0.1</v>
      </c>
      <c r="G164" s="2989"/>
    </row>
    <row r="165" spans="1:7">
      <c r="A165" s="2987" t="s">
        <v>29</v>
      </c>
      <c r="B165" s="2976" t="s">
        <v>3186</v>
      </c>
      <c r="C165" s="2977">
        <v>0.126</v>
      </c>
      <c r="D165" s="2977">
        <v>0.126</v>
      </c>
      <c r="E165" s="2977">
        <v>0.11899999999999999</v>
      </c>
      <c r="F165" s="2977">
        <v>0.13</v>
      </c>
      <c r="G165" s="2978">
        <v>0.128</v>
      </c>
    </row>
    <row r="166" spans="1:7">
      <c r="A166" s="2987" t="s">
        <v>29</v>
      </c>
      <c r="B166" s="2976" t="s">
        <v>3025</v>
      </c>
      <c r="C166" s="2977">
        <v>0.129</v>
      </c>
      <c r="D166" s="2977">
        <v>0.129</v>
      </c>
      <c r="E166" s="2977">
        <v>0.123</v>
      </c>
      <c r="F166" s="2977">
        <v>0.128</v>
      </c>
      <c r="G166" s="2978">
        <v>0.13</v>
      </c>
    </row>
    <row r="167" spans="1:7">
      <c r="A167" s="2987" t="s">
        <v>29</v>
      </c>
      <c r="B167" s="2976" t="s">
        <v>3029</v>
      </c>
      <c r="C167" s="2977">
        <v>0.125</v>
      </c>
      <c r="D167" s="2977">
        <v>0.125</v>
      </c>
      <c r="E167" s="2977">
        <v>0.11700000000000001</v>
      </c>
      <c r="F167" s="2977">
        <v>0.13</v>
      </c>
      <c r="G167" s="2978">
        <v>0.126</v>
      </c>
    </row>
    <row r="168" spans="1:7">
      <c r="A168" s="2987" t="s">
        <v>29</v>
      </c>
      <c r="B168" s="2976" t="s">
        <v>3034</v>
      </c>
      <c r="C168" s="2977">
        <v>0.128</v>
      </c>
      <c r="D168" s="2977">
        <v>0.128</v>
      </c>
      <c r="E168" s="2977">
        <v>0.123</v>
      </c>
      <c r="F168" s="2988"/>
      <c r="G168" s="2978">
        <v>0.13</v>
      </c>
    </row>
    <row r="169" spans="1:7">
      <c r="A169" s="2987" t="s">
        <v>29</v>
      </c>
      <c r="B169" s="2976" t="s">
        <v>3187</v>
      </c>
      <c r="C169" s="2993"/>
      <c r="D169" s="2993"/>
      <c r="E169" s="2993"/>
      <c r="F169" s="2977">
        <v>0.05</v>
      </c>
      <c r="G169" s="2989"/>
    </row>
    <row r="170" spans="1:7">
      <c r="A170" s="2987" t="s">
        <v>29</v>
      </c>
      <c r="B170" s="2976" t="s">
        <v>3188</v>
      </c>
      <c r="C170" s="2993"/>
      <c r="D170" s="2993"/>
      <c r="E170" s="2993"/>
      <c r="F170" s="2977">
        <v>0.05</v>
      </c>
      <c r="G170" s="2989"/>
    </row>
    <row r="171" spans="1:7">
      <c r="A171" s="2987" t="s">
        <v>29</v>
      </c>
      <c r="B171" s="2976" t="s">
        <v>3189</v>
      </c>
      <c r="C171" s="2993"/>
      <c r="D171" s="2993"/>
      <c r="E171" s="2993"/>
      <c r="F171" s="2977">
        <v>0.05</v>
      </c>
      <c r="G171" s="2994"/>
    </row>
    <row r="172" spans="1:7">
      <c r="A172" s="2987" t="s">
        <v>29</v>
      </c>
      <c r="B172" s="2976" t="s">
        <v>3190</v>
      </c>
      <c r="C172" s="2993"/>
      <c r="D172" s="2993"/>
      <c r="E172" s="2993"/>
      <c r="F172" s="2977">
        <v>0.05</v>
      </c>
      <c r="G172" s="2994"/>
    </row>
    <row r="173" spans="1:7">
      <c r="A173" s="2987" t="s">
        <v>29</v>
      </c>
      <c r="B173" s="2976" t="s">
        <v>3191</v>
      </c>
      <c r="C173" s="2993"/>
      <c r="D173" s="2993"/>
      <c r="E173" s="2993"/>
      <c r="F173" s="2977">
        <v>0.05</v>
      </c>
      <c r="G173" s="2989"/>
    </row>
    <row r="174" spans="1:7">
      <c r="A174" s="2987" t="s">
        <v>29</v>
      </c>
      <c r="B174" s="2976" t="s">
        <v>3192</v>
      </c>
      <c r="C174" s="2993"/>
      <c r="D174" s="2993"/>
      <c r="E174" s="2993"/>
      <c r="F174" s="2977">
        <v>0.05</v>
      </c>
      <c r="G174" s="2989"/>
    </row>
    <row r="175" spans="1:7">
      <c r="A175" s="2987" t="s">
        <v>29</v>
      </c>
      <c r="B175" s="2976" t="s">
        <v>3193</v>
      </c>
      <c r="C175" s="2993"/>
      <c r="D175" s="2993"/>
      <c r="E175" s="2993"/>
      <c r="F175" s="2977">
        <v>0.05</v>
      </c>
      <c r="G175" s="2989"/>
    </row>
    <row r="176" spans="1:7">
      <c r="A176" s="2987" t="s">
        <v>29</v>
      </c>
      <c r="B176" s="2976" t="s">
        <v>3194</v>
      </c>
      <c r="C176" s="2993"/>
      <c r="D176" s="2993"/>
      <c r="E176" s="2993"/>
      <c r="F176" s="2977">
        <v>0.05</v>
      </c>
      <c r="G176" s="2989"/>
    </row>
    <row r="177" spans="1:7">
      <c r="A177" s="2987" t="s">
        <v>29</v>
      </c>
      <c r="B177" s="2976" t="s">
        <v>3195</v>
      </c>
      <c r="C177" s="2988"/>
      <c r="D177" s="2988"/>
      <c r="E177" s="2988"/>
      <c r="F177" s="2977">
        <v>0.05</v>
      </c>
      <c r="G177" s="2994"/>
    </row>
    <row r="178" spans="1:7">
      <c r="A178" s="2987" t="s">
        <v>29</v>
      </c>
      <c r="B178" s="2976" t="s">
        <v>3196</v>
      </c>
      <c r="C178" s="2988"/>
      <c r="D178" s="2988"/>
      <c r="E178" s="2988"/>
      <c r="F178" s="2977">
        <v>0.05</v>
      </c>
      <c r="G178" s="2994"/>
    </row>
    <row r="179" spans="1:7">
      <c r="A179" s="2987" t="s">
        <v>29</v>
      </c>
      <c r="B179" s="2976" t="s">
        <v>3197</v>
      </c>
      <c r="C179" s="2988"/>
      <c r="D179" s="2988"/>
      <c r="E179" s="2988"/>
      <c r="F179" s="2977">
        <v>0.05</v>
      </c>
      <c r="G179" s="2994"/>
    </row>
    <row r="180" spans="1:7">
      <c r="A180" s="2987" t="s">
        <v>29</v>
      </c>
      <c r="B180" s="2976" t="s">
        <v>3198</v>
      </c>
      <c r="C180" s="2988"/>
      <c r="D180" s="2988"/>
      <c r="E180" s="2988"/>
      <c r="F180" s="2977">
        <v>0.05</v>
      </c>
      <c r="G180" s="2994"/>
    </row>
    <row r="181" spans="1:7">
      <c r="A181" s="2987" t="s">
        <v>29</v>
      </c>
      <c r="B181" s="2976" t="s">
        <v>3199</v>
      </c>
      <c r="C181" s="2988"/>
      <c r="D181" s="2988"/>
      <c r="E181" s="2988"/>
      <c r="F181" s="2977">
        <v>0.05</v>
      </c>
      <c r="G181" s="2994"/>
    </row>
    <row r="182" spans="1:7">
      <c r="A182" s="2987" t="s">
        <v>29</v>
      </c>
      <c r="B182" s="2976" t="s">
        <v>3200</v>
      </c>
      <c r="C182" s="2988"/>
      <c r="D182" s="2988"/>
      <c r="E182" s="2988"/>
      <c r="F182" s="2977">
        <v>0.05</v>
      </c>
      <c r="G182" s="2994"/>
    </row>
    <row r="183" spans="1:7">
      <c r="A183" s="2987" t="s">
        <v>29</v>
      </c>
      <c r="B183" s="2976" t="s">
        <v>3201</v>
      </c>
      <c r="C183" s="2988"/>
      <c r="D183" s="2988"/>
      <c r="E183" s="2988"/>
      <c r="F183" s="2977">
        <v>0.05</v>
      </c>
      <c r="G183" s="2994"/>
    </row>
    <row r="184" spans="1:7">
      <c r="A184" s="2987" t="s">
        <v>29</v>
      </c>
      <c r="B184" s="2976" t="s">
        <v>3202</v>
      </c>
      <c r="C184" s="2988"/>
      <c r="D184" s="2988"/>
      <c r="E184" s="2988"/>
      <c r="F184" s="2977">
        <v>0.05</v>
      </c>
      <c r="G184" s="2994"/>
    </row>
    <row r="185" spans="1:7">
      <c r="A185" s="2987" t="s">
        <v>29</v>
      </c>
      <c r="B185" s="2976" t="s">
        <v>3203</v>
      </c>
      <c r="C185" s="2988"/>
      <c r="D185" s="2988"/>
      <c r="E185" s="2988"/>
      <c r="F185" s="2977">
        <v>0.05</v>
      </c>
      <c r="G185" s="2994"/>
    </row>
    <row r="186" spans="1:7">
      <c r="A186" s="2987" t="s">
        <v>29</v>
      </c>
      <c r="B186" s="2976" t="s">
        <v>3204</v>
      </c>
      <c r="C186" s="2988"/>
      <c r="D186" s="2988"/>
      <c r="E186" s="2988"/>
      <c r="F186" s="2977">
        <v>0.05</v>
      </c>
      <c r="G186" s="2994"/>
    </row>
    <row r="187" spans="1:7">
      <c r="A187" s="2987" t="s">
        <v>29</v>
      </c>
      <c r="B187" s="2976" t="s">
        <v>3205</v>
      </c>
      <c r="C187" s="2988"/>
      <c r="D187" s="2988"/>
      <c r="E187" s="2988"/>
      <c r="F187" s="2977">
        <v>0.05</v>
      </c>
      <c r="G187" s="2994"/>
    </row>
    <row r="188" spans="1:7">
      <c r="A188" s="2987" t="s">
        <v>29</v>
      </c>
      <c r="B188" s="2976" t="s">
        <v>3206</v>
      </c>
      <c r="C188" s="2988"/>
      <c r="D188" s="2988"/>
      <c r="E188" s="2988"/>
      <c r="F188" s="2977">
        <v>0.05</v>
      </c>
      <c r="G188" s="2994"/>
    </row>
    <row r="189" spans="1:7" ht="14.25" thickBot="1">
      <c r="A189" s="2990" t="s">
        <v>29</v>
      </c>
      <c r="B189" s="2980" t="s">
        <v>3207</v>
      </c>
      <c r="C189" s="2982"/>
      <c r="D189" s="2982"/>
      <c r="E189" s="2982"/>
      <c r="F189" s="2981">
        <v>0.05</v>
      </c>
      <c r="G189" s="2995"/>
    </row>
    <row r="190" spans="1:7">
      <c r="A190" s="2986" t="s">
        <v>304</v>
      </c>
      <c r="B190" s="2972" t="s">
        <v>2863</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2899</v>
      </c>
      <c r="C199" s="2977">
        <v>0.13</v>
      </c>
      <c r="D199" s="2977">
        <v>0.13</v>
      </c>
      <c r="E199" s="2977">
        <v>0.13</v>
      </c>
      <c r="F199" s="2977">
        <v>0.13</v>
      </c>
      <c r="G199" s="2978">
        <v>0.13</v>
      </c>
    </row>
    <row r="200" spans="1:7">
      <c r="A200" s="2987" t="s">
        <v>304</v>
      </c>
      <c r="B200" s="2976" t="s">
        <v>2902</v>
      </c>
      <c r="C200" s="2993"/>
      <c r="D200" s="2993"/>
      <c r="E200" s="2993"/>
      <c r="F200" s="2977">
        <v>0.13</v>
      </c>
      <c r="G200" s="2989"/>
    </row>
    <row r="201" spans="1:7">
      <c r="A201" s="2987" t="s">
        <v>304</v>
      </c>
      <c r="B201" s="2976" t="s">
        <v>2907</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2910</v>
      </c>
      <c r="C203" s="2977">
        <v>0.129</v>
      </c>
      <c r="D203" s="2977">
        <v>0.129</v>
      </c>
      <c r="E203" s="2977">
        <v>0.13</v>
      </c>
      <c r="F203" s="2977">
        <v>0.13</v>
      </c>
      <c r="G203" s="2978">
        <v>0.13</v>
      </c>
    </row>
    <row r="204" spans="1:7">
      <c r="A204" s="2987" t="s">
        <v>304</v>
      </c>
      <c r="B204" s="2976" t="s">
        <v>2913</v>
      </c>
      <c r="C204" s="2977">
        <v>0.129</v>
      </c>
      <c r="D204" s="2977">
        <v>0.129</v>
      </c>
      <c r="E204" s="2977">
        <v>0.123</v>
      </c>
      <c r="F204" s="2977">
        <v>0.13</v>
      </c>
      <c r="G204" s="2978">
        <v>0.13</v>
      </c>
    </row>
    <row r="205" spans="1:7">
      <c r="A205" s="2987" t="s">
        <v>304</v>
      </c>
      <c r="B205" s="2976" t="s">
        <v>2915</v>
      </c>
      <c r="C205" s="2977">
        <v>0.13</v>
      </c>
      <c r="D205" s="2977">
        <v>0.13</v>
      </c>
      <c r="E205" s="2977">
        <v>0.13</v>
      </c>
      <c r="F205" s="2977">
        <v>0.13</v>
      </c>
      <c r="G205" s="2978">
        <v>0.13</v>
      </c>
    </row>
    <row r="206" spans="1:7">
      <c r="A206" s="2987" t="s">
        <v>304</v>
      </c>
      <c r="B206" s="2976" t="s">
        <v>2918</v>
      </c>
      <c r="C206" s="2977">
        <v>0.13</v>
      </c>
      <c r="D206" s="2977">
        <v>0.13</v>
      </c>
      <c r="E206" s="2977">
        <v>0.13</v>
      </c>
      <c r="F206" s="2977">
        <v>0.128</v>
      </c>
      <c r="G206" s="2978">
        <v>0.13</v>
      </c>
    </row>
    <row r="207" spans="1:7">
      <c r="A207" s="2987" t="s">
        <v>304</v>
      </c>
      <c r="B207" s="2976" t="s">
        <v>2920</v>
      </c>
      <c r="C207" s="2977">
        <v>0.13</v>
      </c>
      <c r="D207" s="2977">
        <v>0.13</v>
      </c>
      <c r="E207" s="2977">
        <v>0.13</v>
      </c>
      <c r="F207" s="2977">
        <v>0.13</v>
      </c>
      <c r="G207" s="2978">
        <v>0.13</v>
      </c>
    </row>
    <row r="208" spans="1:7">
      <c r="A208" s="2987" t="s">
        <v>304</v>
      </c>
      <c r="B208" s="2976" t="s">
        <v>2923</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2930</v>
      </c>
      <c r="C210" s="2977">
        <v>0.121</v>
      </c>
      <c r="D210" s="2977">
        <v>0.121</v>
      </c>
      <c r="E210" s="2977">
        <v>0.125</v>
      </c>
      <c r="F210" s="2977">
        <v>0.13</v>
      </c>
      <c r="G210" s="2978">
        <v>0.123</v>
      </c>
    </row>
    <row r="211" spans="1:7">
      <c r="A211" s="2987" t="s">
        <v>304</v>
      </c>
      <c r="B211" s="2976" t="s">
        <v>2933</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2945</v>
      </c>
      <c r="C214" s="2977">
        <v>0.128</v>
      </c>
      <c r="D214" s="2977">
        <v>0.128</v>
      </c>
      <c r="E214" s="2977">
        <v>0.13</v>
      </c>
      <c r="F214" s="2977">
        <v>0.13</v>
      </c>
      <c r="G214" s="2978">
        <v>0.13</v>
      </c>
    </row>
    <row r="215" spans="1:7">
      <c r="A215" s="2987" t="s">
        <v>304</v>
      </c>
      <c r="B215" s="2976" t="s">
        <v>2949</v>
      </c>
      <c r="C215" s="2977">
        <v>0.13</v>
      </c>
      <c r="D215" s="2977">
        <v>0.13</v>
      </c>
      <c r="E215" s="2977">
        <v>0.13</v>
      </c>
      <c r="F215" s="2977">
        <v>0.129</v>
      </c>
      <c r="G215" s="2978">
        <v>0.13</v>
      </c>
    </row>
    <row r="216" spans="1:7">
      <c r="A216" s="2987" t="s">
        <v>304</v>
      </c>
      <c r="B216" s="2976" t="s">
        <v>2956</v>
      </c>
      <c r="C216" s="2977">
        <v>0.13</v>
      </c>
      <c r="D216" s="2977">
        <v>0.13</v>
      </c>
      <c r="E216" s="2977">
        <v>0.13</v>
      </c>
      <c r="F216" s="2977">
        <v>0.13</v>
      </c>
      <c r="G216" s="2978">
        <v>0.13</v>
      </c>
    </row>
    <row r="217" spans="1:7">
      <c r="A217" s="2987" t="s">
        <v>304</v>
      </c>
      <c r="B217" s="2976" t="s">
        <v>2963</v>
      </c>
      <c r="C217" s="2977">
        <v>0.129</v>
      </c>
      <c r="D217" s="2977">
        <v>0.129</v>
      </c>
      <c r="E217" s="2977">
        <v>0.13</v>
      </c>
      <c r="F217" s="2977">
        <v>0.13</v>
      </c>
      <c r="G217" s="2978">
        <v>0.13</v>
      </c>
    </row>
    <row r="218" spans="1:7">
      <c r="A218" s="2987" t="s">
        <v>304</v>
      </c>
      <c r="B218" s="2976" t="s">
        <v>2969</v>
      </c>
      <c r="C218" s="2988"/>
      <c r="D218" s="2988"/>
      <c r="E218" s="2988"/>
      <c r="F218" s="2977">
        <v>0.05</v>
      </c>
      <c r="G218" s="2994"/>
    </row>
    <row r="219" spans="1:7">
      <c r="A219" s="2987" t="s">
        <v>304</v>
      </c>
      <c r="B219" s="2976" t="s">
        <v>2976</v>
      </c>
      <c r="C219" s="2988"/>
      <c r="D219" s="2988"/>
      <c r="E219" s="2988"/>
      <c r="F219" s="2977">
        <v>0.05</v>
      </c>
      <c r="G219" s="2994"/>
    </row>
    <row r="220" spans="1:7">
      <c r="A220" s="2987" t="s">
        <v>304</v>
      </c>
      <c r="B220" s="2976" t="s">
        <v>2982</v>
      </c>
      <c r="C220" s="2988"/>
      <c r="D220" s="2988"/>
      <c r="E220" s="2988"/>
      <c r="F220" s="2977">
        <v>0.05</v>
      </c>
      <c r="G220" s="2994"/>
    </row>
    <row r="221" spans="1:7">
      <c r="A221" s="2987" t="s">
        <v>304</v>
      </c>
      <c r="B221" s="2976" t="s">
        <v>2987</v>
      </c>
      <c r="C221" s="2988"/>
      <c r="D221" s="2988"/>
      <c r="E221" s="2988"/>
      <c r="F221" s="2977">
        <v>0.05</v>
      </c>
      <c r="G221" s="2994"/>
    </row>
    <row r="222" spans="1:7">
      <c r="A222" s="2987" t="s">
        <v>304</v>
      </c>
      <c r="B222" s="2976" t="s">
        <v>2991</v>
      </c>
      <c r="C222" s="2988"/>
      <c r="D222" s="2988"/>
      <c r="E222" s="2988"/>
      <c r="F222" s="2977">
        <v>0.05</v>
      </c>
      <c r="G222" s="2994"/>
    </row>
    <row r="223" spans="1:7">
      <c r="A223" s="2987" t="s">
        <v>304</v>
      </c>
      <c r="B223" s="2976" t="s">
        <v>2996</v>
      </c>
      <c r="C223" s="2988"/>
      <c r="D223" s="2988"/>
      <c r="E223" s="2988"/>
      <c r="F223" s="2977">
        <v>0.05</v>
      </c>
      <c r="G223" s="2994"/>
    </row>
    <row r="224" spans="1:7">
      <c r="A224" s="2987" t="s">
        <v>304</v>
      </c>
      <c r="B224" s="2976" t="s">
        <v>3001</v>
      </c>
      <c r="C224" s="2988"/>
      <c r="D224" s="2988"/>
      <c r="E224" s="2988"/>
      <c r="F224" s="2977">
        <v>0.05</v>
      </c>
      <c r="G224" s="2994"/>
    </row>
    <row r="225" spans="1:7">
      <c r="A225" s="2987" t="s">
        <v>304</v>
      </c>
      <c r="B225" s="2976" t="s">
        <v>3006</v>
      </c>
      <c r="C225" s="2988"/>
      <c r="D225" s="2988"/>
      <c r="E225" s="2988"/>
      <c r="F225" s="2977">
        <v>0.05</v>
      </c>
      <c r="G225" s="2994"/>
    </row>
    <row r="226" spans="1:7">
      <c r="A226" s="2987" t="s">
        <v>304</v>
      </c>
      <c r="B226" s="2976" t="s">
        <v>3208</v>
      </c>
      <c r="C226" s="2988"/>
      <c r="D226" s="2988"/>
      <c r="E226" s="2988"/>
      <c r="F226" s="2977">
        <v>0.05</v>
      </c>
      <c r="G226" s="2994"/>
    </row>
    <row r="227" spans="1:7">
      <c r="A227" s="2987" t="s">
        <v>304</v>
      </c>
      <c r="B227" s="2976" t="s">
        <v>3209</v>
      </c>
      <c r="C227" s="2988"/>
      <c r="D227" s="2988"/>
      <c r="E227" s="2988"/>
      <c r="F227" s="2977">
        <v>0.05</v>
      </c>
      <c r="G227" s="2994"/>
    </row>
    <row r="228" spans="1:7">
      <c r="A228" s="2987" t="s">
        <v>304</v>
      </c>
      <c r="B228" s="2976" t="s">
        <v>3210</v>
      </c>
      <c r="C228" s="2988"/>
      <c r="D228" s="2988"/>
      <c r="E228" s="2988"/>
      <c r="F228" s="2977">
        <v>0.05</v>
      </c>
      <c r="G228" s="2994"/>
    </row>
    <row r="229" spans="1:7">
      <c r="A229" s="2987" t="s">
        <v>304</v>
      </c>
      <c r="B229" s="2976" t="s">
        <v>3211</v>
      </c>
      <c r="C229" s="2988"/>
      <c r="D229" s="2988"/>
      <c r="E229" s="2988"/>
      <c r="F229" s="2977">
        <v>0.05</v>
      </c>
      <c r="G229" s="2994"/>
    </row>
    <row r="230" spans="1:7">
      <c r="A230" s="2987" t="s">
        <v>304</v>
      </c>
      <c r="B230" s="2976" t="s">
        <v>3212</v>
      </c>
      <c r="C230" s="2988"/>
      <c r="D230" s="2988"/>
      <c r="E230" s="2988"/>
      <c r="F230" s="2977">
        <v>0.05</v>
      </c>
      <c r="G230" s="2994"/>
    </row>
    <row r="231" spans="1:7">
      <c r="A231" s="2987" t="s">
        <v>304</v>
      </c>
      <c r="B231" s="2976" t="s">
        <v>3213</v>
      </c>
      <c r="C231" s="2988"/>
      <c r="D231" s="2988"/>
      <c r="E231" s="2988"/>
      <c r="F231" s="2977">
        <v>0.05</v>
      </c>
      <c r="G231" s="2994"/>
    </row>
    <row r="232" spans="1:7">
      <c r="A232" s="2987" t="s">
        <v>304</v>
      </c>
      <c r="B232" s="2976" t="s">
        <v>3214</v>
      </c>
      <c r="C232" s="2988"/>
      <c r="D232" s="2988"/>
      <c r="E232" s="2988"/>
      <c r="F232" s="2977">
        <v>0.05</v>
      </c>
      <c r="G232" s="2994"/>
    </row>
    <row r="233" spans="1:7" ht="14.25" thickBot="1">
      <c r="A233" s="2990" t="s">
        <v>304</v>
      </c>
      <c r="B233" s="2980" t="s">
        <v>3215</v>
      </c>
      <c r="C233" s="2982"/>
      <c r="D233" s="2982"/>
      <c r="E233" s="2982"/>
      <c r="F233" s="2981">
        <v>0.05</v>
      </c>
      <c r="G233" s="2995"/>
    </row>
    <row r="234" spans="1:7">
      <c r="A234" s="2986" t="s">
        <v>305</v>
      </c>
      <c r="B234" s="2972" t="s">
        <v>2864</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2884</v>
      </c>
      <c r="C238" s="2977">
        <v>0.14899999999999999</v>
      </c>
      <c r="D238" s="2977">
        <v>0.14899999999999999</v>
      </c>
      <c r="E238" s="2977">
        <v>0.15</v>
      </c>
      <c r="F238" s="2977">
        <v>0.15</v>
      </c>
      <c r="G238" s="2978">
        <v>0.15</v>
      </c>
    </row>
    <row r="239" spans="1:7">
      <c r="A239" s="2987" t="s">
        <v>305</v>
      </c>
      <c r="B239" s="2976" t="s">
        <v>2888</v>
      </c>
      <c r="C239" s="2977">
        <v>0.15</v>
      </c>
      <c r="D239" s="2977">
        <v>0.15</v>
      </c>
      <c r="E239" s="2977">
        <v>0.15</v>
      </c>
      <c r="F239" s="2977">
        <v>0.15</v>
      </c>
      <c r="G239" s="2978">
        <v>0.15</v>
      </c>
    </row>
    <row r="240" spans="1:7">
      <c r="A240" s="2987" t="s">
        <v>305</v>
      </c>
      <c r="B240" s="2976" t="s">
        <v>2893</v>
      </c>
      <c r="C240" s="2977">
        <v>0.15</v>
      </c>
      <c r="D240" s="2977">
        <v>0.15</v>
      </c>
      <c r="E240" s="2977">
        <v>0.15</v>
      </c>
      <c r="F240" s="2977">
        <v>0.15</v>
      </c>
      <c r="G240" s="2978">
        <v>0.15</v>
      </c>
    </row>
    <row r="241" spans="1:7">
      <c r="A241" s="2987" t="s">
        <v>305</v>
      </c>
      <c r="B241" s="2976" t="s">
        <v>2897</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2903</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2911</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2916</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2924</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2937</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2946</v>
      </c>
      <c r="C258" s="2977">
        <v>0.14299999999999999</v>
      </c>
      <c r="D258" s="2977">
        <v>0.14299999999999999</v>
      </c>
      <c r="E258" s="2977">
        <v>0.15</v>
      </c>
      <c r="F258" s="2977">
        <v>0.14799999999999999</v>
      </c>
      <c r="G258" s="2978">
        <v>0.14599999999999999</v>
      </c>
    </row>
    <row r="259" spans="1:7">
      <c r="A259" s="2987" t="s">
        <v>305</v>
      </c>
      <c r="B259" s="2976" t="s">
        <v>2950</v>
      </c>
      <c r="C259" s="2977">
        <v>0.14399999999999999</v>
      </c>
      <c r="D259" s="2977">
        <v>0.14399999999999999</v>
      </c>
      <c r="E259" s="2977">
        <v>0.14899999999999999</v>
      </c>
      <c r="F259" s="2977">
        <v>0.14699999999999999</v>
      </c>
      <c r="G259" s="2978">
        <v>0.14599999999999999</v>
      </c>
    </row>
    <row r="260" spans="1:7">
      <c r="A260" s="2987" t="s">
        <v>305</v>
      </c>
      <c r="B260" s="2976" t="s">
        <v>2957</v>
      </c>
      <c r="C260" s="2977">
        <v>0.109</v>
      </c>
      <c r="D260" s="2977">
        <v>0.111</v>
      </c>
      <c r="E260" s="2977">
        <v>0.13100000000000001</v>
      </c>
      <c r="F260" s="2977">
        <v>0.126</v>
      </c>
      <c r="G260" s="2978">
        <v>0.11899999999999999</v>
      </c>
    </row>
    <row r="261" spans="1:7">
      <c r="A261" s="2987" t="s">
        <v>305</v>
      </c>
      <c r="B261" s="2976" t="s">
        <v>2964</v>
      </c>
      <c r="C261" s="2977">
        <v>0.1</v>
      </c>
      <c r="D261" s="2977">
        <v>0.1</v>
      </c>
      <c r="E261" s="2977">
        <v>0.11799999999999999</v>
      </c>
      <c r="F261" s="2977">
        <v>0.108</v>
      </c>
      <c r="G261" s="2978">
        <v>0.107</v>
      </c>
    </row>
    <row r="262" spans="1:7">
      <c r="A262" s="2987" t="s">
        <v>305</v>
      </c>
      <c r="B262" s="2976" t="s">
        <v>2970</v>
      </c>
      <c r="C262" s="2977">
        <v>0.1</v>
      </c>
      <c r="D262" s="2977">
        <v>0.1</v>
      </c>
      <c r="E262" s="2977">
        <v>0.1</v>
      </c>
      <c r="F262" s="2977">
        <v>0.14099999999999999</v>
      </c>
      <c r="G262" s="2978">
        <v>0.1</v>
      </c>
    </row>
    <row r="263" spans="1:7">
      <c r="A263" s="2987" t="s">
        <v>305</v>
      </c>
      <c r="B263" s="2976" t="s">
        <v>2977</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2988</v>
      </c>
      <c r="C265" s="2988"/>
      <c r="D265" s="2988"/>
      <c r="E265" s="2988"/>
      <c r="F265" s="2977">
        <v>0.05</v>
      </c>
      <c r="G265" s="2994"/>
    </row>
    <row r="266" spans="1:7">
      <c r="A266" s="2987" t="s">
        <v>305</v>
      </c>
      <c r="B266" s="2976" t="s">
        <v>2992</v>
      </c>
      <c r="C266" s="2988"/>
      <c r="D266" s="2988"/>
      <c r="E266" s="2988"/>
      <c r="F266" s="2977">
        <v>0.05</v>
      </c>
      <c r="G266" s="2994"/>
    </row>
    <row r="267" spans="1:7">
      <c r="A267" s="2987" t="s">
        <v>305</v>
      </c>
      <c r="B267" s="2976" t="s">
        <v>2997</v>
      </c>
      <c r="C267" s="2988"/>
      <c r="D267" s="2988"/>
      <c r="E267" s="2988"/>
      <c r="F267" s="2977">
        <v>0.05</v>
      </c>
      <c r="G267" s="2994"/>
    </row>
    <row r="268" spans="1:7">
      <c r="A268" s="2987" t="s">
        <v>305</v>
      </c>
      <c r="B268" s="2976" t="s">
        <v>3002</v>
      </c>
      <c r="C268" s="2988"/>
      <c r="D268" s="2988"/>
      <c r="E268" s="2988"/>
      <c r="F268" s="2977">
        <v>0.05</v>
      </c>
      <c r="G268" s="2994"/>
    </row>
    <row r="269" spans="1:7">
      <c r="A269" s="2987" t="s">
        <v>305</v>
      </c>
      <c r="B269" s="2976" t="s">
        <v>3007</v>
      </c>
      <c r="C269" s="2988"/>
      <c r="D269" s="2988"/>
      <c r="E269" s="2988"/>
      <c r="F269" s="2977">
        <v>0.05</v>
      </c>
      <c r="G269" s="2994"/>
    </row>
    <row r="270" spans="1:7">
      <c r="A270" s="2987" t="s">
        <v>305</v>
      </c>
      <c r="B270" s="2976" t="s">
        <v>3012</v>
      </c>
      <c r="C270" s="2988"/>
      <c r="D270" s="2988"/>
      <c r="E270" s="2988"/>
      <c r="F270" s="2977">
        <v>0.05</v>
      </c>
      <c r="G270" s="2994"/>
    </row>
    <row r="271" spans="1:7">
      <c r="A271" s="2987" t="s">
        <v>305</v>
      </c>
      <c r="B271" s="2976" t="s">
        <v>3216</v>
      </c>
      <c r="C271" s="2988"/>
      <c r="D271" s="2988"/>
      <c r="E271" s="2988"/>
      <c r="F271" s="2977">
        <v>0.05</v>
      </c>
      <c r="G271" s="2994"/>
    </row>
    <row r="272" spans="1:7">
      <c r="A272" s="2987" t="s">
        <v>305</v>
      </c>
      <c r="B272" s="2976" t="s">
        <v>3217</v>
      </c>
      <c r="C272" s="2988"/>
      <c r="D272" s="2988"/>
      <c r="E272" s="2988"/>
      <c r="F272" s="2977">
        <v>0.05</v>
      </c>
      <c r="G272" s="2994"/>
    </row>
    <row r="273" spans="1:7">
      <c r="A273" s="2987" t="s">
        <v>305</v>
      </c>
      <c r="B273" s="2976" t="s">
        <v>3218</v>
      </c>
      <c r="C273" s="2988"/>
      <c r="D273" s="2988"/>
      <c r="E273" s="2988"/>
      <c r="F273" s="2977">
        <v>0.05</v>
      </c>
      <c r="G273" s="2994"/>
    </row>
    <row r="274" spans="1:7">
      <c r="A274" s="2987" t="s">
        <v>305</v>
      </c>
      <c r="B274" s="2976" t="s">
        <v>3219</v>
      </c>
      <c r="C274" s="2988"/>
      <c r="D274" s="2988"/>
      <c r="E274" s="2988"/>
      <c r="F274" s="2977">
        <v>0.05</v>
      </c>
      <c r="G274" s="2994"/>
    </row>
    <row r="275" spans="1:7">
      <c r="A275" s="2987" t="s">
        <v>305</v>
      </c>
      <c r="B275" s="2976" t="s">
        <v>3220</v>
      </c>
      <c r="C275" s="2988"/>
      <c r="D275" s="2988"/>
      <c r="E275" s="2988"/>
      <c r="F275" s="2977">
        <v>0.05</v>
      </c>
      <c r="G275" s="2994"/>
    </row>
    <row r="276" spans="1:7" ht="14.25" thickBot="1">
      <c r="A276" s="2990" t="s">
        <v>305</v>
      </c>
      <c r="B276" s="2980" t="s">
        <v>3221</v>
      </c>
      <c r="C276" s="2982"/>
      <c r="D276" s="2982"/>
      <c r="E276" s="2982"/>
      <c r="F276" s="2981">
        <v>0.05</v>
      </c>
      <c r="G276" s="2995"/>
    </row>
    <row r="277" spans="1:7">
      <c r="A277" s="2986" t="s">
        <v>306</v>
      </c>
      <c r="B277" s="2972" t="s">
        <v>2865</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2877</v>
      </c>
      <c r="C279" s="2977">
        <v>0.15</v>
      </c>
      <c r="D279" s="2977">
        <v>0.15</v>
      </c>
      <c r="E279" s="2977">
        <v>0.15</v>
      </c>
      <c r="F279" s="2977">
        <v>0.15</v>
      </c>
      <c r="G279" s="2978">
        <v>0.15</v>
      </c>
    </row>
    <row r="280" spans="1:7">
      <c r="A280" s="2987" t="s">
        <v>306</v>
      </c>
      <c r="B280" s="2976" t="s">
        <v>2881</v>
      </c>
      <c r="C280" s="2977">
        <v>0.15</v>
      </c>
      <c r="D280" s="2977">
        <v>0.15</v>
      </c>
      <c r="E280" s="2977">
        <v>0.15</v>
      </c>
      <c r="F280" s="2977">
        <v>0.15</v>
      </c>
      <c r="G280" s="2978">
        <v>0.15</v>
      </c>
    </row>
    <row r="281" spans="1:7">
      <c r="A281" s="2987" t="s">
        <v>306</v>
      </c>
      <c r="B281" s="2976" t="s">
        <v>2885</v>
      </c>
      <c r="C281" s="2977">
        <v>0.15</v>
      </c>
      <c r="D281" s="2977">
        <v>0.15</v>
      </c>
      <c r="E281" s="2977">
        <v>0.15</v>
      </c>
      <c r="F281" s="2977">
        <v>0.15</v>
      </c>
      <c r="G281" s="2978">
        <v>0.15</v>
      </c>
    </row>
    <row r="282" spans="1:7">
      <c r="A282" s="2987" t="s">
        <v>306</v>
      </c>
      <c r="B282" s="2976" t="s">
        <v>2889</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2904</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2909</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2919</v>
      </c>
      <c r="C293" s="2977">
        <v>0.15</v>
      </c>
      <c r="D293" s="2977">
        <v>0.15</v>
      </c>
      <c r="E293" s="2977">
        <v>0.15</v>
      </c>
      <c r="F293" s="2977">
        <v>0.14499999999999999</v>
      </c>
      <c r="G293" s="2978">
        <v>0.15</v>
      </c>
    </row>
    <row r="294" spans="1:7">
      <c r="A294" s="2987" t="s">
        <v>306</v>
      </c>
      <c r="B294" s="2976" t="s">
        <v>2921</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2938</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2951</v>
      </c>
      <c r="C302" s="2977">
        <v>0.15</v>
      </c>
      <c r="D302" s="2977">
        <v>0.15</v>
      </c>
      <c r="E302" s="2977">
        <v>0.15</v>
      </c>
      <c r="F302" s="2977">
        <v>0.14699999999999999</v>
      </c>
      <c r="G302" s="2978">
        <v>0.15</v>
      </c>
    </row>
    <row r="303" spans="1:7">
      <c r="A303" s="2987" t="s">
        <v>306</v>
      </c>
      <c r="B303" s="2976" t="s">
        <v>2958</v>
      </c>
      <c r="C303" s="2977">
        <v>0.15</v>
      </c>
      <c r="D303" s="2977">
        <v>0.15</v>
      </c>
      <c r="E303" s="2977">
        <v>0.15</v>
      </c>
      <c r="F303" s="2977">
        <v>0.14199999999999999</v>
      </c>
      <c r="G303" s="2978">
        <v>0.15</v>
      </c>
    </row>
    <row r="304" spans="1:7">
      <c r="A304" s="2987" t="s">
        <v>306</v>
      </c>
      <c r="B304" s="2976" t="s">
        <v>2965</v>
      </c>
      <c r="C304" s="2977">
        <v>0.15</v>
      </c>
      <c r="D304" s="2977">
        <v>0.15</v>
      </c>
      <c r="E304" s="2977">
        <v>0.15</v>
      </c>
      <c r="F304" s="2977">
        <v>0.14499999999999999</v>
      </c>
      <c r="G304" s="2978">
        <v>0.15</v>
      </c>
    </row>
    <row r="305" spans="1:7">
      <c r="A305" s="2987" t="s">
        <v>306</v>
      </c>
      <c r="B305" s="2976" t="s">
        <v>2971</v>
      </c>
      <c r="C305" s="2977">
        <v>0.15</v>
      </c>
      <c r="D305" s="2977">
        <v>0.15</v>
      </c>
      <c r="E305" s="2977">
        <v>0.15</v>
      </c>
      <c r="F305" s="2977">
        <v>0.111</v>
      </c>
      <c r="G305" s="2978">
        <v>0.15</v>
      </c>
    </row>
    <row r="306" spans="1:7">
      <c r="A306" s="2987" t="s">
        <v>306</v>
      </c>
      <c r="B306" s="2976" t="s">
        <v>2978</v>
      </c>
      <c r="C306" s="2977">
        <v>0.15</v>
      </c>
      <c r="D306" s="2977">
        <v>0.15</v>
      </c>
      <c r="E306" s="2977">
        <v>0.15</v>
      </c>
      <c r="F306" s="2977">
        <v>0.126</v>
      </c>
      <c r="G306" s="2978">
        <v>0.15</v>
      </c>
    </row>
    <row r="307" spans="1:7">
      <c r="A307" s="2987" t="s">
        <v>306</v>
      </c>
      <c r="B307" s="2976" t="s">
        <v>2983</v>
      </c>
      <c r="C307" s="2977">
        <v>0.15</v>
      </c>
      <c r="D307" s="2977">
        <v>0.15</v>
      </c>
      <c r="E307" s="2977">
        <v>0.15</v>
      </c>
      <c r="F307" s="2977">
        <v>0.12</v>
      </c>
      <c r="G307" s="2978">
        <v>0.15</v>
      </c>
    </row>
    <row r="308" spans="1:7">
      <c r="A308" s="2987" t="s">
        <v>306</v>
      </c>
      <c r="B308" s="2976" t="s">
        <v>2989</v>
      </c>
      <c r="C308" s="2977">
        <v>0.15</v>
      </c>
      <c r="D308" s="2977">
        <v>0.15</v>
      </c>
      <c r="E308" s="2977">
        <v>0.15</v>
      </c>
      <c r="F308" s="2977">
        <v>0.13</v>
      </c>
      <c r="G308" s="2978">
        <v>0.15</v>
      </c>
    </row>
    <row r="309" spans="1:7">
      <c r="A309" s="2987" t="s">
        <v>306</v>
      </c>
      <c r="B309" s="2976" t="s">
        <v>2993</v>
      </c>
      <c r="C309" s="2977">
        <v>0.15</v>
      </c>
      <c r="D309" s="2977">
        <v>0.15</v>
      </c>
      <c r="E309" s="2977">
        <v>0.15</v>
      </c>
      <c r="F309" s="2977">
        <v>0.14099999999999999</v>
      </c>
      <c r="G309" s="2978">
        <v>0.15</v>
      </c>
    </row>
    <row r="310" spans="1:7">
      <c r="A310" s="2987" t="s">
        <v>306</v>
      </c>
      <c r="B310" s="2976" t="s">
        <v>2998</v>
      </c>
      <c r="C310" s="2977">
        <v>0.15</v>
      </c>
      <c r="D310" s="2977">
        <v>0.15</v>
      </c>
      <c r="E310" s="2977">
        <v>0.15</v>
      </c>
      <c r="F310" s="2977">
        <v>0.15</v>
      </c>
      <c r="G310" s="2978">
        <v>0.15</v>
      </c>
    </row>
    <row r="311" spans="1:7">
      <c r="A311" s="2987" t="s">
        <v>306</v>
      </c>
      <c r="B311" s="2976" t="s">
        <v>3003</v>
      </c>
      <c r="C311" s="2977">
        <v>0.13200000000000001</v>
      </c>
      <c r="D311" s="2977">
        <v>0.13300000000000001</v>
      </c>
      <c r="E311" s="2977">
        <v>0.14499999999999999</v>
      </c>
      <c r="F311" s="2977">
        <v>0.14199999999999999</v>
      </c>
      <c r="G311" s="2978">
        <v>0.14000000000000001</v>
      </c>
    </row>
    <row r="312" spans="1:7">
      <c r="A312" s="2987" t="s">
        <v>306</v>
      </c>
      <c r="B312" s="2976" t="s">
        <v>3008</v>
      </c>
      <c r="C312" s="2977">
        <v>0.13800000000000001</v>
      </c>
      <c r="D312" s="2977">
        <v>0.14000000000000001</v>
      </c>
      <c r="E312" s="2977">
        <v>0.14599999999999999</v>
      </c>
      <c r="F312" s="2977">
        <v>0.14899999999999999</v>
      </c>
      <c r="G312" s="2978">
        <v>0.14199999999999999</v>
      </c>
    </row>
    <row r="313" spans="1:7">
      <c r="A313" s="2987" t="s">
        <v>306</v>
      </c>
      <c r="B313" s="2976" t="s">
        <v>3013</v>
      </c>
      <c r="C313" s="2977">
        <v>0.125</v>
      </c>
      <c r="D313" s="2977">
        <v>0.127</v>
      </c>
      <c r="E313" s="2977">
        <v>0.14399999999999999</v>
      </c>
      <c r="F313" s="2977">
        <v>0.115</v>
      </c>
      <c r="G313" s="2978">
        <v>0.13600000000000001</v>
      </c>
    </row>
    <row r="314" spans="1:7">
      <c r="A314" s="2987" t="s">
        <v>306</v>
      </c>
      <c r="B314" s="2976" t="s">
        <v>3222</v>
      </c>
      <c r="C314" s="2993"/>
      <c r="D314" s="2993"/>
      <c r="E314" s="2993"/>
      <c r="F314" s="2977">
        <v>0.05</v>
      </c>
      <c r="G314" s="2994"/>
    </row>
    <row r="315" spans="1:7">
      <c r="A315" s="2987" t="s">
        <v>306</v>
      </c>
      <c r="B315" s="2976" t="s">
        <v>3223</v>
      </c>
      <c r="C315" s="2993"/>
      <c r="D315" s="2993"/>
      <c r="E315" s="2993"/>
      <c r="F315" s="2977">
        <v>0.05</v>
      </c>
      <c r="G315" s="2994"/>
    </row>
    <row r="316" spans="1:7">
      <c r="A316" s="2987" t="s">
        <v>306</v>
      </c>
      <c r="B316" s="2976" t="s">
        <v>3224</v>
      </c>
      <c r="C316" s="2988"/>
      <c r="D316" s="2988"/>
      <c r="E316" s="2988"/>
      <c r="F316" s="2977">
        <v>0.05</v>
      </c>
      <c r="G316" s="2994"/>
    </row>
    <row r="317" spans="1:7">
      <c r="A317" s="2987" t="s">
        <v>306</v>
      </c>
      <c r="B317" s="2976" t="s">
        <v>3225</v>
      </c>
      <c r="C317" s="2988"/>
      <c r="D317" s="2988"/>
      <c r="E317" s="2988"/>
      <c r="F317" s="2977">
        <v>0.05</v>
      </c>
      <c r="G317" s="2994"/>
    </row>
    <row r="318" spans="1:7">
      <c r="A318" s="2987" t="s">
        <v>306</v>
      </c>
      <c r="B318" s="2976" t="s">
        <v>3226</v>
      </c>
      <c r="C318" s="2988"/>
      <c r="D318" s="2988"/>
      <c r="E318" s="2988"/>
      <c r="F318" s="2977">
        <v>0.05</v>
      </c>
      <c r="G318" s="2994"/>
    </row>
    <row r="319" spans="1:7">
      <c r="A319" s="2987" t="s">
        <v>306</v>
      </c>
      <c r="B319" s="2976" t="s">
        <v>3227</v>
      </c>
      <c r="C319" s="2988"/>
      <c r="D319" s="2988"/>
      <c r="E319" s="2988"/>
      <c r="F319" s="2977">
        <v>0.05</v>
      </c>
      <c r="G319" s="2994"/>
    </row>
    <row r="320" spans="1:7">
      <c r="A320" s="2987" t="s">
        <v>306</v>
      </c>
      <c r="B320" s="2976" t="s">
        <v>3228</v>
      </c>
      <c r="C320" s="2988"/>
      <c r="D320" s="2988"/>
      <c r="E320" s="2988"/>
      <c r="F320" s="2977">
        <v>0.05</v>
      </c>
      <c r="G320" s="2994"/>
    </row>
    <row r="321" spans="1:7">
      <c r="A321" s="2987" t="s">
        <v>306</v>
      </c>
      <c r="B321" s="2976" t="s">
        <v>3229</v>
      </c>
      <c r="C321" s="2988"/>
      <c r="D321" s="2988"/>
      <c r="E321" s="2988"/>
      <c r="F321" s="2977">
        <v>0.05</v>
      </c>
      <c r="G321" s="2994"/>
    </row>
    <row r="322" spans="1:7">
      <c r="A322" s="2987" t="s">
        <v>306</v>
      </c>
      <c r="B322" s="2976" t="s">
        <v>3230</v>
      </c>
      <c r="C322" s="2988"/>
      <c r="D322" s="2988"/>
      <c r="E322" s="2988"/>
      <c r="F322" s="2977">
        <v>0.05</v>
      </c>
      <c r="G322" s="2994"/>
    </row>
    <row r="323" spans="1:7">
      <c r="A323" s="2987" t="s">
        <v>306</v>
      </c>
      <c r="B323" s="2976" t="s">
        <v>3231</v>
      </c>
      <c r="C323" s="2988"/>
      <c r="D323" s="2988"/>
      <c r="E323" s="2988"/>
      <c r="F323" s="2977">
        <v>0.05</v>
      </c>
      <c r="G323" s="2994"/>
    </row>
    <row r="324" spans="1:7">
      <c r="A324" s="2987" t="s">
        <v>306</v>
      </c>
      <c r="B324" s="2976" t="s">
        <v>3232</v>
      </c>
      <c r="C324" s="2988"/>
      <c r="D324" s="2988"/>
      <c r="E324" s="2988"/>
      <c r="F324" s="2977">
        <v>0.05</v>
      </c>
      <c r="G324" s="2994"/>
    </row>
    <row r="325" spans="1:7">
      <c r="A325" s="2987" t="s">
        <v>306</v>
      </c>
      <c r="B325" s="2976" t="s">
        <v>3233</v>
      </c>
      <c r="C325" s="2988"/>
      <c r="D325" s="2988"/>
      <c r="E325" s="2988"/>
      <c r="F325" s="2977">
        <v>0.05</v>
      </c>
      <c r="G325" s="2994"/>
    </row>
    <row r="326" spans="1:7" ht="14.25" thickBot="1">
      <c r="A326" s="2990" t="s">
        <v>306</v>
      </c>
      <c r="B326" s="2980" t="s">
        <v>3234</v>
      </c>
      <c r="C326" s="2982"/>
      <c r="D326" s="2982"/>
      <c r="E326" s="2982"/>
      <c r="F326" s="2981">
        <v>0.05</v>
      </c>
      <c r="G326" s="2995"/>
    </row>
    <row r="327" spans="1:7">
      <c r="A327" s="2986" t="s">
        <v>307</v>
      </c>
      <c r="B327" s="2972" t="s">
        <v>2866</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2878</v>
      </c>
      <c r="C329" s="2977">
        <v>0.15</v>
      </c>
      <c r="D329" s="2977">
        <v>0.15</v>
      </c>
      <c r="E329" s="2977">
        <v>0.15</v>
      </c>
      <c r="F329" s="2977">
        <v>0.15</v>
      </c>
      <c r="G329" s="2978">
        <v>0.15</v>
      </c>
    </row>
    <row r="330" spans="1:7">
      <c r="A330" s="2987" t="s">
        <v>307</v>
      </c>
      <c r="B330" s="2976" t="s">
        <v>2882</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2890</v>
      </c>
      <c r="C332" s="2977">
        <v>0.15</v>
      </c>
      <c r="D332" s="2977">
        <v>0.15</v>
      </c>
      <c r="E332" s="2977">
        <v>0.15</v>
      </c>
      <c r="F332" s="2977">
        <v>0.15</v>
      </c>
      <c r="G332" s="2978">
        <v>0.15</v>
      </c>
    </row>
    <row r="333" spans="1:7">
      <c r="A333" s="2987" t="s">
        <v>307</v>
      </c>
      <c r="B333" s="2976" t="s">
        <v>2894</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2900</v>
      </c>
      <c r="C336" s="2977">
        <v>0.15</v>
      </c>
      <c r="D336" s="2977">
        <v>0.15</v>
      </c>
      <c r="E336" s="2977">
        <v>0.15</v>
      </c>
      <c r="F336" s="2977">
        <v>0.14199999999999999</v>
      </c>
      <c r="G336" s="2978">
        <v>0.15</v>
      </c>
    </row>
    <row r="337" spans="1:7">
      <c r="A337" s="2987" t="s">
        <v>307</v>
      </c>
      <c r="B337" s="2976" t="s">
        <v>2905</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2912</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2917</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2925</v>
      </c>
      <c r="C345" s="2977">
        <v>0.15</v>
      </c>
      <c r="D345" s="2977">
        <v>0.15</v>
      </c>
      <c r="E345" s="2977">
        <v>0.15</v>
      </c>
      <c r="F345" s="2977">
        <v>0.13800000000000001</v>
      </c>
      <c r="G345" s="2978">
        <v>0.15</v>
      </c>
    </row>
    <row r="346" spans="1:7">
      <c r="A346" s="2987" t="s">
        <v>307</v>
      </c>
      <c r="B346" s="2976" t="s">
        <v>2927</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2934</v>
      </c>
      <c r="C348" s="2977">
        <v>0.15</v>
      </c>
      <c r="D348" s="2977">
        <v>0.15</v>
      </c>
      <c r="E348" s="2977">
        <v>0.15</v>
      </c>
      <c r="F348" s="2977">
        <v>0.14399999999999999</v>
      </c>
      <c r="G348" s="2978">
        <v>0.15</v>
      </c>
    </row>
    <row r="349" spans="1:7">
      <c r="A349" s="2987" t="s">
        <v>307</v>
      </c>
      <c r="B349" s="2976" t="s">
        <v>2939</v>
      </c>
      <c r="C349" s="2977">
        <v>0.15</v>
      </c>
      <c r="D349" s="2977">
        <v>0.15</v>
      </c>
      <c r="E349" s="2977">
        <v>0.15</v>
      </c>
      <c r="F349" s="2977">
        <v>0.15</v>
      </c>
      <c r="G349" s="2978">
        <v>0.15</v>
      </c>
    </row>
    <row r="350" spans="1:7">
      <c r="A350" s="2987" t="s">
        <v>307</v>
      </c>
      <c r="B350" s="2976" t="s">
        <v>2942</v>
      </c>
      <c r="C350" s="2977">
        <v>0.15</v>
      </c>
      <c r="D350" s="2977">
        <v>0.15</v>
      </c>
      <c r="E350" s="2977">
        <v>0.15</v>
      </c>
      <c r="F350" s="2977">
        <v>0.14699999999999999</v>
      </c>
      <c r="G350" s="2978">
        <v>0.15</v>
      </c>
    </row>
    <row r="351" spans="1:7">
      <c r="A351" s="2987" t="s">
        <v>307</v>
      </c>
      <c r="B351" s="2976" t="s">
        <v>2947</v>
      </c>
      <c r="C351" s="2977">
        <v>0.15</v>
      </c>
      <c r="D351" s="2977">
        <v>0.15</v>
      </c>
      <c r="E351" s="2977">
        <v>0.15</v>
      </c>
      <c r="F351" s="2977">
        <v>0.13</v>
      </c>
      <c r="G351" s="2978">
        <v>0.15</v>
      </c>
    </row>
    <row r="352" spans="1:7">
      <c r="A352" s="2987" t="s">
        <v>307</v>
      </c>
      <c r="B352" s="2976" t="s">
        <v>2952</v>
      </c>
      <c r="C352" s="2977">
        <v>0.15</v>
      </c>
      <c r="D352" s="2977">
        <v>0.15</v>
      </c>
      <c r="E352" s="2977">
        <v>0.15</v>
      </c>
      <c r="F352" s="2977">
        <v>0.14599999999999999</v>
      </c>
      <c r="G352" s="2978">
        <v>0.15</v>
      </c>
    </row>
    <row r="353" spans="1:7">
      <c r="A353" s="2987" t="s">
        <v>307</v>
      </c>
      <c r="B353" s="2976" t="s">
        <v>2959</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2972</v>
      </c>
      <c r="C355" s="2977">
        <v>0.15</v>
      </c>
      <c r="D355" s="2977">
        <v>0.15</v>
      </c>
      <c r="E355" s="2977">
        <v>0.15</v>
      </c>
      <c r="F355" s="2977">
        <v>0.15</v>
      </c>
      <c r="G355" s="2978">
        <v>0.15</v>
      </c>
    </row>
    <row r="356" spans="1:7">
      <c r="A356" s="2987" t="s">
        <v>307</v>
      </c>
      <c r="B356" s="2976" t="s">
        <v>2979</v>
      </c>
      <c r="C356" s="2977">
        <v>0.15</v>
      </c>
      <c r="D356" s="2977">
        <v>0.15</v>
      </c>
      <c r="E356" s="2977">
        <v>0.15</v>
      </c>
      <c r="F356" s="2977">
        <v>0.15</v>
      </c>
      <c r="G356" s="2978">
        <v>0.15</v>
      </c>
    </row>
    <row r="357" spans="1:7" ht="14.25" thickBot="1">
      <c r="A357" s="2990" t="s">
        <v>307</v>
      </c>
      <c r="B357" s="2980" t="s">
        <v>2984</v>
      </c>
      <c r="C357" s="2981">
        <v>0.126</v>
      </c>
      <c r="D357" s="2981">
        <v>0.127</v>
      </c>
      <c r="E357" s="2981">
        <v>0.14299999999999999</v>
      </c>
      <c r="F357" s="2981">
        <v>0.125</v>
      </c>
      <c r="G357" s="2983">
        <v>0.129</v>
      </c>
    </row>
    <row r="358" spans="1:7">
      <c r="A358" s="2986" t="s">
        <v>2853</v>
      </c>
      <c r="B358" s="2972" t="s">
        <v>2867</v>
      </c>
      <c r="C358" s="2973">
        <v>0.15</v>
      </c>
      <c r="D358" s="2973">
        <v>0.15</v>
      </c>
      <c r="E358" s="2973">
        <v>0.15</v>
      </c>
      <c r="F358" s="2973">
        <v>0.15</v>
      </c>
      <c r="G358" s="2974">
        <v>0.15</v>
      </c>
    </row>
    <row r="359" spans="1:7">
      <c r="A359" s="2987" t="s">
        <v>2853</v>
      </c>
      <c r="B359" s="2976" t="s">
        <v>2873</v>
      </c>
      <c r="C359" s="2977">
        <v>0.1</v>
      </c>
      <c r="D359" s="2977">
        <v>0.1</v>
      </c>
      <c r="E359" s="2977">
        <v>0.1</v>
      </c>
      <c r="F359" s="2977">
        <v>0.1</v>
      </c>
      <c r="G359" s="2978">
        <v>0.1</v>
      </c>
    </row>
    <row r="360" spans="1:7">
      <c r="A360" s="2987" t="s">
        <v>2853</v>
      </c>
      <c r="B360" s="2976" t="s">
        <v>2879</v>
      </c>
      <c r="C360" s="2977">
        <v>0.15</v>
      </c>
      <c r="D360" s="2977">
        <v>0.15</v>
      </c>
      <c r="E360" s="2977">
        <v>0.15</v>
      </c>
      <c r="F360" s="2977">
        <v>0.14899999999999999</v>
      </c>
      <c r="G360" s="2978">
        <v>0.15</v>
      </c>
    </row>
    <row r="361" spans="1:7">
      <c r="A361" s="2987" t="s">
        <v>2853</v>
      </c>
      <c r="B361" s="2976" t="s">
        <v>153</v>
      </c>
      <c r="C361" s="2977">
        <v>0.15</v>
      </c>
      <c r="D361" s="2977">
        <v>0.15</v>
      </c>
      <c r="E361" s="2977">
        <v>0.15</v>
      </c>
      <c r="F361" s="2977">
        <v>0.115</v>
      </c>
      <c r="G361" s="2978">
        <v>0.15</v>
      </c>
    </row>
    <row r="362" spans="1:7">
      <c r="A362" s="2987" t="s">
        <v>2853</v>
      </c>
      <c r="B362" s="2976" t="s">
        <v>2886</v>
      </c>
      <c r="C362" s="2977">
        <v>0.15</v>
      </c>
      <c r="D362" s="2977">
        <v>0.15</v>
      </c>
      <c r="E362" s="2977">
        <v>0.15</v>
      </c>
      <c r="F362" s="2977">
        <v>0.106</v>
      </c>
      <c r="G362" s="2978">
        <v>0.15</v>
      </c>
    </row>
    <row r="363" spans="1:7">
      <c r="A363" s="2987" t="s">
        <v>2853</v>
      </c>
      <c r="B363" s="2976" t="s">
        <v>2891</v>
      </c>
      <c r="C363" s="2977">
        <v>0.15</v>
      </c>
      <c r="D363" s="2977">
        <v>0.15</v>
      </c>
      <c r="E363" s="2977">
        <v>0.15</v>
      </c>
      <c r="F363" s="2977">
        <v>0.14699999999999999</v>
      </c>
      <c r="G363" s="2978">
        <v>0.15</v>
      </c>
    </row>
    <row r="364" spans="1:7">
      <c r="A364" s="2987" t="s">
        <v>2853</v>
      </c>
      <c r="B364" s="2976" t="s">
        <v>2895</v>
      </c>
      <c r="C364" s="2977">
        <v>0.15</v>
      </c>
      <c r="D364" s="2977">
        <v>0.15</v>
      </c>
      <c r="E364" s="2977">
        <v>0.15</v>
      </c>
      <c r="F364" s="2977">
        <v>0.14799999999999999</v>
      </c>
      <c r="G364" s="2978">
        <v>0.15</v>
      </c>
    </row>
    <row r="365" spans="1:7">
      <c r="A365" s="2987" t="s">
        <v>2853</v>
      </c>
      <c r="B365" s="2976" t="s">
        <v>200</v>
      </c>
      <c r="C365" s="2977">
        <v>0.15</v>
      </c>
      <c r="D365" s="2977">
        <v>0.15</v>
      </c>
      <c r="E365" s="2977">
        <v>0.15</v>
      </c>
      <c r="F365" s="2977">
        <v>0.15</v>
      </c>
      <c r="G365" s="2978">
        <v>0.15</v>
      </c>
    </row>
    <row r="366" spans="1:7">
      <c r="A366" s="2987" t="s">
        <v>2853</v>
      </c>
      <c r="B366" s="2976" t="s">
        <v>2898</v>
      </c>
      <c r="C366" s="2977">
        <v>0.15</v>
      </c>
      <c r="D366" s="2977">
        <v>0.15</v>
      </c>
      <c r="E366" s="2977">
        <v>0.15</v>
      </c>
      <c r="F366" s="2977">
        <v>0.15</v>
      </c>
      <c r="G366" s="2978">
        <v>0.15</v>
      </c>
    </row>
    <row r="367" spans="1:7">
      <c r="A367" s="2987" t="s">
        <v>2853</v>
      </c>
      <c r="B367" s="2976" t="s">
        <v>2901</v>
      </c>
      <c r="C367" s="2977">
        <v>0.15</v>
      </c>
      <c r="D367" s="2977">
        <v>0.15</v>
      </c>
      <c r="E367" s="2977">
        <v>0.15</v>
      </c>
      <c r="F367" s="2977">
        <v>0.14699999999999999</v>
      </c>
      <c r="G367" s="2978">
        <v>0.15</v>
      </c>
    </row>
    <row r="368" spans="1:7">
      <c r="A368" s="2987" t="s">
        <v>2853</v>
      </c>
      <c r="B368" s="2976" t="s">
        <v>2906</v>
      </c>
      <c r="C368" s="2977">
        <v>0.15</v>
      </c>
      <c r="D368" s="2977">
        <v>0.15</v>
      </c>
      <c r="E368" s="2977">
        <v>0.15</v>
      </c>
      <c r="F368" s="2977">
        <v>0.13600000000000001</v>
      </c>
      <c r="G368" s="2978">
        <v>0.15</v>
      </c>
    </row>
    <row r="369" spans="1:7">
      <c r="A369" s="2987" t="s">
        <v>2853</v>
      </c>
      <c r="B369" s="2976" t="s">
        <v>214</v>
      </c>
      <c r="C369" s="2977">
        <v>0.15</v>
      </c>
      <c r="D369" s="2977">
        <v>0.15</v>
      </c>
      <c r="E369" s="2977">
        <v>0.15</v>
      </c>
      <c r="F369" s="2977">
        <v>0.14399999999999999</v>
      </c>
      <c r="G369" s="2978">
        <v>0.15</v>
      </c>
    </row>
    <row r="370" spans="1:7">
      <c r="A370" s="2987" t="s">
        <v>2853</v>
      </c>
      <c r="B370" s="2976" t="s">
        <v>221</v>
      </c>
      <c r="C370" s="2977">
        <v>0.15</v>
      </c>
      <c r="D370" s="2977">
        <v>0.15</v>
      </c>
      <c r="E370" s="2977">
        <v>0.15</v>
      </c>
      <c r="F370" s="2977">
        <v>0.14599999999999999</v>
      </c>
      <c r="G370" s="2978">
        <v>0.15</v>
      </c>
    </row>
    <row r="371" spans="1:7">
      <c r="A371" s="2987" t="s">
        <v>2853</v>
      </c>
      <c r="B371" s="2976" t="s">
        <v>229</v>
      </c>
      <c r="C371" s="2977">
        <v>0.15</v>
      </c>
      <c r="D371" s="2977">
        <v>0.15</v>
      </c>
      <c r="E371" s="2977">
        <v>0.15</v>
      </c>
      <c r="F371" s="2977">
        <v>0.12</v>
      </c>
      <c r="G371" s="2978">
        <v>0.15</v>
      </c>
    </row>
    <row r="372" spans="1:7">
      <c r="A372" s="2987" t="s">
        <v>2853</v>
      </c>
      <c r="B372" s="2976" t="s">
        <v>2914</v>
      </c>
      <c r="C372" s="2977">
        <v>0.15</v>
      </c>
      <c r="D372" s="2977">
        <v>0.15</v>
      </c>
      <c r="E372" s="2977">
        <v>0.15</v>
      </c>
      <c r="F372" s="2977">
        <v>0.14299999999999999</v>
      </c>
      <c r="G372" s="2978">
        <v>0.15</v>
      </c>
    </row>
    <row r="373" spans="1:7">
      <c r="A373" s="2987" t="s">
        <v>2853</v>
      </c>
      <c r="B373" s="2976" t="s">
        <v>258</v>
      </c>
      <c r="C373" s="2977">
        <v>0.15</v>
      </c>
      <c r="D373" s="2977">
        <v>0.15</v>
      </c>
      <c r="E373" s="2977">
        <v>0.15</v>
      </c>
      <c r="F373" s="2977">
        <v>0.14599999999999999</v>
      </c>
      <c r="G373" s="2978">
        <v>0.15</v>
      </c>
    </row>
    <row r="374" spans="1:7">
      <c r="A374" s="2987" t="s">
        <v>2853</v>
      </c>
      <c r="B374" s="2976" t="s">
        <v>266</v>
      </c>
      <c r="C374" s="2977">
        <v>0.15</v>
      </c>
      <c r="D374" s="2977">
        <v>0.15</v>
      </c>
      <c r="E374" s="2977">
        <v>0.15</v>
      </c>
      <c r="F374" s="2977">
        <v>0.14399999999999999</v>
      </c>
      <c r="G374" s="2978">
        <v>0.15</v>
      </c>
    </row>
    <row r="375" spans="1:7">
      <c r="A375" s="2987" t="s">
        <v>2853</v>
      </c>
      <c r="B375" s="2976" t="s">
        <v>2922</v>
      </c>
      <c r="C375" s="2977">
        <v>0.15</v>
      </c>
      <c r="D375" s="2977">
        <v>0.15</v>
      </c>
      <c r="E375" s="2977">
        <v>0.15</v>
      </c>
      <c r="F375" s="2977">
        <v>0.13</v>
      </c>
      <c r="G375" s="2978">
        <v>0.15</v>
      </c>
    </row>
    <row r="376" spans="1:7">
      <c r="A376" s="2987" t="s">
        <v>2853</v>
      </c>
      <c r="B376" s="2976" t="s">
        <v>277</v>
      </c>
      <c r="C376" s="2977">
        <v>0.15</v>
      </c>
      <c r="D376" s="2977">
        <v>0.15</v>
      </c>
      <c r="E376" s="2977">
        <v>0.15</v>
      </c>
      <c r="F376" s="2977">
        <v>0.14199999999999999</v>
      </c>
      <c r="G376" s="2978">
        <v>0.15</v>
      </c>
    </row>
    <row r="377" spans="1:7" ht="14.25" thickBot="1">
      <c r="A377" s="2990" t="s">
        <v>2853</v>
      </c>
      <c r="B377" s="2980" t="s">
        <v>2928</v>
      </c>
      <c r="C377" s="2981">
        <v>0.15</v>
      </c>
      <c r="D377" s="2981">
        <v>0.15</v>
      </c>
      <c r="E377" s="2981">
        <v>0.15</v>
      </c>
      <c r="F377" s="2981">
        <v>0.14000000000000001</v>
      </c>
      <c r="G377" s="2983">
        <v>0.15</v>
      </c>
    </row>
    <row r="378" spans="1:7">
      <c r="A378" s="2986" t="s">
        <v>2854</v>
      </c>
      <c r="B378" s="2972" t="s">
        <v>2868</v>
      </c>
      <c r="C378" s="2973">
        <v>0.15</v>
      </c>
      <c r="D378" s="2973">
        <v>0.15</v>
      </c>
      <c r="E378" s="2973">
        <v>0.15</v>
      </c>
      <c r="F378" s="2973">
        <v>0.107</v>
      </c>
      <c r="G378" s="2974">
        <v>0.15</v>
      </c>
    </row>
    <row r="379" spans="1:7">
      <c r="A379" s="2987" t="s">
        <v>2854</v>
      </c>
      <c r="B379" s="2976" t="s">
        <v>2874</v>
      </c>
      <c r="C379" s="2977">
        <v>0.15</v>
      </c>
      <c r="D379" s="2977">
        <v>0.15</v>
      </c>
      <c r="E379" s="2977">
        <v>0.15</v>
      </c>
      <c r="F379" s="2977">
        <v>0.115</v>
      </c>
      <c r="G379" s="2978">
        <v>0.14899999999999999</v>
      </c>
    </row>
    <row r="380" spans="1:7">
      <c r="A380" s="2987" t="s">
        <v>2854</v>
      </c>
      <c r="B380" s="2976" t="s">
        <v>2880</v>
      </c>
      <c r="C380" s="2977">
        <v>0.15</v>
      </c>
      <c r="D380" s="2977">
        <v>0.15</v>
      </c>
      <c r="E380" s="2977">
        <v>0.15</v>
      </c>
      <c r="F380" s="2977">
        <v>0.1</v>
      </c>
      <c r="G380" s="2978">
        <v>0.14799999999999999</v>
      </c>
    </row>
    <row r="381" spans="1:7">
      <c r="A381" s="2987" t="s">
        <v>2854</v>
      </c>
      <c r="B381" s="2976" t="s">
        <v>2883</v>
      </c>
      <c r="C381" s="2977">
        <v>0.15</v>
      </c>
      <c r="D381" s="2977">
        <v>0.15</v>
      </c>
      <c r="E381" s="2977">
        <v>0.15</v>
      </c>
      <c r="F381" s="2977">
        <v>0.126</v>
      </c>
      <c r="G381" s="2978">
        <v>0.15</v>
      </c>
    </row>
    <row r="382" spans="1:7">
      <c r="A382" s="2987" t="s">
        <v>2854</v>
      </c>
      <c r="B382" s="2976" t="s">
        <v>2887</v>
      </c>
      <c r="C382" s="2977">
        <v>0.15</v>
      </c>
      <c r="D382" s="2977">
        <v>0.15</v>
      </c>
      <c r="E382" s="2977">
        <v>0.15</v>
      </c>
      <c r="F382" s="2977">
        <v>0.15</v>
      </c>
      <c r="G382" s="2978">
        <v>0.15</v>
      </c>
    </row>
    <row r="383" spans="1:7">
      <c r="A383" s="2987" t="s">
        <v>2854</v>
      </c>
      <c r="B383" s="2976" t="s">
        <v>2892</v>
      </c>
      <c r="C383" s="2977">
        <v>0.15</v>
      </c>
      <c r="D383" s="2977">
        <v>0.15</v>
      </c>
      <c r="E383" s="2977">
        <v>0.15</v>
      </c>
      <c r="F383" s="2977">
        <v>0.14699999999999999</v>
      </c>
      <c r="G383" s="2978">
        <v>0.15</v>
      </c>
    </row>
    <row r="384" spans="1:7" ht="14.25" thickBot="1">
      <c r="A384" s="2997" t="s">
        <v>2854</v>
      </c>
      <c r="B384" s="2998" t="s">
        <v>2896</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2"/>
  </cols>
  <sheetData>
    <row r="1" spans="1:6" ht="14.25">
      <c r="A1" s="3494" t="s">
        <v>3235</v>
      </c>
      <c r="B1" s="3494"/>
      <c r="C1" s="3494"/>
      <c r="D1" s="3494"/>
      <c r="E1" s="3494"/>
      <c r="F1" s="3495"/>
    </row>
    <row r="2" spans="1:6" ht="14.25">
      <c r="A2" s="3001" t="s">
        <v>3236</v>
      </c>
    </row>
    <row r="3" spans="1:6" ht="14.25">
      <c r="A3" s="3001" t="s">
        <v>3237</v>
      </c>
      <c r="F3" s="3002" t="s">
        <v>3238</v>
      </c>
    </row>
    <row r="4" spans="1:6">
      <c r="A4" s="3003" t="s">
        <v>672</v>
      </c>
      <c r="B4" s="3003" t="s">
        <v>673</v>
      </c>
      <c r="C4" s="3003" t="s">
        <v>21</v>
      </c>
      <c r="D4" s="3003" t="s">
        <v>674</v>
      </c>
      <c r="E4" s="3003" t="s">
        <v>3</v>
      </c>
      <c r="F4" s="3003" t="s">
        <v>3239</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2"/>
  <sheetViews>
    <sheetView zoomScale="80" zoomScaleNormal="80" workbookViewId="0">
      <selection activeCell="S17" sqref="S17"/>
    </sheetView>
  </sheetViews>
  <sheetFormatPr defaultRowHeight="13.5"/>
  <cols>
    <col min="1" max="1" width="13.875" customWidth="1"/>
    <col min="11" max="17" width="0" hidden="1" customWidth="1"/>
    <col min="25" max="30" width="0" hidden="1" customWidth="1"/>
  </cols>
  <sheetData>
    <row r="1" spans="1:30">
      <c r="A1" s="2936">
        <f>基准地价修正!G23</f>
        <v>45301</v>
      </c>
      <c r="B1" s="2928" t="s">
        <v>3375</v>
      </c>
      <c r="C1" s="2929"/>
      <c r="D1" s="2929"/>
      <c r="E1" s="2929"/>
      <c r="F1" s="2929"/>
      <c r="G1" s="2929"/>
      <c r="H1" s="2929"/>
      <c r="I1" s="2929"/>
      <c r="J1" s="2895"/>
      <c r="K1" s="2929" t="s">
        <v>454</v>
      </c>
      <c r="L1" s="2929"/>
      <c r="M1" s="2929"/>
      <c r="N1" s="2929"/>
      <c r="O1" s="2929"/>
      <c r="P1" s="2929"/>
      <c r="Q1" s="2895"/>
      <c r="R1" s="3496" t="s">
        <v>456</v>
      </c>
      <c r="S1" s="3497"/>
      <c r="T1" s="3497"/>
      <c r="U1" s="3497"/>
      <c r="V1" s="3497"/>
      <c r="W1" s="3497"/>
      <c r="X1" s="2895"/>
      <c r="Y1" s="3496" t="s">
        <v>457</v>
      </c>
      <c r="Z1" s="3497"/>
      <c r="AA1" s="3497"/>
      <c r="AB1" s="3497"/>
      <c r="AC1" s="3497"/>
      <c r="AD1" s="3497"/>
    </row>
    <row r="2" spans="1:30" s="2008" customFormat="1" ht="14.25" thickBot="1">
      <c r="B2" s="2880"/>
      <c r="C2" s="2881"/>
      <c r="D2" s="2009" t="s">
        <v>2813</v>
      </c>
      <c r="E2" s="2010" t="s">
        <v>2814</v>
      </c>
      <c r="F2" s="2010" t="s">
        <v>2815</v>
      </c>
      <c r="G2" s="2010" t="s">
        <v>2816</v>
      </c>
      <c r="H2" s="2010" t="s">
        <v>2817</v>
      </c>
      <c r="I2" s="2010" t="s">
        <v>2634</v>
      </c>
      <c r="J2" s="2882"/>
      <c r="K2" s="2009" t="s">
        <v>2813</v>
      </c>
      <c r="L2" s="2010" t="s">
        <v>2814</v>
      </c>
      <c r="M2" s="2010" t="s">
        <v>2815</v>
      </c>
      <c r="N2" s="2010" t="s">
        <v>2816</v>
      </c>
      <c r="O2" s="2010" t="s">
        <v>2818</v>
      </c>
      <c r="P2" s="2010" t="s">
        <v>2634</v>
      </c>
      <c r="Q2" s="2882"/>
      <c r="R2" s="2009" t="s">
        <v>2813</v>
      </c>
      <c r="S2" s="2010" t="s">
        <v>2814</v>
      </c>
      <c r="T2" s="2010" t="s">
        <v>2815</v>
      </c>
      <c r="U2" s="2010" t="s">
        <v>2819</v>
      </c>
      <c r="V2" s="2010" t="s">
        <v>2820</v>
      </c>
      <c r="W2" s="2010" t="s">
        <v>2634</v>
      </c>
      <c r="X2" s="2882"/>
      <c r="Y2" s="2009" t="s">
        <v>2813</v>
      </c>
      <c r="Z2" s="2010" t="s">
        <v>2814</v>
      </c>
      <c r="AA2" s="2010" t="s">
        <v>2815</v>
      </c>
      <c r="AB2" s="2010" t="s">
        <v>2821</v>
      </c>
      <c r="AC2" s="2010" t="s">
        <v>2820</v>
      </c>
      <c r="AD2" s="2010" t="s">
        <v>2634</v>
      </c>
    </row>
    <row r="3" spans="1:30" s="2885" customFormat="1" ht="12.75">
      <c r="A3" s="2883" t="s">
        <v>2822</v>
      </c>
      <c r="B3" s="2884"/>
      <c r="D3" s="2885">
        <f>ROUND(AVERAGEIF(D4:D18,"&lt;&gt;0"),2)</f>
        <v>0.73</v>
      </c>
      <c r="E3" s="2885">
        <f t="shared" ref="E3:H3" si="0">ROUND(AVERAGEIF(E4:E18,"&lt;&gt;0"),2)</f>
        <v>0.4</v>
      </c>
      <c r="F3" s="2885">
        <f t="shared" si="0"/>
        <v>0.2</v>
      </c>
      <c r="G3" s="2885">
        <f t="shared" si="0"/>
        <v>0.78</v>
      </c>
      <c r="H3" s="2885">
        <f t="shared" si="0"/>
        <v>0.63</v>
      </c>
      <c r="I3" s="2885">
        <f>F3</f>
        <v>0.2</v>
      </c>
      <c r="J3" s="2886"/>
      <c r="K3" s="2887">
        <f>ROUND(AVERAGEIF(K4:K18,"&lt;&gt;0"),4)</f>
        <v>7.3000000000000001E-3</v>
      </c>
      <c r="L3" s="2888">
        <f t="shared" ref="L3:O3" si="1">ROUND(AVERAGEIF(L4:L18,"&lt;&gt;0"),4)</f>
        <v>4.0000000000000001E-3</v>
      </c>
      <c r="M3" s="2888">
        <f t="shared" si="1"/>
        <v>2E-3</v>
      </c>
      <c r="N3" s="2888">
        <f t="shared" si="1"/>
        <v>7.7999999999999996E-3</v>
      </c>
      <c r="O3" s="2888">
        <f t="shared" si="1"/>
        <v>6.3E-3</v>
      </c>
      <c r="P3" s="2888">
        <f>M3</f>
        <v>2E-3</v>
      </c>
      <c r="Q3" s="2886"/>
      <c r="R3" s="2889">
        <f>ROUND(SUMPRODUCT(PRODUCT(1+K4:K18)),4)</f>
        <v>1.0908</v>
      </c>
      <c r="S3" s="2890">
        <f t="shared" ref="S3:V3" si="2">ROUND(SUMPRODUCT(PRODUCT(1+L4:L18)),4)</f>
        <v>1.0488</v>
      </c>
      <c r="T3" s="2890">
        <f t="shared" si="2"/>
        <v>1.024</v>
      </c>
      <c r="U3" s="2890">
        <f t="shared" si="2"/>
        <v>1.0980000000000001</v>
      </c>
      <c r="V3" s="2890">
        <f t="shared" si="2"/>
        <v>1.0779000000000001</v>
      </c>
      <c r="W3" s="2889">
        <f>T3</f>
        <v>1.024</v>
      </c>
      <c r="X3" s="2886"/>
      <c r="Y3" s="2891">
        <f>ROUND(AVERAGEIF(Y5:Y18,"&lt;&gt;0"),4)</f>
        <v>8.6999999999999994E-3</v>
      </c>
      <c r="Z3" s="2892">
        <f t="shared" ref="Z3:AC3" si="3">ROUND(AVERAGEIF(Z5:Z18,"&lt;&gt;0"),4)</f>
        <v>3.5000000000000001E-3</v>
      </c>
      <c r="AA3" s="2893">
        <f t="shared" si="3"/>
        <v>8.9999999999999998E-4</v>
      </c>
      <c r="AB3" s="2891">
        <f t="shared" si="3"/>
        <v>9.4999999999999998E-3</v>
      </c>
      <c r="AC3" s="2894">
        <f t="shared" si="3"/>
        <v>6.1000000000000004E-3</v>
      </c>
      <c r="AD3" s="2891">
        <f>AA3</f>
        <v>8.9999999999999998E-4</v>
      </c>
    </row>
    <row r="4" spans="1:30" s="2007" customFormat="1" ht="12.75">
      <c r="B4" s="2023"/>
      <c r="J4" s="2895"/>
      <c r="K4" s="2896"/>
      <c r="L4" s="2897"/>
      <c r="M4" s="2897"/>
      <c r="N4" s="2897"/>
      <c r="O4" s="2897"/>
      <c r="P4" s="2897"/>
      <c r="Q4" s="2895"/>
      <c r="R4" s="2025"/>
      <c r="S4" s="2898"/>
      <c r="T4" s="2899"/>
      <c r="U4" s="2025"/>
      <c r="V4" s="2900"/>
      <c r="W4" s="2025"/>
      <c r="X4" s="2895"/>
      <c r="Y4" s="2026"/>
      <c r="Z4" s="2901"/>
      <c r="AA4" s="2902"/>
      <c r="AB4" s="2026"/>
      <c r="AC4" s="2903"/>
      <c r="AD4" s="2026"/>
    </row>
    <row r="5" spans="1:30" s="2043" customFormat="1" ht="12.75">
      <c r="A5" s="2038" t="s">
        <v>3379</v>
      </c>
      <c r="B5" s="2029">
        <v>2023</v>
      </c>
      <c r="C5" s="2040">
        <v>4</v>
      </c>
      <c r="D5" s="2005">
        <v>0</v>
      </c>
      <c r="E5" s="2005">
        <v>0</v>
      </c>
      <c r="F5" s="2005">
        <v>0</v>
      </c>
      <c r="G5" s="2005">
        <v>0</v>
      </c>
      <c r="H5" s="2005">
        <v>0</v>
      </c>
      <c r="I5" s="2006">
        <f t="shared" ref="I5:I18" si="4">F5</f>
        <v>0</v>
      </c>
      <c r="J5" s="2905"/>
      <c r="K5" s="2041">
        <f t="shared" ref="K5:O18" si="5">D5/100</f>
        <v>0</v>
      </c>
      <c r="L5" s="2026">
        <f t="shared" si="5"/>
        <v>0</v>
      </c>
      <c r="M5" s="2026">
        <f t="shared" si="5"/>
        <v>0</v>
      </c>
      <c r="N5" s="2026">
        <f t="shared" si="5"/>
        <v>0</v>
      </c>
      <c r="O5" s="2026">
        <f t="shared" si="5"/>
        <v>0</v>
      </c>
      <c r="P5" s="2026">
        <f>M5</f>
        <v>0</v>
      </c>
      <c r="Q5" s="2905"/>
      <c r="R5" s="2025">
        <f>ROUND(IF(项目基本情况!$B$8="出让",SUMPRODUCT(PRODUCT(1+K5:$K$18)),SUMPRODUCT(PRODUCT(1+K5:$K$17))),4)</f>
        <v>1.0804</v>
      </c>
      <c r="S5" s="2025">
        <f>ROUND(IF(项目基本情况!$B$8="出让",SUMPRODUCT(PRODUCT(1+L5:$L$18)),SUMPRODUCT(PRODUCT(1+L5:$L$17))),4)</f>
        <v>1.0471999999999999</v>
      </c>
      <c r="T5" s="2025">
        <f>ROUND(IF(项目基本情况!$B$8="出让",SUMPRODUCT(PRODUCT(1+M5:$M$18)),SUMPRODUCT(PRODUCT(1+M5:$M$17))),4)</f>
        <v>1.0266</v>
      </c>
      <c r="U5" s="2025">
        <f>ROUND(IF(项目基本情况!$B$8="出让",SUMPRODUCT(PRODUCT(1+N5:$N$18)),SUMPRODUCT(PRODUCT(1+N5:$N$17))),4)</f>
        <v>1.0859000000000001</v>
      </c>
      <c r="V5" s="2025">
        <f>ROUND(IF(项目基本情况!$B$8="出让",SUMPRODUCT(PRODUCT(1+O5:$O$18)),SUMPRODUCT(PRODUCT(1+O5:$O$17))),4)</f>
        <v>1.0741000000000001</v>
      </c>
      <c r="W5" s="2025">
        <f>T5</f>
        <v>1.0266</v>
      </c>
      <c r="X5" s="2905"/>
      <c r="Y5" s="2026">
        <f>IF(D5=0,0,ROUND(AVERAGE(D5:D18)/100,4))</f>
        <v>0</v>
      </c>
      <c r="Z5" s="2026">
        <f t="shared" ref="Z5:AC5" si="6">IF(E5=0,0,ROUND(AVERAGE(E5:E18)/100,4))</f>
        <v>0</v>
      </c>
      <c r="AA5" s="2026">
        <f t="shared" si="6"/>
        <v>0</v>
      </c>
      <c r="AB5" s="2026">
        <f t="shared" si="6"/>
        <v>0</v>
      </c>
      <c r="AC5" s="2026">
        <f t="shared" si="6"/>
        <v>0</v>
      </c>
      <c r="AD5" s="2026">
        <f t="shared" ref="AD5:AD17" si="7">AA5</f>
        <v>0</v>
      </c>
    </row>
    <row r="6" spans="1:30" s="2043" customFormat="1" ht="12.75">
      <c r="A6" s="2038" t="s">
        <v>3380</v>
      </c>
      <c r="B6" s="2029">
        <v>2023</v>
      </c>
      <c r="C6" s="2040">
        <v>3</v>
      </c>
      <c r="D6" s="2005">
        <v>0</v>
      </c>
      <c r="E6" s="2005">
        <v>0</v>
      </c>
      <c r="F6" s="2005">
        <v>0</v>
      </c>
      <c r="G6" s="2005">
        <v>0</v>
      </c>
      <c r="H6" s="2916">
        <v>0</v>
      </c>
      <c r="I6" s="2006">
        <v>0</v>
      </c>
      <c r="J6" s="2905"/>
      <c r="K6" s="2041">
        <f t="shared" ref="K6" si="8">D6/100</f>
        <v>0</v>
      </c>
      <c r="L6" s="2026">
        <f t="shared" ref="L6" si="9">E6/100</f>
        <v>0</v>
      </c>
      <c r="M6" s="2026">
        <f t="shared" ref="M6" si="10">F6/100</f>
        <v>0</v>
      </c>
      <c r="N6" s="2026">
        <f t="shared" ref="N6" si="11">G6/100</f>
        <v>0</v>
      </c>
      <c r="O6" s="2026">
        <f t="shared" ref="O6" si="12">H6/100</f>
        <v>0</v>
      </c>
      <c r="P6" s="2026">
        <f t="shared" ref="P6" si="13">M6</f>
        <v>0</v>
      </c>
      <c r="Q6" s="2905"/>
      <c r="R6" s="2025">
        <f>ROUND(IF(项目基本情况!$B$8="出让",SUMPRODUCT(PRODUCT(1+K6:$K$18)),SUMPRODUCT(PRODUCT(1+K6:$K$17))),4)</f>
        <v>1.0804</v>
      </c>
      <c r="S6" s="2025">
        <f>ROUND(IF(项目基本情况!$B$8="出让",SUMPRODUCT(PRODUCT(1+L6:$L$18)),SUMPRODUCT(PRODUCT(1+L6:$L$17))),4)</f>
        <v>1.0471999999999999</v>
      </c>
      <c r="T6" s="2025">
        <f>ROUND(IF(项目基本情况!$B$8="出让",SUMPRODUCT(PRODUCT(1+M6:$M$18)),SUMPRODUCT(PRODUCT(1+M6:$M$17))),4)</f>
        <v>1.0266</v>
      </c>
      <c r="U6" s="2025">
        <f>ROUND(IF(项目基本情况!$B$8="出让",SUMPRODUCT(PRODUCT(1+N6:$N$18)),SUMPRODUCT(PRODUCT(1+N6:$N$17))),4)</f>
        <v>1.0859000000000001</v>
      </c>
      <c r="V6" s="2025">
        <f>ROUND(IF(项目基本情况!$B$8="出让",SUMPRODUCT(PRODUCT(1+O6:$O$18)),SUMPRODUCT(PRODUCT(1+O6:$O$17))),4)</f>
        <v>1.0741000000000001</v>
      </c>
      <c r="W6" s="2025">
        <f t="shared" ref="W6" si="14">T6</f>
        <v>1.0266</v>
      </c>
      <c r="X6" s="2905"/>
      <c r="Y6" s="2026"/>
      <c r="Z6" s="2026"/>
      <c r="AA6" s="2026"/>
      <c r="AB6" s="2026"/>
      <c r="AC6" s="2026"/>
      <c r="AD6" s="2026"/>
    </row>
    <row r="7" spans="1:30" s="2043" customFormat="1" ht="12.75">
      <c r="A7" s="2038" t="s">
        <v>3381</v>
      </c>
      <c r="B7" s="2029">
        <v>2023</v>
      </c>
      <c r="C7" s="2040">
        <v>3</v>
      </c>
      <c r="D7" s="2005">
        <v>0.19</v>
      </c>
      <c r="E7" s="2005">
        <v>0.24</v>
      </c>
      <c r="F7" s="2005">
        <v>-0.16</v>
      </c>
      <c r="G7" s="2005">
        <v>0.17</v>
      </c>
      <c r="H7" s="2916">
        <v>0.61</v>
      </c>
      <c r="I7" s="2006">
        <v>-0.16</v>
      </c>
      <c r="J7" s="2905"/>
      <c r="K7" s="2041">
        <f t="shared" si="5"/>
        <v>1.9E-3</v>
      </c>
      <c r="L7" s="2026">
        <f t="shared" si="5"/>
        <v>2.3999999999999998E-3</v>
      </c>
      <c r="M7" s="2026">
        <f t="shared" si="5"/>
        <v>-1.6000000000000001E-3</v>
      </c>
      <c r="N7" s="2026">
        <f t="shared" si="5"/>
        <v>1.7000000000000001E-3</v>
      </c>
      <c r="O7" s="2026">
        <f t="shared" si="5"/>
        <v>6.0999999999999995E-3</v>
      </c>
      <c r="P7" s="2026">
        <f t="shared" ref="P7" si="15">M7</f>
        <v>-1.6000000000000001E-3</v>
      </c>
      <c r="Q7" s="2905"/>
      <c r="R7" s="2025">
        <f>ROUND(IF(项目基本情况!$B$8="出让",SUMPRODUCT(PRODUCT(1+K7:$K$18)),SUMPRODUCT(PRODUCT(1+K7:$K$17))),4)</f>
        <v>1.0804</v>
      </c>
      <c r="S7" s="2025">
        <f>ROUND(IF(项目基本情况!$B$8="出让",SUMPRODUCT(PRODUCT(1+L7:$L$18)),SUMPRODUCT(PRODUCT(1+L7:$L$17))),4)</f>
        <v>1.0471999999999999</v>
      </c>
      <c r="T7" s="2025">
        <f>ROUND(IF(项目基本情况!$B$8="出让",SUMPRODUCT(PRODUCT(1+M7:$M$18)),SUMPRODUCT(PRODUCT(1+M7:$M$17))),4)</f>
        <v>1.0266</v>
      </c>
      <c r="U7" s="2025">
        <f>ROUND(IF(项目基本情况!$B$8="出让",SUMPRODUCT(PRODUCT(1+N7:$N$18)),SUMPRODUCT(PRODUCT(1+N7:$N$17))),4)</f>
        <v>1.0859000000000001</v>
      </c>
      <c r="V7" s="2025">
        <f>ROUND(IF(项目基本情况!$B$8="出让",SUMPRODUCT(PRODUCT(1+O7:$O$18)),SUMPRODUCT(PRODUCT(1+O7:$O$17))),4)</f>
        <v>1.0741000000000001</v>
      </c>
      <c r="W7" s="2025">
        <f t="shared" ref="W7" si="16">T7</f>
        <v>1.0266</v>
      </c>
      <c r="X7" s="2905"/>
      <c r="Y7" s="2026"/>
      <c r="Z7" s="2026"/>
      <c r="AA7" s="2026"/>
      <c r="AB7" s="2026"/>
      <c r="AC7" s="2026"/>
      <c r="AD7" s="2026"/>
    </row>
    <row r="8" spans="1:30" s="2915" customFormat="1" ht="12.75">
      <c r="A8" s="2906" t="s">
        <v>3373</v>
      </c>
      <c r="B8" s="2907">
        <v>2023</v>
      </c>
      <c r="C8" s="2908">
        <v>3</v>
      </c>
      <c r="D8" s="2909">
        <v>0.25</v>
      </c>
      <c r="E8" s="2909">
        <v>0.5</v>
      </c>
      <c r="F8" s="2909">
        <v>0.31</v>
      </c>
      <c r="G8" s="2909">
        <v>0.21</v>
      </c>
      <c r="H8" s="2910">
        <v>0.43</v>
      </c>
      <c r="I8" s="2911">
        <f t="shared" si="4"/>
        <v>0.31</v>
      </c>
      <c r="J8" s="2912"/>
      <c r="K8" s="2913">
        <f t="shared" ref="K8:K10" si="17">D8/100</f>
        <v>2.5000000000000001E-3</v>
      </c>
      <c r="L8" s="2914">
        <f t="shared" ref="L8:L10" si="18">E8/100</f>
        <v>5.0000000000000001E-3</v>
      </c>
      <c r="M8" s="2914">
        <f t="shared" ref="M8:M10" si="19">F8/100</f>
        <v>3.0999999999999999E-3</v>
      </c>
      <c r="N8" s="2914">
        <f t="shared" ref="N8:N10" si="20">G8/100</f>
        <v>2.0999999999999999E-3</v>
      </c>
      <c r="O8" s="2914">
        <f t="shared" ref="O8:O10" si="21">H8/100</f>
        <v>4.3E-3</v>
      </c>
      <c r="P8" s="2914">
        <f t="shared" ref="P8:P10" si="22">M8</f>
        <v>3.0999999999999999E-3</v>
      </c>
      <c r="Q8" s="2912"/>
      <c r="R8" s="2912">
        <f>ROUND(IF(项目基本情况!$B$8="出让",SUMPRODUCT(PRODUCT(1+K8:$K$18)),SUMPRODUCT(PRODUCT(1+K8:$K$17))),4)</f>
        <v>1.0783</v>
      </c>
      <c r="S8" s="2912">
        <f>ROUND(IF(项目基本情况!$B$8="出让",SUMPRODUCT(PRODUCT(1+L8:$L$18)),SUMPRODUCT(PRODUCT(1+L8:$L$17))),4)</f>
        <v>1.0447</v>
      </c>
      <c r="T8" s="2912">
        <f>ROUND(IF(项目基本情况!$B$8="出让",SUMPRODUCT(PRODUCT(1+M8:$M$18)),SUMPRODUCT(PRODUCT(1+M8:$M$17))),4)</f>
        <v>1.0282</v>
      </c>
      <c r="U8" s="2912">
        <f>ROUND(IF(项目基本情况!$B$8="出让",SUMPRODUCT(PRODUCT(1+N8:$N$18)),SUMPRODUCT(PRODUCT(1+N8:$N$17))),4)</f>
        <v>1.0841000000000001</v>
      </c>
      <c r="V8" s="2912">
        <f>ROUND(IF(项目基本情况!$B$8="出让",SUMPRODUCT(PRODUCT(1+O8:$O$18)),SUMPRODUCT(PRODUCT(1+O8:$O$17))),4)</f>
        <v>1.0674999999999999</v>
      </c>
      <c r="W8" s="2912">
        <f t="shared" ref="W8:W9" si="23">T8</f>
        <v>1.0282</v>
      </c>
      <c r="X8" s="2912"/>
      <c r="Y8" s="2914"/>
      <c r="Z8" s="2914"/>
      <c r="AA8" s="2914"/>
      <c r="AB8" s="2914"/>
      <c r="AC8" s="2914"/>
      <c r="AD8" s="2914"/>
    </row>
    <row r="9" spans="1:30" s="2043" customFormat="1" ht="12.75">
      <c r="A9" s="2904" t="s">
        <v>3374</v>
      </c>
      <c r="B9" s="2029">
        <v>2023</v>
      </c>
      <c r="C9" s="2040">
        <v>2</v>
      </c>
      <c r="D9" s="2005">
        <v>0.91</v>
      </c>
      <c r="E9" s="2005">
        <v>0.66</v>
      </c>
      <c r="F9" s="2005">
        <v>0.47</v>
      </c>
      <c r="G9" s="2005">
        <v>0.96</v>
      </c>
      <c r="H9" s="2916">
        <v>0.71</v>
      </c>
      <c r="I9" s="2006">
        <f t="shared" si="4"/>
        <v>0.47</v>
      </c>
      <c r="J9" s="2905"/>
      <c r="K9" s="2041">
        <f t="shared" si="17"/>
        <v>9.1000000000000004E-3</v>
      </c>
      <c r="L9" s="2026">
        <f t="shared" si="18"/>
        <v>6.6E-3</v>
      </c>
      <c r="M9" s="2026">
        <f t="shared" si="19"/>
        <v>4.6999999999999993E-3</v>
      </c>
      <c r="N9" s="2026">
        <f t="shared" si="20"/>
        <v>9.5999999999999992E-3</v>
      </c>
      <c r="O9" s="2026">
        <f t="shared" si="21"/>
        <v>7.0999999999999995E-3</v>
      </c>
      <c r="P9" s="2026">
        <f t="shared" si="22"/>
        <v>4.6999999999999993E-3</v>
      </c>
      <c r="Q9" s="2905"/>
      <c r="R9" s="2025">
        <f>ROUND(IF(项目基本情况!$B$8="出让",SUMPRODUCT(PRODUCT(1+K9:$K$18)),SUMPRODUCT(PRODUCT(1+K9:$K$17))),4)</f>
        <v>1.0755999999999999</v>
      </c>
      <c r="S9" s="2025">
        <f>ROUND(IF(项目基本情况!$B$8="出让",SUMPRODUCT(PRODUCT(1+L9:$L$18)),SUMPRODUCT(PRODUCT(1+L9:$L$17))),4)</f>
        <v>1.0395000000000001</v>
      </c>
      <c r="T9" s="2025">
        <f>ROUND(IF(项目基本情况!$B$8="出让",SUMPRODUCT(PRODUCT(1+M9:$M$18)),SUMPRODUCT(PRODUCT(1+M9:$M$17))),4)</f>
        <v>1.0250999999999999</v>
      </c>
      <c r="U9" s="2025">
        <f>ROUND(IF(项目基本情况!$B$8="出让",SUMPRODUCT(PRODUCT(1+N9:$N$18)),SUMPRODUCT(PRODUCT(1+N9:$N$17))),4)</f>
        <v>1.0818000000000001</v>
      </c>
      <c r="V9" s="2025">
        <f>ROUND(IF(项目基本情况!$B$8="出让",SUMPRODUCT(PRODUCT(1+O9:$O$18)),SUMPRODUCT(PRODUCT(1+O9:$O$17))),4)</f>
        <v>1.0629999999999999</v>
      </c>
      <c r="W9" s="2025">
        <f t="shared" si="23"/>
        <v>1.0250999999999999</v>
      </c>
      <c r="X9" s="2905"/>
      <c r="Y9" s="2026"/>
      <c r="Z9" s="2026"/>
      <c r="AA9" s="2026"/>
      <c r="AB9" s="2026"/>
      <c r="AC9" s="2026"/>
      <c r="AD9" s="2026"/>
    </row>
    <row r="10" spans="1:30" s="2043" customFormat="1" ht="12.75">
      <c r="A10" s="2904" t="s">
        <v>3372</v>
      </c>
      <c r="B10" s="2029">
        <v>2023</v>
      </c>
      <c r="C10" s="2040">
        <v>1</v>
      </c>
      <c r="D10" s="2005">
        <v>0.89</v>
      </c>
      <c r="E10" s="2005">
        <v>0.74</v>
      </c>
      <c r="F10" s="2005">
        <v>0.56999999999999995</v>
      </c>
      <c r="G10" s="2005">
        <v>0.92</v>
      </c>
      <c r="H10" s="2916">
        <v>0.5</v>
      </c>
      <c r="I10" s="2006">
        <f t="shared" si="4"/>
        <v>0.56999999999999995</v>
      </c>
      <c r="J10" s="2905"/>
      <c r="K10" s="2041">
        <f t="shared" si="17"/>
        <v>8.8999999999999999E-3</v>
      </c>
      <c r="L10" s="2026">
        <f t="shared" si="18"/>
        <v>7.4000000000000003E-3</v>
      </c>
      <c r="M10" s="2026">
        <f t="shared" si="19"/>
        <v>5.6999999999999993E-3</v>
      </c>
      <c r="N10" s="2026">
        <f t="shared" si="20"/>
        <v>9.1999999999999998E-3</v>
      </c>
      <c r="O10" s="2026">
        <f t="shared" si="21"/>
        <v>5.0000000000000001E-3</v>
      </c>
      <c r="P10" s="2026">
        <f t="shared" si="22"/>
        <v>5.6999999999999993E-3</v>
      </c>
      <c r="Q10" s="2905"/>
      <c r="R10" s="2025">
        <f>ROUND(IF(项目基本情况!$B$8="出让",SUMPRODUCT(PRODUCT(1+K10:$K$18)),SUMPRODUCT(PRODUCT(1+K10:$K$17))),4)</f>
        <v>1.0659000000000001</v>
      </c>
      <c r="S10" s="2025">
        <f>ROUND(IF(项目基本情况!$B$8="出让",SUMPRODUCT(PRODUCT(1+L10:$L$18)),SUMPRODUCT(PRODUCT(1+L10:$L$17))),4)</f>
        <v>1.0326</v>
      </c>
      <c r="T10" s="2025">
        <f>ROUND(IF(项目基本情况!$B$8="出让",SUMPRODUCT(PRODUCT(1+M10:$M$18)),SUMPRODUCT(PRODUCT(1+M10:$M$17))),4)</f>
        <v>1.0203</v>
      </c>
      <c r="U10" s="2025">
        <f>ROUND(IF(项目基本情况!$B$8="出让",SUMPRODUCT(PRODUCT(1+N10:$N$18)),SUMPRODUCT(PRODUCT(1+N10:$N$17))),4)</f>
        <v>1.0714999999999999</v>
      </c>
      <c r="V10" s="2025">
        <f>ROUND(IF(项目基本情况!$B$8="出让",SUMPRODUCT(PRODUCT(1+O10:$O$18)),SUMPRODUCT(PRODUCT(1+O10:$O$17))),4)</f>
        <v>1.0555000000000001</v>
      </c>
      <c r="W10" s="2025">
        <f t="shared" ref="W10:W17" si="24">T10</f>
        <v>1.0203</v>
      </c>
      <c r="X10" s="2905"/>
      <c r="Y10" s="2026"/>
      <c r="Z10" s="2026"/>
      <c r="AA10" s="2026"/>
      <c r="AB10" s="2026"/>
      <c r="AC10" s="2026"/>
      <c r="AD10" s="2026"/>
    </row>
    <row r="11" spans="1:30" s="2043" customFormat="1" ht="12.75">
      <c r="A11" s="2904" t="s">
        <v>3371</v>
      </c>
      <c r="B11" s="2029">
        <v>2022</v>
      </c>
      <c r="C11" s="2040">
        <v>4</v>
      </c>
      <c r="D11" s="2005">
        <v>0.62</v>
      </c>
      <c r="E11" s="2005">
        <v>0.2</v>
      </c>
      <c r="F11" s="2005">
        <v>0.11</v>
      </c>
      <c r="G11" s="2005">
        <v>0.69</v>
      </c>
      <c r="H11" s="2916">
        <v>0.53</v>
      </c>
      <c r="I11" s="2006">
        <f t="shared" si="4"/>
        <v>0.11</v>
      </c>
      <c r="J11" s="2905"/>
      <c r="K11" s="2041">
        <f t="shared" si="5"/>
        <v>6.1999999999999998E-3</v>
      </c>
      <c r="L11" s="2026">
        <f t="shared" si="5"/>
        <v>2E-3</v>
      </c>
      <c r="M11" s="2026">
        <f t="shared" si="5"/>
        <v>1.1000000000000001E-3</v>
      </c>
      <c r="N11" s="2026">
        <f t="shared" si="5"/>
        <v>6.8999999999999999E-3</v>
      </c>
      <c r="O11" s="2026">
        <f t="shared" si="5"/>
        <v>5.3E-3</v>
      </c>
      <c r="P11" s="2026">
        <f t="shared" ref="P11:P18" si="25">M11</f>
        <v>1.1000000000000001E-3</v>
      </c>
      <c r="Q11" s="2905"/>
      <c r="R11" s="2025">
        <f>ROUND(IF(项目基本情况!$B$8="出让",SUMPRODUCT(PRODUCT(1+K11:$K$18)),SUMPRODUCT(PRODUCT(1+K11:$K$17))),4)</f>
        <v>1.0565</v>
      </c>
      <c r="S11" s="2025">
        <f>ROUND(IF(项目基本情况!$B$8="出让",SUMPRODUCT(PRODUCT(1+L11:$L$18)),SUMPRODUCT(PRODUCT(1+L11:$L$17))),4)</f>
        <v>1.0250999999999999</v>
      </c>
      <c r="T11" s="2025">
        <f>ROUND(IF(项目基本情况!$B$8="出让",SUMPRODUCT(PRODUCT(1+M11:$M$18)),SUMPRODUCT(PRODUCT(1+M11:$M$17))),4)</f>
        <v>1.0145</v>
      </c>
      <c r="U11" s="2025">
        <f>ROUND(IF(项目基本情况!$B$8="出让",SUMPRODUCT(PRODUCT(1+N11:$N$18)),SUMPRODUCT(PRODUCT(1+N11:$N$17))),4)</f>
        <v>1.0618000000000001</v>
      </c>
      <c r="V11" s="2025">
        <f>ROUND(IF(项目基本情况!$B$8="出让",SUMPRODUCT(PRODUCT(1+O11:$O$18)),SUMPRODUCT(PRODUCT(1+O11:$O$17))),4)</f>
        <v>1.0502</v>
      </c>
      <c r="W11" s="2025">
        <f t="shared" si="24"/>
        <v>1.0145</v>
      </c>
      <c r="X11" s="2905"/>
      <c r="Y11" s="2026">
        <f>IF(D11=0,0,ROUND(AVERAGE(D11:D19)/100,4))</f>
        <v>8.0999999999999996E-3</v>
      </c>
      <c r="Z11" s="2026">
        <f t="shared" ref="Z11:AC11" si="26">IF(E11=0,0,ROUND(AVERAGE(E11:E18)/100,4))</f>
        <v>3.3E-3</v>
      </c>
      <c r="AA11" s="2026">
        <f t="shared" si="26"/>
        <v>1.5E-3</v>
      </c>
      <c r="AB11" s="2026">
        <f t="shared" si="26"/>
        <v>8.8999999999999999E-3</v>
      </c>
      <c r="AC11" s="2026">
        <f t="shared" si="26"/>
        <v>6.6E-3</v>
      </c>
      <c r="AD11" s="2026">
        <f t="shared" si="7"/>
        <v>1.5E-3</v>
      </c>
    </row>
    <row r="12" spans="1:30" s="2043" customFormat="1" ht="12.75">
      <c r="A12" s="2904" t="s">
        <v>3367</v>
      </c>
      <c r="B12" s="2029">
        <v>2022</v>
      </c>
      <c r="C12" s="2040">
        <v>3</v>
      </c>
      <c r="D12" s="2005">
        <v>0.66</v>
      </c>
      <c r="E12" s="2005">
        <v>0.32</v>
      </c>
      <c r="F12" s="2005">
        <v>0.23</v>
      </c>
      <c r="G12" s="2005">
        <v>0.72</v>
      </c>
      <c r="H12" s="2916">
        <v>0.63</v>
      </c>
      <c r="I12" s="2006">
        <f t="shared" si="4"/>
        <v>0.23</v>
      </c>
      <c r="J12" s="2905"/>
      <c r="K12" s="2041">
        <f t="shared" si="5"/>
        <v>6.6E-3</v>
      </c>
      <c r="L12" s="2026">
        <f t="shared" si="5"/>
        <v>3.2000000000000002E-3</v>
      </c>
      <c r="M12" s="2026">
        <f t="shared" si="5"/>
        <v>2.3E-3</v>
      </c>
      <c r="N12" s="2026">
        <f t="shared" si="5"/>
        <v>7.1999999999999998E-3</v>
      </c>
      <c r="O12" s="2026">
        <f t="shared" si="5"/>
        <v>6.3E-3</v>
      </c>
      <c r="P12" s="2026">
        <f t="shared" si="25"/>
        <v>2.3E-3</v>
      </c>
      <c r="Q12" s="2905"/>
      <c r="R12" s="2025">
        <f>ROUND(IF(项目基本情况!$B$8="出让",SUMPRODUCT(PRODUCT(1+K12:$K$18)),SUMPRODUCT(PRODUCT(1+K12:$K$17))),4)</f>
        <v>1.05</v>
      </c>
      <c r="S12" s="2025">
        <f>ROUND(IF(项目基本情况!$B$8="出让",SUMPRODUCT(PRODUCT(1+L12:$L$18)),SUMPRODUCT(PRODUCT(1+L12:$L$17))),4)</f>
        <v>1.0229999999999999</v>
      </c>
      <c r="T12" s="2025">
        <f>ROUND(IF(项目基本情况!$B$8="出让",SUMPRODUCT(PRODUCT(1+M12:$M$18)),SUMPRODUCT(PRODUCT(1+M12:$M$17))),4)</f>
        <v>1.0134000000000001</v>
      </c>
      <c r="U12" s="2025">
        <f>ROUND(IF(项目基本情况!$B$8="出让",SUMPRODUCT(PRODUCT(1+N12:$N$18)),SUMPRODUCT(PRODUCT(1+N12:$N$17))),4)</f>
        <v>1.0545</v>
      </c>
      <c r="V12" s="2025">
        <f>ROUND(IF(项目基本情况!$B$8="出让",SUMPRODUCT(PRODUCT(1+O12:$O$18)),SUMPRODUCT(PRODUCT(1+O12:$O$17))),4)</f>
        <v>1.0447</v>
      </c>
      <c r="W12" s="2025">
        <f t="shared" si="24"/>
        <v>1.0134000000000001</v>
      </c>
      <c r="X12" s="2905"/>
      <c r="Y12" s="2026">
        <f>IF(D12=0,0,ROUND(AVERAGE(D12:D18)/100,4))</f>
        <v>8.3999999999999995E-3</v>
      </c>
      <c r="Z12" s="2026">
        <f t="shared" ref="Z12:AC12" si="27">IF(E12=0,0,ROUND(AVERAGE(E12:E18)/100,4))</f>
        <v>3.5000000000000001E-3</v>
      </c>
      <c r="AA12" s="2026">
        <f t="shared" si="27"/>
        <v>1.5E-3</v>
      </c>
      <c r="AB12" s="2026">
        <f t="shared" si="27"/>
        <v>9.1999999999999998E-3</v>
      </c>
      <c r="AC12" s="2026">
        <f t="shared" si="27"/>
        <v>6.7999999999999996E-3</v>
      </c>
      <c r="AD12" s="2026">
        <f t="shared" si="7"/>
        <v>1.5E-3</v>
      </c>
    </row>
    <row r="13" spans="1:30" s="2043" customFormat="1" ht="12.75">
      <c r="A13" s="2904" t="s">
        <v>3358</v>
      </c>
      <c r="B13" s="2029">
        <v>2022</v>
      </c>
      <c r="C13" s="2040">
        <v>2</v>
      </c>
      <c r="D13" s="2005">
        <v>0.93</v>
      </c>
      <c r="E13" s="2005">
        <v>0.15</v>
      </c>
      <c r="F13" s="2005">
        <v>0.01</v>
      </c>
      <c r="G13" s="2005">
        <v>1.05</v>
      </c>
      <c r="H13" s="2916">
        <v>1.08</v>
      </c>
      <c r="I13" s="2006">
        <f t="shared" si="4"/>
        <v>0.01</v>
      </c>
      <c r="J13" s="2905"/>
      <c r="K13" s="2041">
        <f t="shared" si="5"/>
        <v>9.300000000000001E-3</v>
      </c>
      <c r="L13" s="2026">
        <f t="shared" si="5"/>
        <v>1.5E-3</v>
      </c>
      <c r="M13" s="2026">
        <f t="shared" si="5"/>
        <v>1E-4</v>
      </c>
      <c r="N13" s="2026">
        <f t="shared" si="5"/>
        <v>1.0500000000000001E-2</v>
      </c>
      <c r="O13" s="2026">
        <f t="shared" si="5"/>
        <v>1.0800000000000001E-2</v>
      </c>
      <c r="P13" s="2026">
        <f t="shared" si="25"/>
        <v>1E-4</v>
      </c>
      <c r="Q13" s="2905"/>
      <c r="R13" s="2025">
        <f>ROUND(IF(项目基本情况!$B$8="出让",SUMPRODUCT(PRODUCT(1+K13:$K$18)),SUMPRODUCT(PRODUCT(1+K13:$K$17))),4)</f>
        <v>1.0430999999999999</v>
      </c>
      <c r="S13" s="2025">
        <f>ROUND(IF(项目基本情况!$B$8="出让",SUMPRODUCT(PRODUCT(1+L13:$L$18)),SUMPRODUCT(PRODUCT(1+L13:$L$17))),4)</f>
        <v>1.0197000000000001</v>
      </c>
      <c r="T13" s="2025">
        <f>ROUND(IF(项目基本情况!$B$8="出让",SUMPRODUCT(PRODUCT(1+M13:$M$18)),SUMPRODUCT(PRODUCT(1+M13:$M$17))),4)</f>
        <v>1.0109999999999999</v>
      </c>
      <c r="U13" s="2025">
        <f>ROUND(IF(项目基本情况!$B$8="出让",SUMPRODUCT(PRODUCT(1+N13:$N$18)),SUMPRODUCT(PRODUCT(1+N13:$N$17))),4)</f>
        <v>1.0468999999999999</v>
      </c>
      <c r="V13" s="2025">
        <f>ROUND(IF(项目基本情况!$B$8="出让",SUMPRODUCT(PRODUCT(1+O13:$O$18)),SUMPRODUCT(PRODUCT(1+O13:$O$17))),4)</f>
        <v>1.0382</v>
      </c>
      <c r="W13" s="2025">
        <f t="shared" si="24"/>
        <v>1.0109999999999999</v>
      </c>
      <c r="X13" s="2905"/>
      <c r="Y13" s="2026">
        <f>IF(D13=0,0,ROUND(AVERAGE(D13:D18)/100,4))</f>
        <v>8.6999999999999994E-3</v>
      </c>
      <c r="Z13" s="2026">
        <f t="shared" ref="Z13:AC13" si="28">IF(E13=0,0,ROUND(AVERAGE(E13:E18)/100,4))</f>
        <v>3.5000000000000001E-3</v>
      </c>
      <c r="AA13" s="2026">
        <f t="shared" si="28"/>
        <v>1.4E-3</v>
      </c>
      <c r="AB13" s="2026">
        <f t="shared" si="28"/>
        <v>9.4999999999999998E-3</v>
      </c>
      <c r="AC13" s="2026">
        <f t="shared" si="28"/>
        <v>6.8999999999999999E-3</v>
      </c>
      <c r="AD13" s="2026">
        <f t="shared" si="7"/>
        <v>1.4E-3</v>
      </c>
    </row>
    <row r="14" spans="1:30" s="2043" customFormat="1" ht="12.75">
      <c r="A14" s="2904" t="s">
        <v>2823</v>
      </c>
      <c r="B14" s="2029">
        <v>2022</v>
      </c>
      <c r="C14" s="2040">
        <v>1</v>
      </c>
      <c r="D14" s="2005">
        <v>0.89</v>
      </c>
      <c r="E14" s="2005">
        <v>0.44</v>
      </c>
      <c r="F14" s="2005">
        <v>0.37</v>
      </c>
      <c r="G14" s="2005">
        <v>0.96</v>
      </c>
      <c r="H14" s="2916">
        <v>0.64</v>
      </c>
      <c r="I14" s="2006">
        <f t="shared" si="4"/>
        <v>0.37</v>
      </c>
      <c r="J14" s="2905"/>
      <c r="K14" s="2041">
        <f t="shared" si="5"/>
        <v>8.8999999999999999E-3</v>
      </c>
      <c r="L14" s="2026">
        <f t="shared" si="5"/>
        <v>4.4000000000000003E-3</v>
      </c>
      <c r="M14" s="2026">
        <f t="shared" si="5"/>
        <v>3.7000000000000002E-3</v>
      </c>
      <c r="N14" s="2026">
        <f t="shared" si="5"/>
        <v>9.5999999999999992E-3</v>
      </c>
      <c r="O14" s="2026">
        <f t="shared" si="5"/>
        <v>6.4000000000000003E-3</v>
      </c>
      <c r="P14" s="2026">
        <f t="shared" si="25"/>
        <v>3.7000000000000002E-3</v>
      </c>
      <c r="Q14" s="2905"/>
      <c r="R14" s="2025">
        <f>ROUND(IF(项目基本情况!$B$8="出让",SUMPRODUCT(PRODUCT(1+K14:$K$18)),SUMPRODUCT(PRODUCT(1+K14:$K$17))),4)</f>
        <v>1.0335000000000001</v>
      </c>
      <c r="S14" s="2025">
        <f>ROUND(IF(项目基本情况!$B$8="出让",SUMPRODUCT(PRODUCT(1+L14:$L$18)),SUMPRODUCT(PRODUCT(1+L14:$L$17))),4)</f>
        <v>1.0182</v>
      </c>
      <c r="T14" s="2025">
        <f>ROUND(IF(项目基本情况!$B$8="出让",SUMPRODUCT(PRODUCT(1+M14:$M$18)),SUMPRODUCT(PRODUCT(1+M14:$M$17))),4)</f>
        <v>1.0108999999999999</v>
      </c>
      <c r="U14" s="2025">
        <f>ROUND(IF(项目基本情况!$B$8="出让",SUMPRODUCT(PRODUCT(1+N14:$N$18)),SUMPRODUCT(PRODUCT(1+N14:$N$17))),4)</f>
        <v>1.0361</v>
      </c>
      <c r="V14" s="2025">
        <f>ROUND(IF(项目基本情况!$B$8="出让",SUMPRODUCT(PRODUCT(1+O14:$O$18)),SUMPRODUCT(PRODUCT(1+O14:$O$17))),4)</f>
        <v>1.0270999999999999</v>
      </c>
      <c r="W14" s="2025">
        <f t="shared" si="24"/>
        <v>1.0108999999999999</v>
      </c>
      <c r="X14" s="2905"/>
      <c r="Y14" s="2026">
        <f>IF(D14=0,0,ROUND(AVERAGE(D14:D18)/100,4))</f>
        <v>8.6E-3</v>
      </c>
      <c r="Z14" s="2026">
        <f t="shared" ref="Z14:AC14" si="29">IF(E14=0,0,ROUND(AVERAGE(E14:E18)/100,4))</f>
        <v>3.8999999999999998E-3</v>
      </c>
      <c r="AA14" s="2026">
        <f t="shared" si="29"/>
        <v>1.6999999999999999E-3</v>
      </c>
      <c r="AB14" s="2026">
        <f t="shared" si="29"/>
        <v>9.2999999999999992E-3</v>
      </c>
      <c r="AC14" s="2026">
        <f t="shared" si="29"/>
        <v>6.1000000000000004E-3</v>
      </c>
      <c r="AD14" s="2026">
        <f t="shared" si="7"/>
        <v>1.6999999999999999E-3</v>
      </c>
    </row>
    <row r="15" spans="1:30" s="2043" customFormat="1" ht="12.75">
      <c r="A15" s="2904" t="s">
        <v>2824</v>
      </c>
      <c r="B15" s="2029">
        <v>2021</v>
      </c>
      <c r="C15" s="2040">
        <v>4</v>
      </c>
      <c r="D15" s="2005">
        <v>1.03</v>
      </c>
      <c r="E15" s="2005">
        <v>0.24</v>
      </c>
      <c r="F15" s="2005">
        <v>7.0000000000000007E-2</v>
      </c>
      <c r="G15" s="2005">
        <v>1.17</v>
      </c>
      <c r="H15" s="2916">
        <v>0.55000000000000004</v>
      </c>
      <c r="I15" s="2006">
        <f t="shared" si="4"/>
        <v>7.0000000000000007E-2</v>
      </c>
      <c r="J15" s="2905"/>
      <c r="K15" s="2041">
        <f t="shared" si="5"/>
        <v>1.03E-2</v>
      </c>
      <c r="L15" s="2026">
        <f t="shared" si="5"/>
        <v>2.3999999999999998E-3</v>
      </c>
      <c r="M15" s="2026">
        <f t="shared" si="5"/>
        <v>7.000000000000001E-4</v>
      </c>
      <c r="N15" s="2026">
        <f t="shared" si="5"/>
        <v>1.1699999999999999E-2</v>
      </c>
      <c r="O15" s="2026">
        <f t="shared" si="5"/>
        <v>5.5000000000000005E-3</v>
      </c>
      <c r="P15" s="2026">
        <f t="shared" si="25"/>
        <v>7.000000000000001E-4</v>
      </c>
      <c r="Q15" s="2905"/>
      <c r="R15" s="2025">
        <f>ROUND(IF(项目基本情况!$B$8="出让",SUMPRODUCT(PRODUCT(1+K15:$K$18)),SUMPRODUCT(PRODUCT(1+K15:$K$17))),4)</f>
        <v>1.0244</v>
      </c>
      <c r="S15" s="2025">
        <f>ROUND(IF(项目基本情况!$B$8="出让",SUMPRODUCT(PRODUCT(1+L15:$L$18)),SUMPRODUCT(PRODUCT(1+L15:$L$17))),4)</f>
        <v>1.0138</v>
      </c>
      <c r="T15" s="2025">
        <f>ROUND(IF(项目基本情况!$B$8="出让",SUMPRODUCT(PRODUCT(1+M15:$M$18)),SUMPRODUCT(PRODUCT(1+M15:$M$17))),4)</f>
        <v>1.0072000000000001</v>
      </c>
      <c r="U15" s="2025">
        <f>ROUND(IF(项目基本情况!$B$8="出让",SUMPRODUCT(PRODUCT(1+N15:$N$18)),SUMPRODUCT(PRODUCT(1+N15:$N$17))),4)</f>
        <v>1.0262</v>
      </c>
      <c r="V15" s="2025">
        <f>ROUND(IF(项目基本情况!$B$8="出让",SUMPRODUCT(PRODUCT(1+O15:$O$18)),SUMPRODUCT(PRODUCT(1+O15:$O$17))),4)</f>
        <v>1.0205</v>
      </c>
      <c r="W15" s="2025">
        <f t="shared" si="24"/>
        <v>1.0072000000000001</v>
      </c>
      <c r="X15" s="2905"/>
      <c r="Y15" s="2026">
        <f>IF(D15=0,0,ROUND(AVERAGE(D15:D18)/100,4))</f>
        <v>8.5000000000000006E-3</v>
      </c>
      <c r="Z15" s="2026">
        <f t="shared" ref="Z15:AC15" si="30">IF(E15=0,0,ROUND(AVERAGE(E15:E18)/100,4))</f>
        <v>3.8E-3</v>
      </c>
      <c r="AA15" s="2026">
        <f t="shared" si="30"/>
        <v>1.1999999999999999E-3</v>
      </c>
      <c r="AB15" s="2026">
        <f t="shared" si="30"/>
        <v>9.2999999999999992E-3</v>
      </c>
      <c r="AC15" s="2026">
        <f t="shared" si="30"/>
        <v>6.0000000000000001E-3</v>
      </c>
      <c r="AD15" s="2026">
        <f t="shared" si="7"/>
        <v>1.1999999999999999E-3</v>
      </c>
    </row>
    <row r="16" spans="1:30" s="2043" customFormat="1" ht="12.75">
      <c r="A16" s="2904" t="s">
        <v>2825</v>
      </c>
      <c r="B16" s="2029">
        <v>2021</v>
      </c>
      <c r="C16" s="2040">
        <v>3</v>
      </c>
      <c r="D16" s="2005">
        <v>0.47</v>
      </c>
      <c r="E16" s="2005">
        <v>0.41</v>
      </c>
      <c r="F16" s="2005">
        <v>0.24</v>
      </c>
      <c r="G16" s="2005">
        <v>0.48</v>
      </c>
      <c r="H16" s="2916">
        <v>0.48</v>
      </c>
      <c r="I16" s="2006">
        <f t="shared" si="4"/>
        <v>0.24</v>
      </c>
      <c r="J16" s="2905"/>
      <c r="K16" s="2041">
        <f t="shared" si="5"/>
        <v>4.6999999999999993E-3</v>
      </c>
      <c r="L16" s="2026">
        <f t="shared" si="5"/>
        <v>4.0999999999999995E-3</v>
      </c>
      <c r="M16" s="2026">
        <f t="shared" si="5"/>
        <v>2.3999999999999998E-3</v>
      </c>
      <c r="N16" s="2026">
        <f t="shared" si="5"/>
        <v>4.7999999999999996E-3</v>
      </c>
      <c r="O16" s="2026">
        <f t="shared" si="5"/>
        <v>4.7999999999999996E-3</v>
      </c>
      <c r="P16" s="2026">
        <f t="shared" si="25"/>
        <v>2.3999999999999998E-3</v>
      </c>
      <c r="Q16" s="2905"/>
      <c r="R16" s="2025">
        <f>ROUND(IF(项目基本情况!$B$8="出让",SUMPRODUCT(PRODUCT(1+K16:$K$18)),SUMPRODUCT(PRODUCT(1+K16:$K$17))),4)</f>
        <v>1.0139</v>
      </c>
      <c r="S16" s="2025">
        <f>ROUND(IF(项目基本情况!$B$8="出让",SUMPRODUCT(PRODUCT(1+L16:$L$18)),SUMPRODUCT(PRODUCT(1+L16:$L$17))),4)</f>
        <v>1.0113000000000001</v>
      </c>
      <c r="T16" s="2025">
        <f>ROUND(IF(项目基本情况!$B$8="出让",SUMPRODUCT(PRODUCT(1+M16:$M$18)),SUMPRODUCT(PRODUCT(1+M16:$M$17))),4)</f>
        <v>1.0065</v>
      </c>
      <c r="U16" s="2025">
        <f>ROUND(IF(项目基本情况!$B$8="出让",SUMPRODUCT(PRODUCT(1+N16:$N$18)),SUMPRODUCT(PRODUCT(1+N16:$N$17))),4)</f>
        <v>1.0143</v>
      </c>
      <c r="V16" s="2025">
        <f>ROUND(IF(项目基本情况!$B$8="出让",SUMPRODUCT(PRODUCT(1+O16:$O$18)),SUMPRODUCT(PRODUCT(1+O16:$O$17))),4)</f>
        <v>1.0148999999999999</v>
      </c>
      <c r="W16" s="2025">
        <f t="shared" si="24"/>
        <v>1.0065</v>
      </c>
      <c r="X16" s="2905"/>
      <c r="Y16" s="2026">
        <f>IF(D16=0,0,ROUND(AVERAGE(D16:D18)/100,4))</f>
        <v>7.9000000000000008E-3</v>
      </c>
      <c r="Z16" s="2026">
        <f>IF(E16=0,0,ROUND(AVERAGE(E16:E18)/100,4))</f>
        <v>4.3E-3</v>
      </c>
      <c r="AA16" s="2026">
        <f>IF(F16=0,0,ROUND(AVERAGE(F16:F18)/100,4))</f>
        <v>1.2999999999999999E-3</v>
      </c>
      <c r="AB16" s="2026">
        <f>IF(G16=0,0,ROUND(AVERAGE(G16:G18)/100,4))</f>
        <v>8.5000000000000006E-3</v>
      </c>
      <c r="AC16" s="2026">
        <f>IF(H16=0,0,ROUND(AVERAGE(H16:H18)/100,4))</f>
        <v>6.1999999999999998E-3</v>
      </c>
      <c r="AD16" s="2026">
        <f t="shared" si="7"/>
        <v>1.2999999999999999E-3</v>
      </c>
    </row>
    <row r="17" spans="1:30" s="2043" customFormat="1" ht="12.75">
      <c r="A17" s="2904" t="s">
        <v>2826</v>
      </c>
      <c r="B17" s="2029">
        <v>2021</v>
      </c>
      <c r="C17" s="2040">
        <v>2</v>
      </c>
      <c r="D17" s="2005">
        <v>0.92</v>
      </c>
      <c r="E17" s="2005">
        <v>0.72</v>
      </c>
      <c r="F17" s="2005">
        <v>0.41</v>
      </c>
      <c r="G17" s="2005">
        <v>0.95</v>
      </c>
      <c r="H17" s="2916">
        <v>1.01</v>
      </c>
      <c r="I17" s="2006">
        <f t="shared" si="4"/>
        <v>0.41</v>
      </c>
      <c r="J17" s="2905"/>
      <c r="K17" s="2041">
        <f t="shared" si="5"/>
        <v>9.1999999999999998E-3</v>
      </c>
      <c r="L17" s="2026">
        <f t="shared" si="5"/>
        <v>7.1999999999999998E-3</v>
      </c>
      <c r="M17" s="2026">
        <f t="shared" si="5"/>
        <v>4.0999999999999995E-3</v>
      </c>
      <c r="N17" s="2026">
        <f t="shared" si="5"/>
        <v>9.4999999999999998E-3</v>
      </c>
      <c r="O17" s="2026">
        <f t="shared" si="5"/>
        <v>1.01E-2</v>
      </c>
      <c r="P17" s="2026">
        <f t="shared" si="25"/>
        <v>4.0999999999999995E-3</v>
      </c>
      <c r="Q17" s="2905"/>
      <c r="R17" s="2025">
        <f>ROUND(IF(项目基本情况!$B$8="出让",SUMPRODUCT(PRODUCT(1+K17:$K$18)),SUMPRODUCT(PRODUCT(1+K17:$K$17))),4)</f>
        <v>1.0092000000000001</v>
      </c>
      <c r="S17" s="2025">
        <f>ROUND(IF(项目基本情况!$B$8="出让",SUMPRODUCT(PRODUCT(1+L17:$L$18)),SUMPRODUCT(PRODUCT(1+L17:$L$17))),4)</f>
        <v>1.0072000000000001</v>
      </c>
      <c r="T17" s="2025">
        <f>ROUND(IF(项目基本情况!$B$8="出让",SUMPRODUCT(PRODUCT(1+M17:$M$18)),SUMPRODUCT(PRODUCT(1+M17:$M$17))),4)</f>
        <v>1.0041</v>
      </c>
      <c r="U17" s="2025">
        <f>ROUND(IF(项目基本情况!$B$8="出让",SUMPRODUCT(PRODUCT(1+N17:$N$18)),SUMPRODUCT(PRODUCT(1+N17:$N$17))),4)</f>
        <v>1.0095000000000001</v>
      </c>
      <c r="V17" s="2025">
        <f>ROUND(IF(项目基本情况!$B$8="出让",SUMPRODUCT(PRODUCT(1+O17:$O$18)),SUMPRODUCT(PRODUCT(1+O17:$O$17))),4)</f>
        <v>1.0101</v>
      </c>
      <c r="W17" s="2025">
        <f t="shared" si="24"/>
        <v>1.0041</v>
      </c>
      <c r="X17" s="2905"/>
      <c r="Y17" s="2026">
        <f>IF(D17=0,0,ROUND(AVERAGE(D17:D18)/100,4))</f>
        <v>9.4999999999999998E-3</v>
      </c>
      <c r="Z17" s="2026">
        <f>IF(E17=0,0,ROUND(AVERAGE(E17:E18)/100,4))</f>
        <v>4.4000000000000003E-3</v>
      </c>
      <c r="AA17" s="2026">
        <f>IF(F17=0,0,ROUND(AVERAGE(F17:F18)/100,4))</f>
        <v>8.0000000000000004E-4</v>
      </c>
      <c r="AB17" s="2026">
        <f>IF(G17=0,0,ROUND(AVERAGE(G17:G18)/100,4))</f>
        <v>1.03E-2</v>
      </c>
      <c r="AC17" s="2026">
        <f>IF(H17=0,0,ROUND(AVERAGE(H17:H18)/100,4))</f>
        <v>6.8999999999999999E-3</v>
      </c>
      <c r="AD17" s="2026">
        <f t="shared" si="7"/>
        <v>8.0000000000000004E-4</v>
      </c>
    </row>
    <row r="18" spans="1:30" s="2927" customFormat="1" thickBot="1">
      <c r="A18" s="2917" t="s">
        <v>2827</v>
      </c>
      <c r="B18" s="2918">
        <v>2021</v>
      </c>
      <c r="C18" s="2919">
        <v>1</v>
      </c>
      <c r="D18" s="2920">
        <v>0.97</v>
      </c>
      <c r="E18" s="2920">
        <v>0.16</v>
      </c>
      <c r="F18" s="2920">
        <v>-0.25</v>
      </c>
      <c r="G18" s="2920">
        <v>1.1100000000000001</v>
      </c>
      <c r="H18" s="2921">
        <v>0.36</v>
      </c>
      <c r="I18" s="2922">
        <f t="shared" si="4"/>
        <v>-0.25</v>
      </c>
      <c r="J18" s="2923"/>
      <c r="K18" s="2924">
        <f t="shared" si="5"/>
        <v>9.7000000000000003E-3</v>
      </c>
      <c r="L18" s="2925">
        <f t="shared" si="5"/>
        <v>1.6000000000000001E-3</v>
      </c>
      <c r="M18" s="2925">
        <f>F18/100</f>
        <v>-2.5000000000000001E-3</v>
      </c>
      <c r="N18" s="2925">
        <f t="shared" si="5"/>
        <v>1.11E-2</v>
      </c>
      <c r="O18" s="2925">
        <f t="shared" si="5"/>
        <v>3.5999999999999999E-3</v>
      </c>
      <c r="P18" s="2925">
        <f t="shared" si="25"/>
        <v>-2.5000000000000001E-3</v>
      </c>
      <c r="Q18" s="2923"/>
      <c r="R18" s="2926">
        <v>1</v>
      </c>
      <c r="S18" s="2926">
        <v>1</v>
      </c>
      <c r="T18" s="2926">
        <v>1</v>
      </c>
      <c r="U18" s="2926">
        <v>1</v>
      </c>
      <c r="V18" s="2926">
        <v>1</v>
      </c>
      <c r="W18" s="2926">
        <f t="shared" ref="W18" si="31">T18</f>
        <v>1</v>
      </c>
      <c r="X18" s="2923"/>
      <c r="Y18" s="2925">
        <f>IF(D18=0,0,ROUND(AVERAGE(D18:D18)/100,4))</f>
        <v>9.7000000000000003E-3</v>
      </c>
      <c r="Z18" s="2925">
        <f>IF(E18=0,0,ROUND(AVERAGE(E18:E18)/100,4))</f>
        <v>1.6000000000000001E-3</v>
      </c>
      <c r="AA18" s="2925">
        <f>IF(F18=0,0,ROUND(AVERAGE(F18:F18)/100,4))</f>
        <v>-2.5000000000000001E-3</v>
      </c>
      <c r="AB18" s="2925">
        <f>IF(G18=0,0,ROUND(AVERAGE(G18:G18)/100,4))</f>
        <v>1.11E-2</v>
      </c>
      <c r="AC18" s="2925">
        <f>IF(H18=0,0,ROUND(AVERAGE(H18:H18)/100,4))</f>
        <v>3.5999999999999999E-3</v>
      </c>
      <c r="AD18" s="2925">
        <f>AA18</f>
        <v>-2.5000000000000001E-3</v>
      </c>
    </row>
    <row r="19" spans="1:30" ht="14.25" thickTop="1"/>
    <row r="20" spans="1:30">
      <c r="A20" s="3142" t="s">
        <v>3369</v>
      </c>
    </row>
    <row r="21" spans="1:30">
      <c r="I21" s="1404" t="s">
        <v>2828</v>
      </c>
    </row>
    <row r="23" spans="1:30" s="2007" customFormat="1" ht="12.75">
      <c r="B23" s="2928" t="s">
        <v>3376</v>
      </c>
      <c r="C23" s="2929"/>
      <c r="D23" s="2929"/>
      <c r="E23" s="2929"/>
      <c r="F23" s="2929"/>
      <c r="G23" s="2929"/>
      <c r="H23" s="2929"/>
      <c r="I23" s="2929"/>
      <c r="J23" s="2895"/>
      <c r="K23" s="2929" t="s">
        <v>2829</v>
      </c>
      <c r="L23" s="2929"/>
      <c r="M23" s="2929"/>
      <c r="N23" s="2929"/>
      <c r="O23" s="2929"/>
      <c r="P23" s="2929"/>
      <c r="Q23" s="2895"/>
      <c r="R23" s="3496" t="s">
        <v>2830</v>
      </c>
      <c r="S23" s="3497"/>
      <c r="T23" s="3497"/>
      <c r="U23" s="3497"/>
      <c r="V23" s="3497"/>
      <c r="W23" s="3497"/>
      <c r="X23" s="2895"/>
      <c r="Y23" s="3496" t="s">
        <v>2831</v>
      </c>
      <c r="Z23" s="3497"/>
      <c r="AA23" s="3497"/>
      <c r="AB23" s="3497"/>
      <c r="AC23" s="3497"/>
      <c r="AD23" s="3497"/>
    </row>
    <row r="24" spans="1:30" s="2008" customFormat="1" ht="14.25" thickBot="1">
      <c r="B24" s="2880"/>
      <c r="C24" s="2881"/>
      <c r="D24" s="2009" t="s">
        <v>2832</v>
      </c>
      <c r="E24" s="2010" t="s">
        <v>2833</v>
      </c>
      <c r="F24" s="2010" t="s">
        <v>2834</v>
      </c>
      <c r="G24" s="2010" t="s">
        <v>2835</v>
      </c>
      <c r="H24" s="2010"/>
      <c r="I24" s="2010" t="s">
        <v>2836</v>
      </c>
      <c r="J24" s="2882"/>
      <c r="K24" s="2009" t="s">
        <v>2832</v>
      </c>
      <c r="L24" s="2010" t="s">
        <v>2833</v>
      </c>
      <c r="M24" s="2010" t="s">
        <v>2834</v>
      </c>
      <c r="N24" s="2010" t="s">
        <v>2835</v>
      </c>
      <c r="O24" s="2010"/>
      <c r="P24" s="2010" t="s">
        <v>2836</v>
      </c>
      <c r="Q24" s="2882"/>
      <c r="R24" s="2009" t="s">
        <v>2832</v>
      </c>
      <c r="S24" s="2010" t="s">
        <v>2833</v>
      </c>
      <c r="T24" s="2010" t="s">
        <v>2834</v>
      </c>
      <c r="U24" s="2010" t="s">
        <v>2835</v>
      </c>
      <c r="V24" s="2010"/>
      <c r="W24" s="2010" t="s">
        <v>2836</v>
      </c>
      <c r="X24" s="2882"/>
      <c r="Y24" s="2009" t="s">
        <v>2832</v>
      </c>
      <c r="Z24" s="2010" t="s">
        <v>2833</v>
      </c>
      <c r="AA24" s="2010" t="s">
        <v>2834</v>
      </c>
      <c r="AB24" s="2010" t="s">
        <v>2835</v>
      </c>
      <c r="AC24" s="2010"/>
      <c r="AD24" s="2010" t="s">
        <v>2836</v>
      </c>
    </row>
    <row r="25" spans="1:30" s="2885" customFormat="1" ht="12.75">
      <c r="A25" s="2883" t="s">
        <v>2837</v>
      </c>
      <c r="B25" s="2884"/>
      <c r="E25" s="2885">
        <f t="shared" ref="E25:G25" si="32">ROUND(AVERAGEIF(E26:E40,"&lt;&gt;0"),2)</f>
        <v>0.39</v>
      </c>
      <c r="F25" s="2885">
        <f t="shared" si="32"/>
        <v>0.28000000000000003</v>
      </c>
      <c r="G25" s="2885">
        <f t="shared" si="32"/>
        <v>0.67</v>
      </c>
      <c r="I25" s="2885">
        <f>F25</f>
        <v>0.28000000000000003</v>
      </c>
      <c r="J25" s="2886"/>
      <c r="K25" s="2887"/>
      <c r="L25" s="2888">
        <f t="shared" ref="L25:N25" si="33">ROUND(AVERAGEIF(L26:L40,"&lt;&gt;0"),4)</f>
        <v>3.8999999999999998E-3</v>
      </c>
      <c r="M25" s="2888">
        <f t="shared" si="33"/>
        <v>2.8E-3</v>
      </c>
      <c r="N25" s="2888">
        <f t="shared" si="33"/>
        <v>6.7000000000000002E-3</v>
      </c>
      <c r="O25" s="2888"/>
      <c r="P25" s="2888">
        <f>M25</f>
        <v>2.8E-3</v>
      </c>
      <c r="Q25" s="2886"/>
      <c r="R25" s="2889"/>
      <c r="S25" s="2890">
        <f>ROUND(SUMPRODUCT(PRODUCT(1+L26:L40)),4)</f>
        <v>1.0476000000000001</v>
      </c>
      <c r="T25" s="2890">
        <f t="shared" ref="T25:U25" si="34">ROUND(SUMPRODUCT(PRODUCT(1+M26:M40)),4)</f>
        <v>1.0346</v>
      </c>
      <c r="U25" s="2890">
        <f t="shared" si="34"/>
        <v>1.0831999999999999</v>
      </c>
      <c r="V25" s="2890"/>
      <c r="W25" s="2889">
        <f>T25</f>
        <v>1.0346</v>
      </c>
      <c r="X25" s="2886"/>
      <c r="Y25" s="2891"/>
      <c r="Z25" s="2892">
        <f t="shared" ref="Z25:AB25" si="35">ROUND(AVERAGEIF(Z26:Z40,"&lt;&gt;0"),4)</f>
        <v>4.3E-3</v>
      </c>
      <c r="AA25" s="2893">
        <f t="shared" si="35"/>
        <v>3.5999999999999999E-3</v>
      </c>
      <c r="AB25" s="2891">
        <f t="shared" si="35"/>
        <v>8.8999999999999999E-3</v>
      </c>
      <c r="AC25" s="2894"/>
      <c r="AD25" s="2891">
        <f>AA25</f>
        <v>3.5999999999999999E-3</v>
      </c>
    </row>
    <row r="26" spans="1:30" s="2007" customFormat="1" ht="12.75">
      <c r="B26" s="2023"/>
      <c r="J26" s="2895"/>
      <c r="K26" s="2896"/>
      <c r="L26" s="2897"/>
      <c r="M26" s="2897"/>
      <c r="N26" s="2897"/>
      <c r="O26" s="2897"/>
      <c r="P26" s="2897"/>
      <c r="Q26" s="2895"/>
      <c r="R26" s="2025"/>
      <c r="S26" s="2898"/>
      <c r="T26" s="2899"/>
      <c r="U26" s="2025"/>
      <c r="V26" s="2900"/>
      <c r="W26" s="2025"/>
      <c r="X26" s="2895"/>
      <c r="Y26" s="2026"/>
      <c r="Z26" s="2901"/>
      <c r="AA26" s="2902"/>
      <c r="AB26" s="2026"/>
      <c r="AC26" s="2903"/>
      <c r="AD26" s="2026"/>
    </row>
    <row r="27" spans="1:30" s="2043" customFormat="1" ht="12.75">
      <c r="A27" s="2038" t="s">
        <v>3379</v>
      </c>
      <c r="B27" s="2029">
        <v>2023</v>
      </c>
      <c r="C27" s="2040">
        <v>4</v>
      </c>
      <c r="D27" s="2005"/>
      <c r="E27" s="2005">
        <v>0</v>
      </c>
      <c r="F27" s="2005">
        <v>0</v>
      </c>
      <c r="G27" s="2005">
        <v>0</v>
      </c>
      <c r="H27" s="2005"/>
      <c r="I27" s="2006">
        <f t="shared" ref="I27:I40" si="36">F27</f>
        <v>0</v>
      </c>
      <c r="J27" s="2905"/>
      <c r="K27" s="2041"/>
      <c r="L27" s="2026">
        <f t="shared" ref="L27:N40" si="37">E27/100</f>
        <v>0</v>
      </c>
      <c r="M27" s="2026">
        <f t="shared" si="37"/>
        <v>0</v>
      </c>
      <c r="N27" s="2026">
        <f t="shared" si="37"/>
        <v>0</v>
      </c>
      <c r="O27" s="2026"/>
      <c r="P27" s="2026">
        <f>M27</f>
        <v>0</v>
      </c>
      <c r="Q27" s="2905"/>
      <c r="R27" s="2025"/>
      <c r="S27" s="2025">
        <f>ROUND(IF(项目基本情况!$B$8="出让",SUMPRODUCT(PRODUCT(1+L27:L$40)),SUMPRODUCT(PRODUCT(1+L27:L$39))),4)</f>
        <v>1.0439000000000001</v>
      </c>
      <c r="T27" s="2025">
        <f>ROUND(IF(项目基本情况!$B$8="出让",SUMPRODUCT(PRODUCT(1+M27:M$40)),SUMPRODUCT(PRODUCT(1+M27:M$39))),4)</f>
        <v>1.0297000000000001</v>
      </c>
      <c r="U27" s="2025">
        <f>ROUND(IF(项目基本情况!$B$8="出让",SUMPRODUCT(PRODUCT(1+N27:N$40)),SUMPRODUCT(PRODUCT(1+N27:N$39))),4)</f>
        <v>1.0727</v>
      </c>
      <c r="V27" s="2025"/>
      <c r="W27" s="2025">
        <f>T27</f>
        <v>1.0297000000000001</v>
      </c>
      <c r="X27" s="2905"/>
      <c r="Y27" s="2026"/>
      <c r="Z27" s="2901">
        <f>IF(E27=0,0,ROUND(AVERAGE(E27:E40)/100,4))</f>
        <v>0</v>
      </c>
      <c r="AA27" s="2901">
        <f>IF(F27=0,0,ROUND(AVERAGE(F27:F40)/100,4))</f>
        <v>0</v>
      </c>
      <c r="AB27" s="2901">
        <f>IF(G27=0,0,ROUND(AVERAGE(G27:G40)/100,4))</f>
        <v>0</v>
      </c>
      <c r="AC27" s="2903"/>
      <c r="AD27" s="2026">
        <f>IF(I27=0,0,ROUND(AVERAGE(I27:I40)/100,4))</f>
        <v>0</v>
      </c>
    </row>
    <row r="28" spans="1:30" s="2043" customFormat="1" ht="12.75">
      <c r="A28" s="2038" t="s">
        <v>3380</v>
      </c>
      <c r="B28" s="2029">
        <v>2023</v>
      </c>
      <c r="C28" s="2040">
        <v>3</v>
      </c>
      <c r="D28" s="2005"/>
      <c r="E28" s="2005">
        <v>0</v>
      </c>
      <c r="F28" s="2005">
        <v>0</v>
      </c>
      <c r="G28" s="2005">
        <v>0</v>
      </c>
      <c r="H28" s="2005"/>
      <c r="I28" s="2006">
        <f t="shared" ref="I28:I29" si="38">F28</f>
        <v>0</v>
      </c>
      <c r="J28" s="2905"/>
      <c r="K28" s="2041"/>
      <c r="L28" s="2026">
        <f t="shared" ref="L28" si="39">E28/100</f>
        <v>0</v>
      </c>
      <c r="M28" s="2026">
        <f t="shared" ref="M28" si="40">F28/100</f>
        <v>0</v>
      </c>
      <c r="N28" s="2026">
        <f t="shared" ref="N28" si="41">G28/100</f>
        <v>0</v>
      </c>
      <c r="O28" s="2026"/>
      <c r="P28" s="2026">
        <f t="shared" ref="P28" si="42">M28</f>
        <v>0</v>
      </c>
      <c r="Q28" s="2905"/>
      <c r="R28" s="2025"/>
      <c r="S28" s="2025">
        <f>ROUND(IF(项目基本情况!$B$8="出让",SUMPRODUCT(PRODUCT(1+L28:L$40)),SUMPRODUCT(PRODUCT(1+L28:L$39))),4)</f>
        <v>1.0439000000000001</v>
      </c>
      <c r="T28" s="2025">
        <f>ROUND(IF(项目基本情况!$B$8="出让",SUMPRODUCT(PRODUCT(1+M28:M$40)),SUMPRODUCT(PRODUCT(1+M28:M$39))),4)</f>
        <v>1.0297000000000001</v>
      </c>
      <c r="U28" s="2025">
        <f>ROUND(IF(项目基本情况!$B$8="出让",SUMPRODUCT(PRODUCT(1+N28:N$40)),SUMPRODUCT(PRODUCT(1+N28:N$39))),4)</f>
        <v>1.0727</v>
      </c>
      <c r="V28" s="2025"/>
      <c r="W28" s="2025">
        <f t="shared" ref="W28" si="43">T28</f>
        <v>1.0297000000000001</v>
      </c>
      <c r="X28" s="2905"/>
      <c r="Y28" s="2026"/>
      <c r="Z28" s="2901"/>
      <c r="AA28" s="2902"/>
      <c r="AB28" s="2026"/>
      <c r="AC28" s="2903"/>
      <c r="AD28" s="2026"/>
    </row>
    <row r="29" spans="1:30" s="2043" customFormat="1" ht="12.75">
      <c r="A29" s="2038" t="s">
        <v>3381</v>
      </c>
      <c r="B29" s="2029">
        <v>2023</v>
      </c>
      <c r="C29" s="2040">
        <v>3</v>
      </c>
      <c r="D29" s="2005"/>
      <c r="E29" s="2005">
        <v>7.0000000000000007E-2</v>
      </c>
      <c r="F29" s="2005">
        <v>0.09</v>
      </c>
      <c r="G29" s="2005">
        <v>0.03</v>
      </c>
      <c r="H29" s="2005"/>
      <c r="I29" s="2006">
        <f t="shared" si="38"/>
        <v>0.09</v>
      </c>
      <c r="J29" s="2905"/>
      <c r="K29" s="2041"/>
      <c r="L29" s="2026">
        <f t="shared" si="37"/>
        <v>7.000000000000001E-4</v>
      </c>
      <c r="M29" s="2026">
        <f t="shared" si="37"/>
        <v>8.9999999999999998E-4</v>
      </c>
      <c r="N29" s="2026">
        <f t="shared" si="37"/>
        <v>2.9999999999999997E-4</v>
      </c>
      <c r="O29" s="2026"/>
      <c r="P29" s="2026">
        <f t="shared" ref="P29" si="44">M29</f>
        <v>8.9999999999999998E-4</v>
      </c>
      <c r="Q29" s="2905"/>
      <c r="R29" s="2025"/>
      <c r="S29" s="2025">
        <f>ROUND(IF(项目基本情况!$B$8="出让",SUMPRODUCT(PRODUCT(1+L29:L$40)),SUMPRODUCT(PRODUCT(1+L29:L$39))),4)</f>
        <v>1.0439000000000001</v>
      </c>
      <c r="T29" s="2025">
        <f>ROUND(IF(项目基本情况!$B$8="出让",SUMPRODUCT(PRODUCT(1+M29:M$40)),SUMPRODUCT(PRODUCT(1+M29:M$39))),4)</f>
        <v>1.0297000000000001</v>
      </c>
      <c r="U29" s="2025">
        <f>ROUND(IF(项目基本情况!$B$8="出让",SUMPRODUCT(PRODUCT(1+N29:N$40)),SUMPRODUCT(PRODUCT(1+N29:N$39))),4)</f>
        <v>1.0727</v>
      </c>
      <c r="V29" s="2025"/>
      <c r="W29" s="2025">
        <f t="shared" ref="W29" si="45">T29</f>
        <v>1.0297000000000001</v>
      </c>
      <c r="X29" s="2905"/>
      <c r="Y29" s="2026"/>
      <c r="Z29" s="2901"/>
      <c r="AA29" s="2902"/>
      <c r="AB29" s="2026"/>
      <c r="AC29" s="2903"/>
      <c r="AD29" s="2026"/>
    </row>
    <row r="30" spans="1:30" s="2915" customFormat="1" ht="12.75">
      <c r="A30" s="2906" t="s">
        <v>3377</v>
      </c>
      <c r="B30" s="2907">
        <v>2023</v>
      </c>
      <c r="C30" s="2908">
        <v>3</v>
      </c>
      <c r="D30" s="2909"/>
      <c r="E30" s="2909">
        <v>0.35</v>
      </c>
      <c r="F30" s="2909">
        <v>0.17</v>
      </c>
      <c r="G30" s="2909">
        <v>0.52</v>
      </c>
      <c r="H30" s="2910"/>
      <c r="I30" s="2911">
        <f t="shared" si="36"/>
        <v>0.17</v>
      </c>
      <c r="J30" s="2912"/>
      <c r="K30" s="2913"/>
      <c r="L30" s="2914">
        <f t="shared" ref="L30:L32" si="46">E30/100</f>
        <v>3.4999999999999996E-3</v>
      </c>
      <c r="M30" s="2914">
        <f t="shared" ref="M30:M32" si="47">F30/100</f>
        <v>1.7000000000000001E-3</v>
      </c>
      <c r="N30" s="2914">
        <f t="shared" ref="N30:N32" si="48">G30/100</f>
        <v>5.1999999999999998E-3</v>
      </c>
      <c r="O30" s="2914"/>
      <c r="P30" s="2914">
        <f t="shared" ref="P30:P32" si="49">M30</f>
        <v>1.7000000000000001E-3</v>
      </c>
      <c r="Q30" s="2912"/>
      <c r="R30" s="2912"/>
      <c r="S30" s="2912">
        <f>ROUND(IF(项目基本情况!$B$8="出让",SUMPRODUCT(PRODUCT(1+L30:L$40)),SUMPRODUCT(PRODUCT(1+L30:L$39))),4)</f>
        <v>1.0431999999999999</v>
      </c>
      <c r="T30" s="2912">
        <f>ROUND(IF(项目基本情况!$B$8="出让",SUMPRODUCT(PRODUCT(1+M30:M$40)),SUMPRODUCT(PRODUCT(1+M30:M$39))),4)</f>
        <v>1.0286999999999999</v>
      </c>
      <c r="U30" s="2912">
        <f>ROUND(IF(项目基本情况!$B$8="出让",SUMPRODUCT(PRODUCT(1+N30:N$40)),SUMPRODUCT(PRODUCT(1+N30:N$39))),4)</f>
        <v>1.0723</v>
      </c>
      <c r="V30" s="2912"/>
      <c r="W30" s="2912">
        <f t="shared" ref="W30:W32" si="50">T30</f>
        <v>1.0286999999999999</v>
      </c>
      <c r="X30" s="2912"/>
      <c r="Y30" s="2914"/>
      <c r="Z30" s="2930"/>
      <c r="AA30" s="2931"/>
      <c r="AB30" s="2914"/>
      <c r="AC30" s="2932"/>
      <c r="AD30" s="2914"/>
    </row>
    <row r="31" spans="1:30" s="2043" customFormat="1" ht="12.75">
      <c r="A31" s="2904" t="s">
        <v>3378</v>
      </c>
      <c r="B31" s="2029">
        <v>2023</v>
      </c>
      <c r="C31" s="2040">
        <v>2</v>
      </c>
      <c r="D31" s="2005"/>
      <c r="E31" s="2005">
        <v>0.5</v>
      </c>
      <c r="F31" s="2005">
        <v>0.45</v>
      </c>
      <c r="G31" s="2005">
        <v>0.89</v>
      </c>
      <c r="H31" s="2916"/>
      <c r="I31" s="2006">
        <f t="shared" si="36"/>
        <v>0.45</v>
      </c>
      <c r="J31" s="2905"/>
      <c r="K31" s="2041"/>
      <c r="L31" s="2026">
        <f t="shared" si="46"/>
        <v>5.0000000000000001E-3</v>
      </c>
      <c r="M31" s="2026">
        <f t="shared" si="47"/>
        <v>4.5000000000000005E-3</v>
      </c>
      <c r="N31" s="2026">
        <f t="shared" si="48"/>
        <v>8.8999999999999999E-3</v>
      </c>
      <c r="O31" s="2026"/>
      <c r="P31" s="2026">
        <f t="shared" si="49"/>
        <v>4.5000000000000005E-3</v>
      </c>
      <c r="Q31" s="2905"/>
      <c r="R31" s="2025"/>
      <c r="S31" s="2025">
        <f>ROUND(IF(项目基本情况!$B$8="出让",SUMPRODUCT(PRODUCT(1+L31:L$40)),SUMPRODUCT(PRODUCT(1+L31:L$39))),4)</f>
        <v>1.0396000000000001</v>
      </c>
      <c r="T31" s="2025">
        <f>ROUND(IF(项目基本情况!$B$8="出让",SUMPRODUCT(PRODUCT(1+M31:M$40)),SUMPRODUCT(PRODUCT(1+M31:M$39))),4)</f>
        <v>1.0269999999999999</v>
      </c>
      <c r="U31" s="2025">
        <f>ROUND(IF(项目基本情况!$B$8="出让",SUMPRODUCT(PRODUCT(1+N31:N$40)),SUMPRODUCT(PRODUCT(1+N31:N$39))),4)</f>
        <v>1.0668</v>
      </c>
      <c r="V31" s="2025"/>
      <c r="W31" s="2025">
        <f t="shared" si="50"/>
        <v>1.0269999999999999</v>
      </c>
      <c r="X31" s="2905"/>
      <c r="Y31" s="2026"/>
      <c r="Z31" s="2901"/>
      <c r="AA31" s="2902"/>
      <c r="AB31" s="2026"/>
      <c r="AC31" s="2903"/>
      <c r="AD31" s="2026"/>
    </row>
    <row r="32" spans="1:30" s="2043" customFormat="1" ht="12.75">
      <c r="A32" s="2904" t="s">
        <v>3372</v>
      </c>
      <c r="B32" s="2029">
        <v>2023</v>
      </c>
      <c r="C32" s="2040">
        <v>1</v>
      </c>
      <c r="D32" s="2005"/>
      <c r="E32" s="2005">
        <v>0.55000000000000004</v>
      </c>
      <c r="F32" s="2005">
        <v>0.59</v>
      </c>
      <c r="G32" s="2005">
        <v>0.64</v>
      </c>
      <c r="H32" s="2916"/>
      <c r="I32" s="2006">
        <f t="shared" si="36"/>
        <v>0.59</v>
      </c>
      <c r="J32" s="2905"/>
      <c r="K32" s="2041"/>
      <c r="L32" s="2026">
        <f t="shared" si="46"/>
        <v>5.5000000000000005E-3</v>
      </c>
      <c r="M32" s="2026">
        <f t="shared" si="47"/>
        <v>5.8999999999999999E-3</v>
      </c>
      <c r="N32" s="2026">
        <f t="shared" si="48"/>
        <v>6.4000000000000003E-3</v>
      </c>
      <c r="O32" s="2026"/>
      <c r="P32" s="2026">
        <f t="shared" si="49"/>
        <v>5.8999999999999999E-3</v>
      </c>
      <c r="Q32" s="2905"/>
      <c r="R32" s="2025"/>
      <c r="S32" s="2025">
        <f>ROUND(IF(项目基本情况!$B$8="出让",SUMPRODUCT(PRODUCT(1+L32:L$40)),SUMPRODUCT(PRODUCT(1+L32:L$39))),4)</f>
        <v>1.0344</v>
      </c>
      <c r="T32" s="2025">
        <f>ROUND(IF(项目基本情况!$B$8="出让",SUMPRODUCT(PRODUCT(1+M32:M$40)),SUMPRODUCT(PRODUCT(1+M32:M$39))),4)</f>
        <v>1.0224</v>
      </c>
      <c r="U32" s="2025">
        <f>ROUND(IF(项目基本情况!$B$8="出让",SUMPRODUCT(PRODUCT(1+N32:N$40)),SUMPRODUCT(PRODUCT(1+N32:N$39))),4)</f>
        <v>1.0573999999999999</v>
      </c>
      <c r="V32" s="2025"/>
      <c r="W32" s="2025">
        <f t="shared" si="50"/>
        <v>1.0224</v>
      </c>
      <c r="X32" s="2905"/>
      <c r="Y32" s="2026"/>
      <c r="Z32" s="2901"/>
      <c r="AA32" s="2902"/>
      <c r="AB32" s="2026"/>
      <c r="AC32" s="2903"/>
      <c r="AD32" s="2026"/>
    </row>
    <row r="33" spans="1:30" s="2043" customFormat="1" ht="12.75">
      <c r="A33" s="2904" t="s">
        <v>3371</v>
      </c>
      <c r="B33" s="2029">
        <v>2022</v>
      </c>
      <c r="C33" s="2040">
        <v>4</v>
      </c>
      <c r="D33" s="2005"/>
      <c r="E33" s="2005">
        <v>0.45</v>
      </c>
      <c r="F33" s="2005">
        <v>0.2</v>
      </c>
      <c r="G33" s="2005">
        <v>0.38</v>
      </c>
      <c r="H33" s="2916"/>
      <c r="I33" s="2006">
        <f t="shared" si="36"/>
        <v>0.2</v>
      </c>
      <c r="J33" s="2905"/>
      <c r="K33" s="2041"/>
      <c r="L33" s="2026">
        <f t="shared" si="37"/>
        <v>4.5000000000000005E-3</v>
      </c>
      <c r="M33" s="2026">
        <f t="shared" si="37"/>
        <v>2E-3</v>
      </c>
      <c r="N33" s="2026">
        <f t="shared" si="37"/>
        <v>3.8E-3</v>
      </c>
      <c r="O33" s="2026"/>
      <c r="P33" s="2026">
        <f t="shared" ref="P33:P40" si="51">M33</f>
        <v>2E-3</v>
      </c>
      <c r="Q33" s="2905"/>
      <c r="R33" s="2025"/>
      <c r="S33" s="2025">
        <f>ROUND(IF(项目基本情况!$B$8="出让",SUMPRODUCT(PRODUCT(1+L33:L$40)),SUMPRODUCT(PRODUCT(1+L33:L$39))),4)</f>
        <v>1.0286999999999999</v>
      </c>
      <c r="T33" s="2025">
        <f>ROUND(IF(项目基本情况!$B$8="出让",SUMPRODUCT(PRODUCT(1+M33:M$40)),SUMPRODUCT(PRODUCT(1+M33:M$39))),4)</f>
        <v>1.0164</v>
      </c>
      <c r="U33" s="2025">
        <f>ROUND(IF(项目基本情况!$B$8="出让",SUMPRODUCT(PRODUCT(1+N33:N$40)),SUMPRODUCT(PRODUCT(1+N33:N$39))),4)</f>
        <v>1.0506</v>
      </c>
      <c r="V33" s="2025"/>
      <c r="W33" s="2025">
        <f t="shared" ref="W33:W40" si="52">T33</f>
        <v>1.0164</v>
      </c>
      <c r="X33" s="2905"/>
      <c r="Y33" s="2026"/>
      <c r="Z33" s="2901">
        <f t="shared" ref="Z33:AD40" si="53">IF(E33=0,0,ROUND(AVERAGE(E33:E41)/100,4))</f>
        <v>4.0000000000000001E-3</v>
      </c>
      <c r="AA33" s="2902">
        <f t="shared" si="53"/>
        <v>2.5999999999999999E-3</v>
      </c>
      <c r="AB33" s="2026">
        <f t="shared" si="53"/>
        <v>7.4000000000000003E-3</v>
      </c>
      <c r="AC33" s="2903"/>
      <c r="AD33" s="2026">
        <f t="shared" si="53"/>
        <v>2.5999999999999999E-3</v>
      </c>
    </row>
    <row r="34" spans="1:30" s="2043" customFormat="1" ht="12.75">
      <c r="A34" s="2904" t="s">
        <v>3368</v>
      </c>
      <c r="B34" s="2029">
        <v>2022</v>
      </c>
      <c r="C34" s="2040">
        <v>3</v>
      </c>
      <c r="D34" s="2005"/>
      <c r="E34" s="2005">
        <v>0.3</v>
      </c>
      <c r="F34" s="2005">
        <v>0.28999999999999998</v>
      </c>
      <c r="G34" s="2005">
        <v>0.83</v>
      </c>
      <c r="H34" s="2916"/>
      <c r="I34" s="2006">
        <f t="shared" si="36"/>
        <v>0.28999999999999998</v>
      </c>
      <c r="J34" s="2905"/>
      <c r="K34" s="2041"/>
      <c r="L34" s="2026">
        <f t="shared" si="37"/>
        <v>3.0000000000000001E-3</v>
      </c>
      <c r="M34" s="2026">
        <f t="shared" si="37"/>
        <v>2.8999999999999998E-3</v>
      </c>
      <c r="N34" s="2026">
        <f t="shared" si="37"/>
        <v>8.3000000000000001E-3</v>
      </c>
      <c r="O34" s="2026"/>
      <c r="P34" s="2026">
        <f t="shared" si="51"/>
        <v>2.8999999999999998E-3</v>
      </c>
      <c r="Q34" s="2905"/>
      <c r="R34" s="2025"/>
      <c r="S34" s="2025">
        <f>ROUND(IF(项目基本情况!$B$8="出让",SUMPRODUCT(PRODUCT(1+L34:L$40)),SUMPRODUCT(PRODUCT(1+L34:L$39))),4)</f>
        <v>1.0241</v>
      </c>
      <c r="T34" s="2025">
        <f>ROUND(IF(项目基本情况!$B$8="出让",SUMPRODUCT(PRODUCT(1+M34:M$40)),SUMPRODUCT(PRODUCT(1+M34:M$39))),4)</f>
        <v>1.0144</v>
      </c>
      <c r="U34" s="2025">
        <f>ROUND(IF(项目基本情况!$B$8="出让",SUMPRODUCT(PRODUCT(1+N34:N$40)),SUMPRODUCT(PRODUCT(1+N34:N$39))),4)</f>
        <v>1.0467</v>
      </c>
      <c r="V34" s="2025"/>
      <c r="W34" s="2025">
        <f t="shared" si="52"/>
        <v>1.0144</v>
      </c>
      <c r="X34" s="2905"/>
      <c r="Y34" s="2026"/>
      <c r="Z34" s="2901">
        <f t="shared" si="53"/>
        <v>3.8999999999999998E-3</v>
      </c>
      <c r="AA34" s="2902">
        <f t="shared" si="53"/>
        <v>2.7000000000000001E-3</v>
      </c>
      <c r="AB34" s="2026">
        <f t="shared" si="53"/>
        <v>7.9000000000000008E-3</v>
      </c>
      <c r="AC34" s="2903"/>
      <c r="AD34" s="2026">
        <f t="shared" si="53"/>
        <v>2.7000000000000001E-3</v>
      </c>
    </row>
    <row r="35" spans="1:30" s="2043" customFormat="1" ht="12.75">
      <c r="A35" s="2904" t="s">
        <v>3358</v>
      </c>
      <c r="B35" s="2029">
        <v>2022</v>
      </c>
      <c r="C35" s="2040">
        <v>2</v>
      </c>
      <c r="D35" s="2005"/>
      <c r="E35" s="2005">
        <v>-0.11</v>
      </c>
      <c r="F35" s="2005">
        <v>-0.13</v>
      </c>
      <c r="G35" s="2005">
        <v>0.53</v>
      </c>
      <c r="H35" s="2916"/>
      <c r="I35" s="2006">
        <f t="shared" si="36"/>
        <v>-0.13</v>
      </c>
      <c r="J35" s="2905"/>
      <c r="K35" s="2041"/>
      <c r="L35" s="2026">
        <f t="shared" si="37"/>
        <v>-1.1000000000000001E-3</v>
      </c>
      <c r="M35" s="2026">
        <f t="shared" si="37"/>
        <v>-1.2999999999999999E-3</v>
      </c>
      <c r="N35" s="2026">
        <f t="shared" si="37"/>
        <v>5.3E-3</v>
      </c>
      <c r="O35" s="2026"/>
      <c r="P35" s="2026">
        <f t="shared" si="51"/>
        <v>-1.2999999999999999E-3</v>
      </c>
      <c r="Q35" s="2905"/>
      <c r="R35" s="2025"/>
      <c r="S35" s="2025">
        <f>ROUND(IF(项目基本情况!$B$8="出让",SUMPRODUCT(PRODUCT(1+L35:L$40)),SUMPRODUCT(PRODUCT(1+L35:L$39))),4)</f>
        <v>1.0210999999999999</v>
      </c>
      <c r="T35" s="2025">
        <f>ROUND(IF(项目基本情况!$B$8="出让",SUMPRODUCT(PRODUCT(1+M35:M$40)),SUMPRODUCT(PRODUCT(1+M35:M$39))),4)</f>
        <v>1.0114000000000001</v>
      </c>
      <c r="U35" s="2025">
        <f>ROUND(IF(项目基本情况!$B$8="出让",SUMPRODUCT(PRODUCT(1+N35:N$40)),SUMPRODUCT(PRODUCT(1+N35:N$39))),4)</f>
        <v>1.0381</v>
      </c>
      <c r="V35" s="2025"/>
      <c r="W35" s="2025">
        <f t="shared" si="52"/>
        <v>1.0114000000000001</v>
      </c>
      <c r="X35" s="2905"/>
      <c r="Y35" s="2026"/>
      <c r="Z35" s="2901">
        <f t="shared" si="53"/>
        <v>4.1000000000000003E-3</v>
      </c>
      <c r="AA35" s="2902">
        <f t="shared" si="53"/>
        <v>2.7000000000000001E-3</v>
      </c>
      <c r="AB35" s="2026">
        <f t="shared" si="53"/>
        <v>7.9000000000000008E-3</v>
      </c>
      <c r="AC35" s="2903"/>
      <c r="AD35" s="2026">
        <f t="shared" si="53"/>
        <v>2.7000000000000001E-3</v>
      </c>
    </row>
    <row r="36" spans="1:30" s="2043" customFormat="1" ht="12.75">
      <c r="A36" s="2904" t="s">
        <v>2838</v>
      </c>
      <c r="B36" s="2029">
        <v>2022</v>
      </c>
      <c r="C36" s="2040">
        <v>1</v>
      </c>
      <c r="D36" s="2005"/>
      <c r="E36" s="2005">
        <v>0.6</v>
      </c>
      <c r="F36" s="2005">
        <v>0.45</v>
      </c>
      <c r="G36" s="2005">
        <v>0.53</v>
      </c>
      <c r="H36" s="2916"/>
      <c r="I36" s="2006">
        <f t="shared" si="36"/>
        <v>0.45</v>
      </c>
      <c r="J36" s="2905"/>
      <c r="K36" s="2041"/>
      <c r="L36" s="2026">
        <f t="shared" si="37"/>
        <v>6.0000000000000001E-3</v>
      </c>
      <c r="M36" s="2026">
        <f t="shared" si="37"/>
        <v>4.5000000000000005E-3</v>
      </c>
      <c r="N36" s="2026">
        <f t="shared" si="37"/>
        <v>5.3E-3</v>
      </c>
      <c r="O36" s="2026"/>
      <c r="P36" s="2026">
        <f t="shared" si="51"/>
        <v>4.5000000000000005E-3</v>
      </c>
      <c r="Q36" s="2905"/>
      <c r="R36" s="2025"/>
      <c r="S36" s="2025">
        <f>ROUND(IF(项目基本情况!$B$8="出让",SUMPRODUCT(PRODUCT(1+L36:L$40)),SUMPRODUCT(PRODUCT(1+L36:L$39))),4)</f>
        <v>1.0222</v>
      </c>
      <c r="T36" s="2025">
        <f>ROUND(IF(项目基本情况!$B$8="出让",SUMPRODUCT(PRODUCT(1+M36:M$40)),SUMPRODUCT(PRODUCT(1+M36:M$39))),4)</f>
        <v>1.0127999999999999</v>
      </c>
      <c r="U36" s="2025">
        <f>ROUND(IF(项目基本情况!$B$8="出让",SUMPRODUCT(PRODUCT(1+N36:N$40)),SUMPRODUCT(PRODUCT(1+N36:N$39))),4)</f>
        <v>1.0326</v>
      </c>
      <c r="V36" s="2025"/>
      <c r="W36" s="2025">
        <f t="shared" si="52"/>
        <v>1.0127999999999999</v>
      </c>
      <c r="X36" s="2905"/>
      <c r="Y36" s="2026"/>
      <c r="Z36" s="2901">
        <f t="shared" si="53"/>
        <v>5.1000000000000004E-3</v>
      </c>
      <c r="AA36" s="2902">
        <f t="shared" si="53"/>
        <v>3.5000000000000001E-3</v>
      </c>
      <c r="AB36" s="2026">
        <f t="shared" si="53"/>
        <v>8.3999999999999995E-3</v>
      </c>
      <c r="AC36" s="2903"/>
      <c r="AD36" s="2026">
        <f t="shared" si="53"/>
        <v>3.5000000000000001E-3</v>
      </c>
    </row>
    <row r="37" spans="1:30" s="2043" customFormat="1" ht="12.75">
      <c r="A37" s="2904" t="s">
        <v>2839</v>
      </c>
      <c r="B37" s="2029">
        <v>2021</v>
      </c>
      <c r="C37" s="2040">
        <v>4</v>
      </c>
      <c r="D37" s="2005"/>
      <c r="E37" s="2005">
        <v>0.57999999999999996</v>
      </c>
      <c r="F37" s="2005">
        <v>0.08</v>
      </c>
      <c r="G37" s="2005">
        <v>0.68</v>
      </c>
      <c r="H37" s="2916"/>
      <c r="I37" s="2006">
        <f t="shared" si="36"/>
        <v>0.08</v>
      </c>
      <c r="J37" s="2905"/>
      <c r="K37" s="2041"/>
      <c r="L37" s="2026">
        <f t="shared" si="37"/>
        <v>5.7999999999999996E-3</v>
      </c>
      <c r="M37" s="2026">
        <f t="shared" si="37"/>
        <v>8.0000000000000004E-4</v>
      </c>
      <c r="N37" s="2026">
        <f t="shared" si="37"/>
        <v>6.8000000000000005E-3</v>
      </c>
      <c r="O37" s="2026"/>
      <c r="P37" s="2026">
        <f t="shared" si="51"/>
        <v>8.0000000000000004E-4</v>
      </c>
      <c r="Q37" s="2905"/>
      <c r="R37" s="2025"/>
      <c r="S37" s="2025">
        <f>ROUND(IF(项目基本情况!$B$8="出让",SUMPRODUCT(PRODUCT(1+L37:L$40)),SUMPRODUCT(PRODUCT(1+L37:L$39))),4)</f>
        <v>1.0161</v>
      </c>
      <c r="T37" s="2025">
        <f>ROUND(IF(项目基本情况!$B$8="出让",SUMPRODUCT(PRODUCT(1+M37:M$40)),SUMPRODUCT(PRODUCT(1+M37:M$39))),4)</f>
        <v>1.0082</v>
      </c>
      <c r="U37" s="2025">
        <f>ROUND(IF(项目基本情况!$B$8="出让",SUMPRODUCT(PRODUCT(1+N37:N$40)),SUMPRODUCT(PRODUCT(1+N37:N$39))),4)</f>
        <v>1.0270999999999999</v>
      </c>
      <c r="V37" s="2025"/>
      <c r="W37" s="2025">
        <f t="shared" si="52"/>
        <v>1.0082</v>
      </c>
      <c r="X37" s="2905"/>
      <c r="Y37" s="2026"/>
      <c r="Z37" s="2901">
        <f t="shared" si="53"/>
        <v>4.8999999999999998E-3</v>
      </c>
      <c r="AA37" s="2902">
        <f t="shared" si="53"/>
        <v>3.3E-3</v>
      </c>
      <c r="AB37" s="2026">
        <f t="shared" si="53"/>
        <v>9.1999999999999998E-3</v>
      </c>
      <c r="AC37" s="2903"/>
      <c r="AD37" s="2026">
        <f t="shared" si="53"/>
        <v>3.3E-3</v>
      </c>
    </row>
    <row r="38" spans="1:30" s="2043" customFormat="1" ht="12.75">
      <c r="A38" s="2904" t="s">
        <v>2840</v>
      </c>
      <c r="B38" s="2029">
        <v>2021</v>
      </c>
      <c r="C38" s="2040">
        <v>3</v>
      </c>
      <c r="D38" s="2005"/>
      <c r="E38" s="2005">
        <v>0.47</v>
      </c>
      <c r="F38" s="2005">
        <v>0.28000000000000003</v>
      </c>
      <c r="G38" s="2005">
        <v>0.91</v>
      </c>
      <c r="H38" s="2916"/>
      <c r="I38" s="2006">
        <f t="shared" si="36"/>
        <v>0.28000000000000003</v>
      </c>
      <c r="J38" s="2905"/>
      <c r="K38" s="2041"/>
      <c r="L38" s="2026">
        <f t="shared" si="37"/>
        <v>4.6999999999999993E-3</v>
      </c>
      <c r="M38" s="2026">
        <f t="shared" si="37"/>
        <v>2.8000000000000004E-3</v>
      </c>
      <c r="N38" s="2026">
        <f t="shared" si="37"/>
        <v>9.1000000000000004E-3</v>
      </c>
      <c r="O38" s="2026"/>
      <c r="P38" s="2026">
        <f t="shared" si="51"/>
        <v>2.8000000000000004E-3</v>
      </c>
      <c r="Q38" s="2905"/>
      <c r="R38" s="2025"/>
      <c r="S38" s="2025">
        <f>ROUND(IF(项目基本情况!$B$8="出让",SUMPRODUCT(PRODUCT(1+L38:L$40)),SUMPRODUCT(PRODUCT(1+L38:L$39))),4)</f>
        <v>1.0102</v>
      </c>
      <c r="T38" s="2025">
        <f>ROUND(IF(项目基本情况!$B$8="出让",SUMPRODUCT(PRODUCT(1+M38:M$40)),SUMPRODUCT(PRODUCT(1+M38:M$39))),4)</f>
        <v>1.0074000000000001</v>
      </c>
      <c r="U38" s="2025">
        <f>ROUND(IF(项目基本情况!$B$8="出让",SUMPRODUCT(PRODUCT(1+N38:N$40)),SUMPRODUCT(PRODUCT(1+N38:N$39))),4)</f>
        <v>1.0202</v>
      </c>
      <c r="V38" s="2025"/>
      <c r="W38" s="2025">
        <f t="shared" si="52"/>
        <v>1.0074000000000001</v>
      </c>
      <c r="X38" s="2905"/>
      <c r="Y38" s="2026"/>
      <c r="Z38" s="2901">
        <f t="shared" si="53"/>
        <v>4.5999999999999999E-3</v>
      </c>
      <c r="AA38" s="2902">
        <f t="shared" si="53"/>
        <v>4.1000000000000003E-3</v>
      </c>
      <c r="AB38" s="2026">
        <f t="shared" si="53"/>
        <v>0.01</v>
      </c>
      <c r="AC38" s="2903"/>
      <c r="AD38" s="2026">
        <f t="shared" si="53"/>
        <v>4.1000000000000003E-3</v>
      </c>
    </row>
    <row r="39" spans="1:30" s="2043" customFormat="1" ht="12.75">
      <c r="A39" s="2904" t="s">
        <v>2841</v>
      </c>
      <c r="B39" s="2029">
        <v>2021</v>
      </c>
      <c r="C39" s="2040">
        <v>2</v>
      </c>
      <c r="D39" s="2005"/>
      <c r="E39" s="2005">
        <v>0.55000000000000004</v>
      </c>
      <c r="F39" s="2005">
        <v>0.46</v>
      </c>
      <c r="G39" s="2005">
        <v>1.1000000000000001</v>
      </c>
      <c r="H39" s="2916"/>
      <c r="I39" s="2006">
        <f t="shared" si="36"/>
        <v>0.46</v>
      </c>
      <c r="J39" s="2905"/>
      <c r="K39" s="2041"/>
      <c r="L39" s="2026">
        <f t="shared" si="37"/>
        <v>5.5000000000000005E-3</v>
      </c>
      <c r="M39" s="2026">
        <f t="shared" si="37"/>
        <v>4.5999999999999999E-3</v>
      </c>
      <c r="N39" s="2026">
        <f t="shared" si="37"/>
        <v>1.1000000000000001E-2</v>
      </c>
      <c r="O39" s="2026"/>
      <c r="P39" s="2026">
        <f t="shared" si="51"/>
        <v>4.5999999999999999E-3</v>
      </c>
      <c r="Q39" s="2905"/>
      <c r="R39" s="2025"/>
      <c r="S39" s="2025">
        <f>ROUND(IF(项目基本情况!$B$8="出让",SUMPRODUCT(PRODUCT(1+L39:L$40)),SUMPRODUCT(PRODUCT(1+L39:L$39))),4)</f>
        <v>1.0055000000000001</v>
      </c>
      <c r="T39" s="2025">
        <f>ROUND(IF(项目基本情况!$B$8="出让",SUMPRODUCT(PRODUCT(1+M39:M$40)),SUMPRODUCT(PRODUCT(1+M39:M$39))),4)</f>
        <v>1.0045999999999999</v>
      </c>
      <c r="U39" s="2025">
        <f>ROUND(IF(项目基本情况!$B$8="出让",SUMPRODUCT(PRODUCT(1+N39:N$40)),SUMPRODUCT(PRODUCT(1+N39:N$39))),4)</f>
        <v>1.0109999999999999</v>
      </c>
      <c r="V39" s="2025"/>
      <c r="W39" s="2025">
        <f t="shared" si="52"/>
        <v>1.0045999999999999</v>
      </c>
      <c r="X39" s="2905"/>
      <c r="Y39" s="2026"/>
      <c r="Z39" s="2901">
        <f t="shared" si="53"/>
        <v>4.4999999999999997E-3</v>
      </c>
      <c r="AA39" s="2902">
        <f t="shared" si="53"/>
        <v>4.7000000000000002E-3</v>
      </c>
      <c r="AB39" s="2026">
        <f t="shared" si="53"/>
        <v>1.04E-2</v>
      </c>
      <c r="AC39" s="2903"/>
      <c r="AD39" s="2026">
        <f t="shared" si="53"/>
        <v>4.7000000000000002E-3</v>
      </c>
    </row>
    <row r="40" spans="1:30" s="2927" customFormat="1" thickBot="1">
      <c r="A40" s="2917" t="s">
        <v>2827</v>
      </c>
      <c r="B40" s="2918">
        <v>2021</v>
      </c>
      <c r="C40" s="2919">
        <v>1</v>
      </c>
      <c r="D40" s="2920"/>
      <c r="E40" s="2920">
        <v>0.35</v>
      </c>
      <c r="F40" s="2920">
        <v>0.48</v>
      </c>
      <c r="G40" s="2920">
        <v>0.98</v>
      </c>
      <c r="H40" s="2921"/>
      <c r="I40" s="2922">
        <f t="shared" si="36"/>
        <v>0.48</v>
      </c>
      <c r="J40" s="2923"/>
      <c r="K40" s="2924"/>
      <c r="L40" s="2925">
        <f t="shared" si="37"/>
        <v>3.4999999999999996E-3</v>
      </c>
      <c r="M40" s="2925">
        <f>F40/100</f>
        <v>4.7999999999999996E-3</v>
      </c>
      <c r="N40" s="2925">
        <f t="shared" si="37"/>
        <v>9.7999999999999997E-3</v>
      </c>
      <c r="O40" s="2925"/>
      <c r="P40" s="2925">
        <f t="shared" si="51"/>
        <v>4.7999999999999996E-3</v>
      </c>
      <c r="Q40" s="2923"/>
      <c r="R40" s="2926"/>
      <c r="S40" s="2926">
        <v>1</v>
      </c>
      <c r="T40" s="2926">
        <v>1</v>
      </c>
      <c r="U40" s="2926">
        <v>1</v>
      </c>
      <c r="V40" s="2926"/>
      <c r="W40" s="2926">
        <f t="shared" si="52"/>
        <v>1</v>
      </c>
      <c r="X40" s="2923"/>
      <c r="Y40" s="2925"/>
      <c r="Z40" s="2933">
        <f t="shared" si="53"/>
        <v>3.5000000000000001E-3</v>
      </c>
      <c r="AA40" s="2934">
        <f t="shared" si="53"/>
        <v>4.7999999999999996E-3</v>
      </c>
      <c r="AB40" s="2925">
        <f t="shared" si="53"/>
        <v>9.7999999999999997E-3</v>
      </c>
      <c r="AC40" s="2935"/>
      <c r="AD40" s="2925">
        <f t="shared" si="53"/>
        <v>4.7999999999999996E-3</v>
      </c>
    </row>
    <row r="41" spans="1:30" ht="14.25" thickTop="1"/>
    <row r="42" spans="1:30">
      <c r="A42" s="3142" t="s">
        <v>3370</v>
      </c>
    </row>
  </sheetData>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501" t="s">
        <v>452</v>
      </c>
      <c r="C1" s="3501"/>
      <c r="D1" s="3501"/>
      <c r="E1" s="3501"/>
      <c r="F1" s="3501"/>
      <c r="G1" s="3497" t="s">
        <v>453</v>
      </c>
      <c r="H1" s="3497"/>
      <c r="I1" s="3497"/>
      <c r="J1" s="3497"/>
      <c r="K1" s="3497"/>
      <c r="L1" s="3497"/>
      <c r="N1" s="3497" t="s">
        <v>454</v>
      </c>
      <c r="O1" s="3497"/>
      <c r="P1" s="3497"/>
      <c r="Q1" s="3497"/>
      <c r="S1" s="3497" t="s">
        <v>455</v>
      </c>
      <c r="T1" s="3497"/>
      <c r="U1" s="3497"/>
      <c r="V1" s="3497"/>
      <c r="X1" s="3496" t="s">
        <v>456</v>
      </c>
      <c r="Y1" s="3497"/>
      <c r="Z1" s="3497"/>
      <c r="AA1" s="3497"/>
      <c r="AB1" s="3497"/>
      <c r="AD1" s="3496" t="s">
        <v>457</v>
      </c>
      <c r="AE1" s="3497"/>
      <c r="AF1" s="3497"/>
      <c r="AG1" s="3497"/>
      <c r="AH1" s="3497"/>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2114</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3366</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3363</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2115</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3364</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3365</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2439</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2316</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2315</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2314</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2312</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2311</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2130</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2128</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2127</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2126</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2124</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2123</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2125</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499">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2121</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499"/>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2120</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499"/>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2113</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506"/>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2111</v>
      </c>
      <c r="B25" s="2047">
        <v>439</v>
      </c>
      <c r="C25" s="2047">
        <v>327</v>
      </c>
      <c r="D25" s="2047">
        <f>C25</f>
        <v>327</v>
      </c>
      <c r="E25" s="2047">
        <v>627</v>
      </c>
      <c r="F25" s="2048">
        <v>283</v>
      </c>
      <c r="G25" s="3502">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2112</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499"/>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499"/>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506"/>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502">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499"/>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499"/>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500"/>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498">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499"/>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499"/>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500"/>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498">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499"/>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499"/>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500"/>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503">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504"/>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504"/>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505"/>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498">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499"/>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499"/>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500"/>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498">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499">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499">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500">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498">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499">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499">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500">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498">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499">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499">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500">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498">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499">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499">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500">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498">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499">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499">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500">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498">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499">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499">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500">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498">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499">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499">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500">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498">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499">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499">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500">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498">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499">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499">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500">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498">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499">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499">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500">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M9" sqref="M9"/>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45301</v>
      </c>
      <c r="D1" s="1216" t="s">
        <v>603</v>
      </c>
      <c r="E1" s="1211">
        <f>'数据-取费表'!B22</f>
        <v>1</v>
      </c>
      <c r="F1" s="1216" t="s">
        <v>604</v>
      </c>
      <c r="G1" s="1212">
        <f ca="1">INDIRECT("d"&amp;$K$1)/100</f>
        <v>3.4500000000000003E-2</v>
      </c>
      <c r="H1" s="1216" t="s">
        <v>634</v>
      </c>
      <c r="I1" s="1212">
        <f ca="1">F4/100</f>
        <v>1.4999999999999999E-2</v>
      </c>
      <c r="J1" s="1217">
        <f>IF(C1&gt;C13,0,MATCH(C1,C$13:C$111,-1))+IF(SUMIF(C13:C111,C1,D13:D111)=0,13,12)</f>
        <v>13</v>
      </c>
      <c r="K1" s="1217">
        <f ca="1">MATCH(E1,C3:C7,1)+IF(SUMIF(C3:C7,E1,D3:D7)=0,2,1)</f>
        <v>4</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3.45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3.45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3.45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3.45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4.2</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4">
        <v>45159</v>
      </c>
      <c r="D13" s="1200">
        <v>3.45</v>
      </c>
      <c r="E13" s="1200">
        <f>D13</f>
        <v>3.45</v>
      </c>
      <c r="F13" s="1200">
        <f>D13</f>
        <v>3.45</v>
      </c>
      <c r="G13" s="1200">
        <f>D13</f>
        <v>3.45</v>
      </c>
      <c r="H13" s="1200">
        <v>4.2</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45097</v>
      </c>
      <c r="D14" s="1204">
        <v>3.55</v>
      </c>
      <c r="E14" s="1204">
        <f>D14</f>
        <v>3.55</v>
      </c>
      <c r="F14" s="1204">
        <f>D14</f>
        <v>3.55</v>
      </c>
      <c r="G14" s="1204">
        <f>D14</f>
        <v>3.55</v>
      </c>
      <c r="H14" s="1204">
        <v>4.2</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44795</v>
      </c>
      <c r="D15" s="1204">
        <v>3.65</v>
      </c>
      <c r="E15" s="1204">
        <v>3.65</v>
      </c>
      <c r="F15" s="1204">
        <v>3.65</v>
      </c>
      <c r="G15" s="1204">
        <v>3.65</v>
      </c>
      <c r="H15" s="1204">
        <v>4.3</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44701</v>
      </c>
      <c r="D16" s="1204">
        <v>3.7</v>
      </c>
      <c r="E16" s="1204">
        <f>D16</f>
        <v>3.7</v>
      </c>
      <c r="F16" s="1204">
        <f>D16</f>
        <v>3.7</v>
      </c>
      <c r="G16" s="1204">
        <f>D16</f>
        <v>3.7</v>
      </c>
      <c r="H16" s="1204">
        <v>4.45</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44581</v>
      </c>
      <c r="D17" s="1204">
        <v>3.7</v>
      </c>
      <c r="E17" s="1204">
        <f>D17</f>
        <v>3.7</v>
      </c>
      <c r="F17" s="1204">
        <f>D17</f>
        <v>3.7</v>
      </c>
      <c r="G17" s="1204">
        <f>D17</f>
        <v>3.7</v>
      </c>
      <c r="H17" s="1204">
        <v>4.5999999999999996</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204"/>
      <c r="C18" s="1205">
        <v>44550</v>
      </c>
      <c r="D18" s="1204">
        <v>3.8</v>
      </c>
      <c r="E18" s="1204">
        <f>D18</f>
        <v>3.8</v>
      </c>
      <c r="F18" s="1204">
        <f>D18</f>
        <v>3.8</v>
      </c>
      <c r="G18" s="1204">
        <f>D18</f>
        <v>3.8</v>
      </c>
      <c r="H18" s="1204">
        <v>4.6500000000000004</v>
      </c>
      <c r="I18" s="1204"/>
      <c r="J18" s="1200"/>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8"/>
      <c r="B19" s="1204"/>
      <c r="C19" s="1205">
        <v>43941</v>
      </c>
      <c r="D19" s="1204">
        <v>3.85</v>
      </c>
      <c r="E19" s="1204">
        <v>3.85</v>
      </c>
      <c r="F19" s="1204">
        <v>3.85</v>
      </c>
      <c r="G19" s="1204">
        <v>3.85</v>
      </c>
      <c r="H19" s="1204">
        <v>4.6500000000000004</v>
      </c>
      <c r="I19" s="1204"/>
      <c r="J19" s="1204"/>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204"/>
      <c r="C20" s="1205">
        <v>43881</v>
      </c>
      <c r="D20" s="1204">
        <v>4.05</v>
      </c>
      <c r="E20" s="1204">
        <v>4.05</v>
      </c>
      <c r="F20" s="1204">
        <v>4.05</v>
      </c>
      <c r="G20" s="1204">
        <v>4.05</v>
      </c>
      <c r="H20" s="1204">
        <v>4.75</v>
      </c>
      <c r="I20" s="1204"/>
      <c r="J20" s="1204"/>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43789</v>
      </c>
      <c r="D21" s="1204">
        <v>4.1500000000000004</v>
      </c>
      <c r="E21" s="1204">
        <v>4.1500000000000004</v>
      </c>
      <c r="F21" s="1204">
        <v>4.1500000000000004</v>
      </c>
      <c r="G21" s="1204">
        <v>4.1500000000000004</v>
      </c>
      <c r="H21" s="1204">
        <v>4.8</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43728</v>
      </c>
      <c r="D22" s="1204">
        <v>4.2</v>
      </c>
      <c r="E22" s="1204">
        <v>4.2</v>
      </c>
      <c r="F22" s="1204">
        <v>4.2</v>
      </c>
      <c r="G22" s="1204">
        <v>4.2</v>
      </c>
      <c r="H22" s="1204">
        <v>4.8499999999999996</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5"/>
      <c r="B23" s="1199" t="s">
        <v>2313</v>
      </c>
      <c r="C23" s="1206">
        <v>43697</v>
      </c>
      <c r="D23" s="2573">
        <v>4.25</v>
      </c>
      <c r="E23" s="2573">
        <v>4.25</v>
      </c>
      <c r="F23" s="2573">
        <v>4.25</v>
      </c>
      <c r="G23" s="2573">
        <v>4.25</v>
      </c>
      <c r="H23" s="2573">
        <v>4.8499999999999996</v>
      </c>
      <c r="I23" s="2573"/>
      <c r="J23" s="2573"/>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ht="14.25">
      <c r="B24" s="2576"/>
      <c r="C24" s="2577">
        <v>42301</v>
      </c>
      <c r="D24" s="2578">
        <v>4.3499999999999996</v>
      </c>
      <c r="E24" s="2578">
        <v>4.3499999999999996</v>
      </c>
      <c r="F24" s="2578">
        <v>4.75</v>
      </c>
      <c r="G24" s="2578">
        <v>4.75</v>
      </c>
      <c r="H24" s="2578">
        <v>4.9000000000000004</v>
      </c>
      <c r="I24" s="2578"/>
      <c r="J24" s="2578"/>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42242</v>
      </c>
      <c r="D25" s="1204">
        <v>4.5999999999999996</v>
      </c>
      <c r="E25" s="1204">
        <v>4.5999999999999996</v>
      </c>
      <c r="F25" s="1204">
        <v>5</v>
      </c>
      <c r="G25" s="1204">
        <v>5</v>
      </c>
      <c r="H25" s="1204">
        <v>5.15</v>
      </c>
      <c r="I25" s="1204">
        <v>2.75</v>
      </c>
      <c r="J25" s="1204">
        <v>3.25</v>
      </c>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c r="B26" s="1204"/>
      <c r="C26" s="1205">
        <v>42183</v>
      </c>
      <c r="D26" s="1204">
        <v>4.8499999999999996</v>
      </c>
      <c r="E26" s="1204">
        <v>4.8499999999999996</v>
      </c>
      <c r="F26" s="1204">
        <v>5.25</v>
      </c>
      <c r="G26" s="1204">
        <v>5.25</v>
      </c>
      <c r="H26" s="1204">
        <v>5.4</v>
      </c>
      <c r="I26" s="1204">
        <v>3</v>
      </c>
      <c r="J26" s="1204">
        <v>3.5</v>
      </c>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42135</v>
      </c>
      <c r="D27" s="1204">
        <v>5.0999999999999996</v>
      </c>
      <c r="E27" s="1204">
        <v>5.0999999999999996</v>
      </c>
      <c r="F27" s="1204">
        <v>5.5</v>
      </c>
      <c r="G27" s="1204">
        <v>5.5</v>
      </c>
      <c r="H27" s="1204">
        <v>5.65</v>
      </c>
      <c r="I27" s="1204">
        <v>3.25</v>
      </c>
      <c r="J27" s="1204">
        <v>3.75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42064</v>
      </c>
      <c r="D28" s="1204">
        <v>5.35</v>
      </c>
      <c r="E28" s="1204">
        <v>5.35</v>
      </c>
      <c r="F28" s="1204">
        <v>5.75</v>
      </c>
      <c r="G28" s="1204">
        <v>5.75</v>
      </c>
      <c r="H28" s="1204">
        <v>5.9</v>
      </c>
      <c r="I28" s="1204"/>
      <c r="J28" s="1204"/>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41965</v>
      </c>
      <c r="D29" s="1204">
        <v>5.6</v>
      </c>
      <c r="E29" s="1204">
        <v>5.6</v>
      </c>
      <c r="F29" s="1204">
        <v>6</v>
      </c>
      <c r="G29" s="1204">
        <v>6</v>
      </c>
      <c r="H29" s="1204">
        <v>6.15</v>
      </c>
      <c r="I29" s="1204"/>
      <c r="J29" s="1204"/>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41096</v>
      </c>
      <c r="D30" s="1204">
        <v>5.6</v>
      </c>
      <c r="E30" s="1204">
        <v>6</v>
      </c>
      <c r="F30" s="1204">
        <v>6.15</v>
      </c>
      <c r="G30" s="1204">
        <v>6.4</v>
      </c>
      <c r="H30" s="1204">
        <v>6.55</v>
      </c>
      <c r="I30" s="1204">
        <v>4</v>
      </c>
      <c r="J30" s="1204">
        <v>4.5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41068</v>
      </c>
      <c r="D31" s="1204">
        <v>5.85</v>
      </c>
      <c r="E31" s="1204">
        <v>6.31</v>
      </c>
      <c r="F31" s="1204">
        <v>6.4</v>
      </c>
      <c r="G31" s="1204">
        <v>6.65</v>
      </c>
      <c r="H31" s="1204">
        <v>6.8</v>
      </c>
      <c r="I31" s="1204">
        <v>4.2</v>
      </c>
      <c r="J31" s="1204">
        <v>4.7</v>
      </c>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40731</v>
      </c>
      <c r="D32" s="1204">
        <v>6.1</v>
      </c>
      <c r="E32" s="1204">
        <v>6.56</v>
      </c>
      <c r="F32" s="1204">
        <v>6.65</v>
      </c>
      <c r="G32" s="1204">
        <v>6.9</v>
      </c>
      <c r="H32" s="1204">
        <v>7.05</v>
      </c>
      <c r="I32" s="1204">
        <v>4.45</v>
      </c>
      <c r="J32" s="1204">
        <v>4.9000000000000004</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40639</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40583</v>
      </c>
      <c r="D34" s="1204">
        <v>5.6</v>
      </c>
      <c r="E34" s="1204">
        <v>6.06</v>
      </c>
      <c r="F34" s="1204">
        <v>6.1</v>
      </c>
      <c r="G34" s="1204">
        <v>6.45</v>
      </c>
      <c r="H34" s="1204">
        <v>6.6</v>
      </c>
      <c r="I34" s="1204">
        <v>4</v>
      </c>
      <c r="J34" s="1204">
        <v>4.5</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40538</v>
      </c>
      <c r="D35" s="1204">
        <v>5.35</v>
      </c>
      <c r="E35" s="1204">
        <v>5.81</v>
      </c>
      <c r="F35" s="1204">
        <v>5.85</v>
      </c>
      <c r="G35" s="1204">
        <v>6.22</v>
      </c>
      <c r="H35" s="1204">
        <v>6.4</v>
      </c>
      <c r="I35" s="1204">
        <v>3.75</v>
      </c>
      <c r="J35" s="1204">
        <v>4.3</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40471</v>
      </c>
      <c r="D36" s="1204">
        <v>5.0999999999999996</v>
      </c>
      <c r="E36" s="1204">
        <v>5.56</v>
      </c>
      <c r="F36" s="1204">
        <v>5.6</v>
      </c>
      <c r="G36" s="1204">
        <v>5.96</v>
      </c>
      <c r="H36" s="1204">
        <v>6.14</v>
      </c>
      <c r="I36" s="1204">
        <v>3.5</v>
      </c>
      <c r="J36" s="1204">
        <v>4.05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39805</v>
      </c>
      <c r="D37" s="1204">
        <v>4.8600000000000003</v>
      </c>
      <c r="E37" s="1204">
        <v>5.31</v>
      </c>
      <c r="F37" s="1204">
        <v>5.4</v>
      </c>
      <c r="G37" s="1204">
        <v>5.76</v>
      </c>
      <c r="H37" s="1204">
        <v>5.94</v>
      </c>
      <c r="I37" s="1204">
        <v>3.33</v>
      </c>
      <c r="J37" s="1204">
        <v>3.87</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39779</v>
      </c>
      <c r="D38" s="1204">
        <v>5.04</v>
      </c>
      <c r="E38" s="1204">
        <v>5.58</v>
      </c>
      <c r="F38" s="1204">
        <v>5.67</v>
      </c>
      <c r="G38" s="1204">
        <v>5.94</v>
      </c>
      <c r="H38" s="1204">
        <v>6.12</v>
      </c>
      <c r="I38" s="1204">
        <v>3.51</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39751</v>
      </c>
      <c r="D39" s="1204">
        <v>6.03</v>
      </c>
      <c r="E39" s="1204">
        <v>6.66</v>
      </c>
      <c r="F39" s="1204">
        <v>6.75</v>
      </c>
      <c r="G39" s="1204">
        <v>7.02</v>
      </c>
      <c r="H39" s="1204">
        <v>7.2</v>
      </c>
      <c r="I39" s="1204">
        <v>4.05</v>
      </c>
      <c r="J39" s="1204">
        <v>4.59</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6">
        <v>39748</v>
      </c>
      <c r="D40" s="1204">
        <v>6.12</v>
      </c>
      <c r="E40" s="1204">
        <v>6.93</v>
      </c>
      <c r="F40" s="1204">
        <v>7.02</v>
      </c>
      <c r="G40" s="1204">
        <v>7.29</v>
      </c>
      <c r="H40" s="1204">
        <v>7.47</v>
      </c>
      <c r="I40" s="1204">
        <v>4.05</v>
      </c>
      <c r="J40" s="1204">
        <v>4.59</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39730</v>
      </c>
      <c r="D41" s="1204">
        <v>6.12</v>
      </c>
      <c r="E41" s="1204">
        <v>6.93</v>
      </c>
      <c r="F41" s="1204">
        <v>7.02</v>
      </c>
      <c r="G41" s="1204">
        <v>7.29</v>
      </c>
      <c r="H41" s="1204">
        <v>7.47</v>
      </c>
      <c r="I41" s="1204">
        <v>4.32</v>
      </c>
      <c r="J41" s="1204">
        <v>4.8600000000000003</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39707</v>
      </c>
      <c r="D42" s="1204">
        <v>6.21</v>
      </c>
      <c r="E42" s="1204">
        <v>7.2</v>
      </c>
      <c r="F42" s="1204">
        <v>7.29</v>
      </c>
      <c r="G42" s="1204">
        <v>7.56</v>
      </c>
      <c r="H42" s="1204">
        <v>7.74</v>
      </c>
      <c r="I42" s="1204">
        <v>4.59</v>
      </c>
      <c r="J42" s="1204">
        <v>5.13</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39437</v>
      </c>
      <c r="D43" s="1204">
        <v>6.57</v>
      </c>
      <c r="E43" s="1204">
        <v>7.47</v>
      </c>
      <c r="F43" s="1204">
        <v>7.56</v>
      </c>
      <c r="G43" s="1204">
        <v>7.74</v>
      </c>
      <c r="H43" s="1204">
        <v>7.83</v>
      </c>
      <c r="I43" s="1204">
        <v>4.7699999999999996</v>
      </c>
      <c r="J43" s="1204">
        <v>5.22</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39340</v>
      </c>
      <c r="D44" s="1204">
        <v>6.48</v>
      </c>
      <c r="E44" s="1204">
        <v>7.29</v>
      </c>
      <c r="F44" s="1204">
        <v>7.47</v>
      </c>
      <c r="G44" s="1204">
        <v>7.65</v>
      </c>
      <c r="H44" s="1204">
        <v>7.83</v>
      </c>
      <c r="I44" s="1204">
        <v>4.7699999999999996</v>
      </c>
      <c r="J44" s="1204">
        <v>5.22</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39316</v>
      </c>
      <c r="D45" s="1204">
        <v>6.21</v>
      </c>
      <c r="E45" s="1204">
        <v>7.02</v>
      </c>
      <c r="F45" s="1204">
        <v>7.2</v>
      </c>
      <c r="G45" s="1204">
        <v>7.38</v>
      </c>
      <c r="H45" s="1204">
        <v>7.56</v>
      </c>
      <c r="I45" s="1204">
        <v>4.59</v>
      </c>
      <c r="J45" s="1204">
        <v>5.04</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39284</v>
      </c>
      <c r="D46" s="1204">
        <v>6.03</v>
      </c>
      <c r="E46" s="1204">
        <v>6.84</v>
      </c>
      <c r="F46" s="1204">
        <v>7.02</v>
      </c>
      <c r="G46" s="1204">
        <v>7.2</v>
      </c>
      <c r="H46" s="1204">
        <v>7.38</v>
      </c>
      <c r="I46" s="1204">
        <v>4.5</v>
      </c>
      <c r="J46" s="1204">
        <v>4.95</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39221</v>
      </c>
      <c r="D47" s="1204">
        <v>5.85</v>
      </c>
      <c r="E47" s="1204">
        <v>6.57</v>
      </c>
      <c r="F47" s="1204">
        <v>6.75</v>
      </c>
      <c r="G47" s="1204">
        <v>6.93</v>
      </c>
      <c r="H47" s="1204">
        <v>7.2</v>
      </c>
      <c r="I47" s="1204">
        <v>4.41</v>
      </c>
      <c r="J47" s="1204">
        <v>4.8600000000000003</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39159</v>
      </c>
      <c r="D48" s="1204">
        <v>5.67</v>
      </c>
      <c r="E48" s="1204">
        <v>6.39</v>
      </c>
      <c r="F48" s="1204">
        <v>6.57</v>
      </c>
      <c r="G48" s="1204">
        <v>6.75</v>
      </c>
      <c r="H48" s="1204">
        <v>7.11</v>
      </c>
      <c r="I48" s="1204">
        <v>4.32</v>
      </c>
      <c r="J48" s="1204">
        <v>4.7699999999999996</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38948</v>
      </c>
      <c r="D49" s="1204">
        <v>5.58</v>
      </c>
      <c r="E49" s="1204">
        <v>6.12</v>
      </c>
      <c r="F49" s="1204">
        <v>6.3</v>
      </c>
      <c r="G49" s="1204">
        <v>6.48</v>
      </c>
      <c r="H49" s="1204">
        <v>6.84</v>
      </c>
      <c r="I49" s="1204">
        <v>4.1399999999999997</v>
      </c>
      <c r="J49" s="1204">
        <v>4.59</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38835</v>
      </c>
      <c r="D50" s="1204">
        <v>5.4</v>
      </c>
      <c r="E50" s="1204">
        <v>5.85</v>
      </c>
      <c r="F50" s="1204">
        <v>6.03</v>
      </c>
      <c r="G50" s="1204">
        <v>6.12</v>
      </c>
      <c r="H50" s="1204">
        <v>6.39</v>
      </c>
      <c r="I50" s="1204">
        <v>4.1399999999999997</v>
      </c>
      <c r="J50" s="1204">
        <v>4.59</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38428</v>
      </c>
      <c r="D51" s="1204">
        <v>5.22</v>
      </c>
      <c r="E51" s="1204">
        <v>5.58</v>
      </c>
      <c r="F51" s="1204">
        <v>5.76</v>
      </c>
      <c r="G51" s="1204">
        <v>5.85</v>
      </c>
      <c r="H51" s="1204">
        <v>6.12</v>
      </c>
      <c r="I51" s="1204">
        <v>3.96</v>
      </c>
      <c r="J51" s="1204">
        <v>4.41</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38289</v>
      </c>
      <c r="D52" s="1204">
        <v>5.22</v>
      </c>
      <c r="E52" s="1204">
        <v>5.58</v>
      </c>
      <c r="F52" s="1204">
        <v>5.76</v>
      </c>
      <c r="G52" s="1204">
        <v>5.85</v>
      </c>
      <c r="H52" s="1204">
        <v>6.12</v>
      </c>
      <c r="I52" s="1204">
        <v>3.78</v>
      </c>
      <c r="J52" s="1204">
        <v>4.2300000000000004</v>
      </c>
      <c r="L52" s="1204"/>
      <c r="M52" s="1205"/>
      <c r="N52" s="1204"/>
      <c r="O52" s="1204"/>
      <c r="P52" s="1204"/>
      <c r="Q52" s="1204"/>
      <c r="R52" s="1204"/>
      <c r="S52" s="1204"/>
      <c r="T52" s="1204"/>
      <c r="U52" s="1204"/>
      <c r="V52" s="1204"/>
      <c r="W52" s="1204"/>
      <c r="X52" s="1204"/>
      <c r="Y52" s="1204"/>
      <c r="Z52" s="1204"/>
    </row>
    <row r="53" spans="2:26">
      <c r="B53" s="1204"/>
      <c r="C53" s="1205">
        <v>37308</v>
      </c>
      <c r="D53" s="1204">
        <v>5.04</v>
      </c>
      <c r="E53" s="1204">
        <v>5.31</v>
      </c>
      <c r="F53" s="1204">
        <v>5.49</v>
      </c>
      <c r="G53" s="1204">
        <v>5.58</v>
      </c>
      <c r="H53" s="1204">
        <v>5.76</v>
      </c>
      <c r="I53" s="1204">
        <v>3.6</v>
      </c>
      <c r="J53" s="1204">
        <v>4.05</v>
      </c>
      <c r="L53" s="1204"/>
      <c r="M53" s="1205"/>
      <c r="N53" s="1204"/>
      <c r="O53" s="1204"/>
      <c r="P53" s="1204"/>
      <c r="Q53" s="1204"/>
      <c r="R53" s="1204"/>
      <c r="S53" s="1204"/>
      <c r="T53" s="1204"/>
      <c r="U53" s="1204"/>
      <c r="V53" s="1204"/>
      <c r="W53" s="1204"/>
      <c r="X53" s="1204"/>
      <c r="Y53" s="1204"/>
      <c r="Z53" s="1204"/>
    </row>
    <row r="54" spans="2:26">
      <c r="B54" s="1204"/>
      <c r="C54" s="1205">
        <v>36321</v>
      </c>
      <c r="D54" s="1204">
        <v>5.58</v>
      </c>
      <c r="E54" s="1204">
        <v>5.85</v>
      </c>
      <c r="F54" s="1204">
        <v>5.94</v>
      </c>
      <c r="G54" s="1204">
        <v>6.03</v>
      </c>
      <c r="H54" s="1204">
        <v>6.21</v>
      </c>
      <c r="I54" s="1204">
        <v>4.1399999999999997</v>
      </c>
      <c r="J54" s="1204">
        <v>4.59</v>
      </c>
      <c r="L54" s="1204"/>
      <c r="M54" s="1205"/>
      <c r="N54" s="1204"/>
      <c r="O54" s="1204"/>
      <c r="P54" s="1204"/>
      <c r="Q54" s="1204"/>
      <c r="R54" s="1204"/>
      <c r="S54" s="1204"/>
      <c r="T54" s="1204"/>
      <c r="U54" s="1204"/>
      <c r="V54" s="1204"/>
      <c r="W54" s="1204"/>
      <c r="X54" s="1204"/>
      <c r="Y54" s="1204"/>
      <c r="Z54" s="1204"/>
    </row>
    <row r="55" spans="2:26">
      <c r="B55" s="1204"/>
      <c r="C55" s="1205">
        <v>36136</v>
      </c>
      <c r="D55" s="1204">
        <v>6.12</v>
      </c>
      <c r="E55" s="1204">
        <v>6.39</v>
      </c>
      <c r="F55" s="1204">
        <v>6.66</v>
      </c>
      <c r="G55" s="1204">
        <v>7.2</v>
      </c>
      <c r="H55" s="1204">
        <v>7.56</v>
      </c>
      <c r="I55" s="1204">
        <v>0</v>
      </c>
      <c r="J55" s="1204">
        <v>0</v>
      </c>
      <c r="L55" s="1204"/>
      <c r="M55" s="1205"/>
      <c r="N55" s="1204"/>
      <c r="O55" s="1204"/>
      <c r="P55" s="1204"/>
      <c r="Q55" s="1204"/>
      <c r="R55" s="1204"/>
      <c r="S55" s="1204"/>
      <c r="T55" s="1204"/>
      <c r="U55" s="1204"/>
      <c r="V55" s="1204"/>
      <c r="W55" s="1204"/>
      <c r="X55" s="1204"/>
      <c r="Y55" s="1204"/>
      <c r="Z55" s="1204"/>
    </row>
    <row r="56" spans="2:26">
      <c r="B56" s="1204"/>
      <c r="C56" s="1205">
        <v>35977</v>
      </c>
      <c r="D56" s="1204">
        <v>6.57</v>
      </c>
      <c r="E56" s="1204">
        <v>6.93</v>
      </c>
      <c r="F56" s="1204">
        <v>7.11</v>
      </c>
      <c r="G56" s="1204">
        <v>7.65</v>
      </c>
      <c r="H56" s="1204">
        <v>8.01</v>
      </c>
      <c r="I56" s="1204">
        <v>0</v>
      </c>
      <c r="J56" s="1204">
        <v>0</v>
      </c>
      <c r="L56" s="1204"/>
      <c r="M56" s="1205"/>
      <c r="N56" s="1204"/>
      <c r="O56" s="1204"/>
      <c r="P56" s="1204"/>
      <c r="Q56" s="1204"/>
      <c r="R56" s="1204"/>
      <c r="S56" s="1204"/>
      <c r="T56" s="1204"/>
      <c r="U56" s="1204"/>
      <c r="V56" s="1204"/>
      <c r="W56" s="1204"/>
      <c r="X56" s="1204"/>
      <c r="Y56" s="1204"/>
      <c r="Z56" s="1204"/>
    </row>
    <row r="57" spans="2:26">
      <c r="B57" s="1204"/>
      <c r="C57" s="1205">
        <v>35879</v>
      </c>
      <c r="D57" s="1204">
        <v>7.02</v>
      </c>
      <c r="E57" s="1204">
        <v>7.92</v>
      </c>
      <c r="F57" s="1204">
        <v>9</v>
      </c>
      <c r="G57" s="1204">
        <v>9.7200000000000006</v>
      </c>
      <c r="H57" s="1204">
        <v>10.35</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35726</v>
      </c>
      <c r="D58" s="1204">
        <v>7.65</v>
      </c>
      <c r="E58" s="1204">
        <v>8.64</v>
      </c>
      <c r="F58" s="1204">
        <v>9.36</v>
      </c>
      <c r="G58" s="1204">
        <v>9.9</v>
      </c>
      <c r="H58" s="1204">
        <v>10.53</v>
      </c>
      <c r="I58" s="1204">
        <v>0</v>
      </c>
      <c r="J58" s="1204">
        <v>0</v>
      </c>
    </row>
    <row r="59" spans="2:26">
      <c r="B59" s="1204"/>
      <c r="C59" s="1205">
        <v>35300</v>
      </c>
      <c r="D59" s="1204">
        <v>9.18</v>
      </c>
      <c r="E59" s="1204">
        <v>10.08</v>
      </c>
      <c r="F59" s="1204">
        <v>10.98</v>
      </c>
      <c r="G59" s="1204">
        <v>11.7</v>
      </c>
      <c r="H59" s="1204">
        <v>12.42</v>
      </c>
      <c r="I59" s="1204">
        <v>0</v>
      </c>
      <c r="J59" s="1204">
        <v>0</v>
      </c>
    </row>
    <row r="60" spans="2:26">
      <c r="B60" s="1204"/>
      <c r="C60" s="1205">
        <v>35186</v>
      </c>
      <c r="D60" s="1204">
        <v>9.7200000000000006</v>
      </c>
      <c r="E60" s="1204">
        <v>10.98</v>
      </c>
      <c r="F60" s="1204">
        <v>13.14</v>
      </c>
      <c r="G60" s="1204">
        <v>14.94</v>
      </c>
      <c r="H60" s="1204">
        <v>15.12</v>
      </c>
      <c r="I60" s="1204">
        <v>0</v>
      </c>
      <c r="J60" s="1204">
        <v>0</v>
      </c>
    </row>
    <row r="61" spans="2:26">
      <c r="B61" s="1204"/>
      <c r="C61" s="1205">
        <v>34881</v>
      </c>
      <c r="D61" s="1204">
        <v>10.08</v>
      </c>
      <c r="E61" s="1204">
        <v>12.06</v>
      </c>
      <c r="F61" s="1204">
        <v>13.5</v>
      </c>
      <c r="G61" s="1204">
        <v>15.12</v>
      </c>
      <c r="H61" s="1204">
        <v>15.3</v>
      </c>
      <c r="I61" s="1204">
        <v>0</v>
      </c>
      <c r="J61" s="1204">
        <v>0</v>
      </c>
    </row>
    <row r="62" spans="2:26">
      <c r="B62" s="1204"/>
      <c r="C62" s="1205">
        <v>34700</v>
      </c>
      <c r="D62" s="1204">
        <v>9</v>
      </c>
      <c r="E62" s="1204">
        <v>10.98</v>
      </c>
      <c r="F62" s="1204">
        <v>12.96</v>
      </c>
      <c r="G62" s="1204">
        <v>14.58</v>
      </c>
      <c r="H62" s="1204">
        <v>14.76</v>
      </c>
      <c r="I62" s="1204">
        <v>0</v>
      </c>
      <c r="J62" s="1204">
        <v>0</v>
      </c>
    </row>
    <row r="63" spans="2:26">
      <c r="B63" s="1204"/>
      <c r="C63" s="1205">
        <v>34161</v>
      </c>
      <c r="D63" s="1204">
        <v>9</v>
      </c>
      <c r="E63" s="1204">
        <v>10.98</v>
      </c>
      <c r="F63" s="1204">
        <v>12.24</v>
      </c>
      <c r="G63" s="1204">
        <v>13.86</v>
      </c>
      <c r="H63" s="1204">
        <v>14.04</v>
      </c>
      <c r="I63" s="1204">
        <v>0</v>
      </c>
      <c r="J63" s="1204">
        <v>0</v>
      </c>
    </row>
    <row r="64" spans="2:26">
      <c r="B64" s="1204"/>
      <c r="C64" s="1205">
        <v>34104</v>
      </c>
      <c r="D64" s="1204">
        <v>8.82</v>
      </c>
      <c r="E64" s="1204">
        <v>9.36</v>
      </c>
      <c r="F64" s="1204">
        <v>10.8</v>
      </c>
      <c r="G64" s="1204">
        <v>12.06</v>
      </c>
      <c r="H64" s="1204">
        <v>12.24</v>
      </c>
      <c r="I64" s="1204">
        <v>0</v>
      </c>
      <c r="J64" s="1204">
        <v>0</v>
      </c>
    </row>
    <row r="65" spans="2:10">
      <c r="B65" s="1204"/>
      <c r="C65" s="1205">
        <v>33349</v>
      </c>
      <c r="D65" s="1204">
        <v>8.1</v>
      </c>
      <c r="E65" s="1204">
        <v>8.64</v>
      </c>
      <c r="F65" s="1204">
        <v>9</v>
      </c>
      <c r="G65" s="1204">
        <v>9.5399999999999991</v>
      </c>
      <c r="H65" s="1204">
        <v>9.7200000000000006</v>
      </c>
      <c r="I65" s="1204">
        <v>0</v>
      </c>
      <c r="J65" s="1204">
        <v>0</v>
      </c>
    </row>
    <row r="66" spans="2:10">
      <c r="B66" s="1204"/>
      <c r="C66" s="1205">
        <v>33318</v>
      </c>
      <c r="D66" s="1204">
        <v>9</v>
      </c>
      <c r="E66" s="1204">
        <v>10.08</v>
      </c>
      <c r="F66" s="1204">
        <v>10.8</v>
      </c>
      <c r="G66" s="1204">
        <v>11.52</v>
      </c>
      <c r="H66" s="1204">
        <v>11.88</v>
      </c>
      <c r="I66" s="1204" t="s">
        <v>633</v>
      </c>
      <c r="J66" s="1204" t="s">
        <v>633</v>
      </c>
    </row>
    <row r="67" spans="2:10">
      <c r="B67" s="1204"/>
      <c r="C67" s="1205">
        <v>33106</v>
      </c>
      <c r="D67" s="1204">
        <v>8.64</v>
      </c>
      <c r="E67" s="1204">
        <v>9.36</v>
      </c>
      <c r="F67" s="1204">
        <v>10.08</v>
      </c>
      <c r="G67" s="1204">
        <v>10.8</v>
      </c>
      <c r="H67" s="1204">
        <v>11.16</v>
      </c>
      <c r="I67" s="1204">
        <v>0</v>
      </c>
      <c r="J67" s="1204">
        <v>0</v>
      </c>
    </row>
    <row r="68" spans="2:10">
      <c r="B68" s="1204"/>
      <c r="C68" s="1205">
        <v>32540</v>
      </c>
      <c r="D68" s="1204">
        <v>11.34</v>
      </c>
      <c r="E68" s="1204">
        <v>11.34</v>
      </c>
      <c r="F68" s="1204">
        <v>12.78</v>
      </c>
      <c r="G68" s="1204">
        <v>14.4</v>
      </c>
      <c r="H68" s="1204">
        <v>19.260000000000002</v>
      </c>
      <c r="I68" s="1204">
        <v>0</v>
      </c>
      <c r="J68" s="1204">
        <v>0</v>
      </c>
    </row>
    <row r="69" spans="2:10">
      <c r="B69" s="1204"/>
      <c r="C69" s="1205"/>
      <c r="D69" s="1204"/>
      <c r="E69" s="1204"/>
      <c r="F69" s="1204"/>
      <c r="G69" s="1204"/>
      <c r="H69" s="1204"/>
      <c r="I69" s="1204"/>
      <c r="J69" s="1204"/>
    </row>
    <row r="70" spans="2:10">
      <c r="B70" s="1207"/>
      <c r="C70" s="1208"/>
      <c r="D70" s="1207"/>
      <c r="E70" s="1207"/>
      <c r="F70" s="1207"/>
      <c r="G70" s="1207"/>
      <c r="H70" s="1207"/>
      <c r="I70" s="1207"/>
      <c r="J70" s="1207"/>
    </row>
    <row r="71" spans="2:10">
      <c r="B71" s="1207"/>
      <c r="C71" s="1208"/>
      <c r="D71" s="1207"/>
      <c r="E71" s="1207"/>
      <c r="F71" s="1207"/>
      <c r="G71" s="1207"/>
      <c r="H71" s="1207"/>
      <c r="I71" s="1207"/>
      <c r="J71" s="1207"/>
    </row>
    <row r="72" spans="2:10">
      <c r="B72" s="1207"/>
      <c r="C72" s="1208"/>
      <c r="D72" s="1207"/>
      <c r="E72" s="1207"/>
      <c r="F72" s="1207"/>
      <c r="G72" s="1207"/>
      <c r="H72" s="1207"/>
      <c r="I72" s="1207"/>
      <c r="J72" s="1207"/>
    </row>
    <row r="73" spans="2:10">
      <c r="B73" s="1158"/>
      <c r="C73" s="1158"/>
      <c r="D73" s="1158"/>
      <c r="E73" s="1158"/>
      <c r="F73" s="1158"/>
      <c r="G73" s="1158"/>
      <c r="H73" s="1158"/>
      <c r="I73" s="1158"/>
      <c r="J73" s="1158"/>
    </row>
    <row r="74" spans="2:10">
      <c r="B74" s="1158"/>
      <c r="C74" s="1158"/>
      <c r="D74" s="1158"/>
      <c r="E74" s="1158"/>
      <c r="F74" s="1158"/>
      <c r="G74" s="1158"/>
      <c r="H74" s="1158"/>
      <c r="I74" s="1158"/>
      <c r="J74"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2024-01-19T01:42:29Z</dcterms:modified>
</cp:coreProperties>
</file>